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VA Buidling 408 - Los Angeles - TSA\3.3 CDLAC\VA 408 Application R2\Ready For Review\Reviewed\"/>
    </mc:Choice>
  </mc:AlternateContent>
  <xr:revisionPtr revIDLastSave="0" documentId="13_ncr:1_{19E76730-636F-40BC-A6F6-C5438D62A7E2}" xr6:coauthVersionLast="47" xr6:coauthVersionMax="47" xr10:uidLastSave="{00000000-0000-0000-0000-000000000000}"/>
  <bookViews>
    <workbookView xWindow="-108" yWindow="-108" windowWidth="23256" windowHeight="13896" tabRatio="809"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13" i="20" l="1"/>
  <c r="N215" i="20"/>
  <c r="T215" i="20"/>
  <c r="N214" i="20"/>
  <c r="AE699" i="3"/>
  <c r="C40" i="4" l="1"/>
  <c r="S40" i="4"/>
  <c r="S99" i="4"/>
  <c r="E5" i="4"/>
  <c r="E29" i="4"/>
  <c r="E30" i="4"/>
  <c r="E31" i="4"/>
  <c r="E32" i="4"/>
  <c r="E33" i="4"/>
  <c r="E35" i="4"/>
  <c r="E36" i="4"/>
  <c r="E37" i="4"/>
  <c r="E41" i="4"/>
  <c r="E43" i="4"/>
  <c r="E56" i="4"/>
  <c r="E58" i="4"/>
  <c r="E65" i="4"/>
  <c r="E66" i="4"/>
  <c r="E67" i="4"/>
  <c r="C30" i="4"/>
  <c r="C31" i="4"/>
  <c r="C32" i="4"/>
  <c r="C33" i="4"/>
  <c r="C35" i="4"/>
  <c r="G28" i="7"/>
  <c r="I28" i="7"/>
  <c r="K28" i="7"/>
  <c r="M28" i="7"/>
  <c r="O28" i="7"/>
  <c r="Q28" i="7"/>
  <c r="S28" i="7"/>
  <c r="U28" i="7"/>
  <c r="W28" i="7"/>
  <c r="Y28" i="7"/>
  <c r="AA28" i="7"/>
  <c r="AC28" i="7"/>
  <c r="AE28" i="7"/>
  <c r="AG28" i="7"/>
  <c r="AI28" i="7"/>
  <c r="AK28" i="7"/>
  <c r="AM28" i="7"/>
  <c r="AO28" i="7"/>
  <c r="AQ28" i="7"/>
  <c r="AS28" i="7"/>
  <c r="AU28" i="7"/>
  <c r="AW28" i="7"/>
  <c r="AY28" i="7"/>
  <c r="BA28" i="7"/>
  <c r="BC28" i="7"/>
  <c r="BE28" i="7"/>
  <c r="BG28" i="7"/>
  <c r="BI28" i="7"/>
  <c r="BK28" i="7"/>
  <c r="BM28" i="7"/>
  <c r="BO28" i="7"/>
  <c r="BQ28" i="7"/>
  <c r="BS28" i="7"/>
  <c r="BU28" i="7"/>
  <c r="BW28" i="7"/>
  <c r="BY28" i="7"/>
  <c r="CA28" i="7"/>
  <c r="CC28" i="7"/>
  <c r="CE28" i="7"/>
  <c r="CG28" i="7"/>
  <c r="CI28" i="7"/>
  <c r="CK28" i="7"/>
  <c r="CM28" i="7"/>
  <c r="CO28" i="7"/>
  <c r="CQ28" i="7"/>
  <c r="CS28" i="7"/>
  <c r="CU28" i="7"/>
  <c r="CW28" i="7"/>
  <c r="CY28" i="7"/>
  <c r="DA28" i="7"/>
  <c r="DC28" i="7"/>
  <c r="DE28" i="7"/>
  <c r="DG28" i="7"/>
  <c r="DI28" i="7"/>
  <c r="DK28" i="7"/>
  <c r="DM28" i="7"/>
  <c r="DO28" i="7"/>
  <c r="DQ28" i="7"/>
  <c r="DS28" i="7"/>
  <c r="DU28" i="7"/>
  <c r="DW28" i="7"/>
  <c r="DY28" i="7"/>
  <c r="EA28" i="7"/>
  <c r="EC28" i="7"/>
  <c r="EE28" i="7"/>
  <c r="EG28" i="7"/>
  <c r="EI28" i="7"/>
  <c r="EK28" i="7"/>
  <c r="EM28" i="7"/>
  <c r="EO28" i="7"/>
  <c r="EQ28" i="7"/>
  <c r="ES28" i="7"/>
  <c r="EU28" i="7"/>
  <c r="EW28" i="7"/>
  <c r="EY28" i="7"/>
  <c r="FA28" i="7"/>
  <c r="FC28" i="7"/>
  <c r="FE28" i="7"/>
  <c r="FG28" i="7"/>
  <c r="FI28" i="7"/>
  <c r="FK28" i="7"/>
  <c r="FM28" i="7"/>
  <c r="FO28" i="7"/>
  <c r="FQ28" i="7"/>
  <c r="FS28" i="7"/>
  <c r="FU28" i="7"/>
  <c r="FW28" i="7"/>
  <c r="FY28" i="7"/>
  <c r="GA28" i="7"/>
  <c r="GC28" i="7"/>
  <c r="GE28" i="7"/>
  <c r="GG28" i="7"/>
  <c r="GI28" i="7"/>
  <c r="GK28" i="7"/>
  <c r="GM28" i="7"/>
  <c r="GO28" i="7"/>
  <c r="GQ28" i="7"/>
  <c r="GS28" i="7"/>
  <c r="GU28" i="7"/>
  <c r="GW28" i="7"/>
  <c r="GY28" i="7"/>
  <c r="HA28" i="7"/>
  <c r="HC28" i="7"/>
  <c r="HE28" i="7"/>
  <c r="HG28" i="7"/>
  <c r="HI28" i="7"/>
  <c r="HK28" i="7"/>
  <c r="HM28" i="7"/>
  <c r="HO28" i="7"/>
  <c r="HQ28" i="7"/>
  <c r="HS28" i="7"/>
  <c r="HU28" i="7"/>
  <c r="HW28" i="7"/>
  <c r="HY28" i="7"/>
  <c r="IA28" i="7"/>
  <c r="IC28" i="7"/>
  <c r="IE28" i="7"/>
  <c r="IG28" i="7"/>
  <c r="II28" i="7"/>
  <c r="IK28" i="7"/>
  <c r="IM28" i="7"/>
  <c r="IO28" i="7"/>
  <c r="IQ28" i="7"/>
  <c r="IS28" i="7"/>
  <c r="IU28" i="7"/>
  <c r="IW28" i="7"/>
  <c r="IY28" i="7"/>
  <c r="JA28" i="7"/>
  <c r="JC28" i="7"/>
  <c r="JE28" i="7"/>
  <c r="JG28" i="7"/>
  <c r="JI28" i="7"/>
  <c r="JK28" i="7"/>
  <c r="JM28" i="7"/>
  <c r="JO28" i="7"/>
  <c r="JQ28" i="7"/>
  <c r="JS28" i="7"/>
  <c r="JU28" i="7"/>
  <c r="JW28" i="7"/>
  <c r="JY28" i="7"/>
  <c r="KA28" i="7"/>
  <c r="KC28" i="7"/>
  <c r="KE28" i="7"/>
  <c r="KG28" i="7"/>
  <c r="KI28" i="7"/>
  <c r="KK28" i="7"/>
  <c r="KM28" i="7"/>
  <c r="KO28" i="7"/>
  <c r="KQ28" i="7"/>
  <c r="KS28" i="7"/>
  <c r="KU28" i="7"/>
  <c r="KW28" i="7"/>
  <c r="KY28" i="7"/>
  <c r="LA28" i="7"/>
  <c r="LC28" i="7"/>
  <c r="LE28" i="7"/>
  <c r="LG28" i="7"/>
  <c r="LI28" i="7"/>
  <c r="LK28" i="7"/>
  <c r="LM28" i="7"/>
  <c r="LO28" i="7"/>
  <c r="LQ28" i="7"/>
  <c r="LS28" i="7"/>
  <c r="LU28" i="7"/>
  <c r="LW28" i="7"/>
  <c r="LY28" i="7"/>
  <c r="MA28" i="7"/>
  <c r="MC28" i="7"/>
  <c r="ME28" i="7"/>
  <c r="MG28" i="7"/>
  <c r="MI28" i="7"/>
  <c r="MK28" i="7"/>
  <c r="MM28" i="7"/>
  <c r="MO28" i="7"/>
  <c r="MQ28" i="7"/>
  <c r="MS28" i="7"/>
  <c r="MU28" i="7"/>
  <c r="MW28" i="7"/>
  <c r="MY28" i="7"/>
  <c r="NA28" i="7"/>
  <c r="NC28" i="7"/>
  <c r="NE28" i="7"/>
  <c r="NG28" i="7"/>
  <c r="NI28" i="7"/>
  <c r="NK28" i="7"/>
  <c r="NM28" i="7"/>
  <c r="NO28" i="7"/>
  <c r="NQ28" i="7"/>
  <c r="NS28" i="7"/>
  <c r="NU28" i="7"/>
  <c r="NW28" i="7"/>
  <c r="NY28" i="7"/>
  <c r="OA28" i="7"/>
  <c r="OC28" i="7"/>
  <c r="OE28" i="7"/>
  <c r="OG28" i="7"/>
  <c r="OI28" i="7"/>
  <c r="OK28" i="7"/>
  <c r="OM28" i="7"/>
  <c r="OO28" i="7"/>
  <c r="OQ28" i="7"/>
  <c r="OS28" i="7"/>
  <c r="OU28" i="7"/>
  <c r="OW28" i="7"/>
  <c r="OY28" i="7"/>
  <c r="PA28" i="7"/>
  <c r="PC28" i="7"/>
  <c r="PE28" i="7"/>
  <c r="PG28" i="7"/>
  <c r="PI28" i="7"/>
  <c r="PK28" i="7"/>
  <c r="PM28" i="7"/>
  <c r="PO28" i="7"/>
  <c r="PQ28" i="7"/>
  <c r="PS28" i="7"/>
  <c r="PU28" i="7"/>
  <c r="PW28" i="7"/>
  <c r="PY28" i="7"/>
  <c r="QA28" i="7"/>
  <c r="QC28" i="7"/>
  <c r="QE28" i="7"/>
  <c r="QG28" i="7"/>
  <c r="QI28" i="7"/>
  <c r="QK28" i="7"/>
  <c r="QM28" i="7"/>
  <c r="QO28" i="7"/>
  <c r="QQ28" i="7"/>
  <c r="QS28" i="7"/>
  <c r="QU28" i="7"/>
  <c r="QW28" i="7"/>
  <c r="QY28" i="7"/>
  <c r="RA28" i="7"/>
  <c r="RC28" i="7"/>
  <c r="RE28" i="7"/>
  <c r="RG28" i="7"/>
  <c r="RI28" i="7"/>
  <c r="RK28" i="7"/>
  <c r="RM28" i="7"/>
  <c r="RO28" i="7"/>
  <c r="RQ28" i="7"/>
  <c r="RS28" i="7"/>
  <c r="RU28" i="7"/>
  <c r="RW28" i="7"/>
  <c r="RY28" i="7"/>
  <c r="SA28" i="7"/>
  <c r="SC28" i="7"/>
  <c r="SE28" i="7"/>
  <c r="SG28" i="7"/>
  <c r="SI28" i="7"/>
  <c r="SK28" i="7"/>
  <c r="SM28" i="7"/>
  <c r="SO28" i="7"/>
  <c r="SQ28" i="7"/>
  <c r="SS28" i="7"/>
  <c r="SU28" i="7"/>
  <c r="SW28" i="7"/>
  <c r="SY28" i="7"/>
  <c r="TA28" i="7"/>
  <c r="TC28" i="7"/>
  <c r="TE28" i="7"/>
  <c r="TG28" i="7"/>
  <c r="TI28" i="7"/>
  <c r="TK28" i="7"/>
  <c r="TM28" i="7"/>
  <c r="TO28" i="7"/>
  <c r="TQ28" i="7"/>
  <c r="TS28" i="7"/>
  <c r="TU28" i="7"/>
  <c r="TW28" i="7"/>
  <c r="TY28" i="7"/>
  <c r="UA28" i="7"/>
  <c r="UC28" i="7"/>
  <c r="UE28" i="7"/>
  <c r="UG28" i="7"/>
  <c r="UI28" i="7"/>
  <c r="UK28" i="7"/>
  <c r="UM28" i="7"/>
  <c r="UO28" i="7"/>
  <c r="UQ28" i="7"/>
  <c r="US28" i="7"/>
  <c r="UU28" i="7"/>
  <c r="UW28" i="7"/>
  <c r="UY28" i="7"/>
  <c r="VA28" i="7"/>
  <c r="VC28" i="7"/>
  <c r="VE28" i="7"/>
  <c r="VG28" i="7"/>
  <c r="VI28" i="7"/>
  <c r="VK28" i="7"/>
  <c r="VM28" i="7"/>
  <c r="VO28" i="7"/>
  <c r="VQ28" i="7"/>
  <c r="VS28" i="7"/>
  <c r="VU28" i="7"/>
  <c r="VW28" i="7"/>
  <c r="VY28" i="7"/>
  <c r="WA28" i="7"/>
  <c r="WC28" i="7"/>
  <c r="WE28" i="7"/>
  <c r="WG28" i="7"/>
  <c r="WI28" i="7"/>
  <c r="WK28" i="7"/>
  <c r="WM28" i="7"/>
  <c r="WO28" i="7"/>
  <c r="WQ28" i="7"/>
  <c r="WS28" i="7"/>
  <c r="WU28" i="7"/>
  <c r="WW28" i="7"/>
  <c r="WY28" i="7"/>
  <c r="XA28" i="7"/>
  <c r="XC28" i="7"/>
  <c r="XE28" i="7"/>
  <c r="XG28" i="7"/>
  <c r="XI28" i="7"/>
  <c r="XK28" i="7"/>
  <c r="XM28" i="7"/>
  <c r="XO28" i="7"/>
  <c r="XQ28" i="7"/>
  <c r="XS28" i="7"/>
  <c r="XU28" i="7"/>
  <c r="XW28" i="7"/>
  <c r="XY28" i="7"/>
  <c r="YA28" i="7"/>
  <c r="YC28" i="7"/>
  <c r="YE28" i="7"/>
  <c r="YG28" i="7"/>
  <c r="YI28" i="7"/>
  <c r="YK28" i="7"/>
  <c r="YM28" i="7"/>
  <c r="YO28" i="7"/>
  <c r="YQ28" i="7"/>
  <c r="YS28" i="7"/>
  <c r="YU28" i="7"/>
  <c r="YW28" i="7"/>
  <c r="YY28" i="7"/>
  <c r="ZA28" i="7"/>
  <c r="ZC28" i="7"/>
  <c r="ZE28" i="7"/>
  <c r="ZG28" i="7"/>
  <c r="ZI28" i="7"/>
  <c r="ZK28" i="7"/>
  <c r="ZM28" i="7"/>
  <c r="ZO28" i="7"/>
  <c r="ZQ28" i="7"/>
  <c r="ZS28" i="7"/>
  <c r="ZU28" i="7"/>
  <c r="ZW28" i="7"/>
  <c r="ZY28" i="7"/>
  <c r="AAA28" i="7"/>
  <c r="AAC28" i="7"/>
  <c r="AAE28" i="7"/>
  <c r="AAG28" i="7"/>
  <c r="AAI28" i="7"/>
  <c r="AAK28" i="7"/>
  <c r="AAM28" i="7"/>
  <c r="AAO28" i="7"/>
  <c r="AAQ28" i="7"/>
  <c r="AAS28" i="7"/>
  <c r="AAU28" i="7"/>
  <c r="AAW28" i="7"/>
  <c r="AAY28" i="7"/>
  <c r="ABA28" i="7"/>
  <c r="ABC28" i="7"/>
  <c r="ABE28" i="7"/>
  <c r="ABG28" i="7"/>
  <c r="ABI28" i="7"/>
  <c r="ABK28" i="7"/>
  <c r="ABM28" i="7"/>
  <c r="ABO28" i="7"/>
  <c r="ABQ28" i="7"/>
  <c r="ABS28" i="7"/>
  <c r="ABU28" i="7"/>
  <c r="ABW28" i="7"/>
  <c r="ABY28" i="7"/>
  <c r="ACA28" i="7"/>
  <c r="ACC28" i="7"/>
  <c r="ACE28" i="7"/>
  <c r="ACG28" i="7"/>
  <c r="ACI28" i="7"/>
  <c r="ACK28" i="7"/>
  <c r="ACM28" i="7"/>
  <c r="ACO28" i="7"/>
  <c r="ACQ28" i="7"/>
  <c r="ACS28" i="7"/>
  <c r="ACU28" i="7"/>
  <c r="ACW28" i="7"/>
  <c r="ACY28" i="7"/>
  <c r="ADA28" i="7"/>
  <c r="ADC28" i="7"/>
  <c r="ADE28" i="7"/>
  <c r="ADG28" i="7"/>
  <c r="ADI28" i="7"/>
  <c r="ADK28" i="7"/>
  <c r="ADM28" i="7"/>
  <c r="ADO28" i="7"/>
  <c r="ADQ28" i="7"/>
  <c r="ADS28" i="7"/>
  <c r="ADU28" i="7"/>
  <c r="ADW28" i="7"/>
  <c r="ADY28" i="7"/>
  <c r="AEA28" i="7"/>
  <c r="AEC28" i="7"/>
  <c r="AEE28" i="7"/>
  <c r="AEG28" i="7"/>
  <c r="AEI28" i="7"/>
  <c r="AEK28" i="7"/>
  <c r="AEM28" i="7"/>
  <c r="AEO28" i="7"/>
  <c r="AEQ28" i="7"/>
  <c r="AES28" i="7"/>
  <c r="AEU28" i="7"/>
  <c r="AEW28" i="7"/>
  <c r="AEY28" i="7"/>
  <c r="AFA28" i="7"/>
  <c r="AFC28" i="7"/>
  <c r="AFE28" i="7"/>
  <c r="AFG28" i="7"/>
  <c r="AFI28" i="7"/>
  <c r="AFK28" i="7"/>
  <c r="AFM28" i="7"/>
  <c r="AFO28" i="7"/>
  <c r="AFQ28" i="7"/>
  <c r="AFS28" i="7"/>
  <c r="AFU28" i="7"/>
  <c r="AFW28" i="7"/>
  <c r="AFY28" i="7"/>
  <c r="AGA28" i="7"/>
  <c r="AGC28" i="7"/>
  <c r="AGE28" i="7"/>
  <c r="AGG28" i="7"/>
  <c r="AGI28" i="7"/>
  <c r="AGK28" i="7"/>
  <c r="AGM28" i="7"/>
  <c r="AGO28" i="7"/>
  <c r="AGQ28" i="7"/>
  <c r="AGS28" i="7"/>
  <c r="AGU28" i="7"/>
  <c r="AGW28" i="7"/>
  <c r="AGY28" i="7"/>
  <c r="AHA28" i="7"/>
  <c r="AHC28" i="7"/>
  <c r="AHE28" i="7"/>
  <c r="AHG28" i="7"/>
  <c r="AHI28" i="7"/>
  <c r="AHK28" i="7"/>
  <c r="AHM28" i="7"/>
  <c r="AHO28" i="7"/>
  <c r="AHQ28" i="7"/>
  <c r="AHS28" i="7"/>
  <c r="AHU28" i="7"/>
  <c r="AHW28" i="7"/>
  <c r="AHY28" i="7"/>
  <c r="AIA28" i="7"/>
  <c r="AIC28" i="7"/>
  <c r="AIE28" i="7"/>
  <c r="AIG28" i="7"/>
  <c r="AII28" i="7"/>
  <c r="AIK28" i="7"/>
  <c r="AIM28" i="7"/>
  <c r="AIO28" i="7"/>
  <c r="AIQ28" i="7"/>
  <c r="AIS28" i="7"/>
  <c r="AIU28" i="7"/>
  <c r="AIW28" i="7"/>
  <c r="AIY28" i="7"/>
  <c r="AJA28" i="7"/>
  <c r="AJC28" i="7"/>
  <c r="AJE28" i="7"/>
  <c r="AJG28" i="7"/>
  <c r="AJI28" i="7"/>
  <c r="AJK28" i="7"/>
  <c r="AJM28" i="7"/>
  <c r="AJO28" i="7"/>
  <c r="AJQ28" i="7"/>
  <c r="AJS28" i="7"/>
  <c r="AJU28" i="7"/>
  <c r="AJW28" i="7"/>
  <c r="AJY28" i="7"/>
  <c r="AKA28" i="7"/>
  <c r="AKC28" i="7"/>
  <c r="AKE28" i="7"/>
  <c r="AKG28" i="7"/>
  <c r="AKI28" i="7"/>
  <c r="AKK28" i="7"/>
  <c r="AKM28" i="7"/>
  <c r="AKO28" i="7"/>
  <c r="AKQ28" i="7"/>
  <c r="AKS28" i="7"/>
  <c r="AKU28" i="7"/>
  <c r="AKW28" i="7"/>
  <c r="AKY28" i="7"/>
  <c r="ALA28" i="7"/>
  <c r="ALC28" i="7"/>
  <c r="ALE28" i="7"/>
  <c r="ALG28" i="7"/>
  <c r="ALI28" i="7"/>
  <c r="ALK28" i="7"/>
  <c r="ALM28" i="7"/>
  <c r="ALO28" i="7"/>
  <c r="ALQ28" i="7"/>
  <c r="ALS28" i="7"/>
  <c r="ALU28" i="7"/>
  <c r="ALW28" i="7"/>
  <c r="ALY28" i="7"/>
  <c r="AMA28" i="7"/>
  <c r="AMC28" i="7"/>
  <c r="AME28" i="7"/>
  <c r="AMG28" i="7"/>
  <c r="AMI28" i="7"/>
  <c r="AMK28" i="7"/>
  <c r="AMM28" i="7"/>
  <c r="AMO28" i="7"/>
  <c r="AMQ28" i="7"/>
  <c r="AMS28" i="7"/>
  <c r="AMU28" i="7"/>
  <c r="AMW28" i="7"/>
  <c r="AMY28" i="7"/>
  <c r="ANA28" i="7"/>
  <c r="ANC28" i="7"/>
  <c r="ANE28" i="7"/>
  <c r="ANG28" i="7"/>
  <c r="ANI28" i="7"/>
  <c r="ANK28" i="7"/>
  <c r="ANM28" i="7"/>
  <c r="ANO28" i="7"/>
  <c r="ANQ28" i="7"/>
  <c r="ANS28" i="7"/>
  <c r="ANU28" i="7"/>
  <c r="ANW28" i="7"/>
  <c r="ANY28" i="7"/>
  <c r="AOA28" i="7"/>
  <c r="AOC28" i="7"/>
  <c r="AOE28" i="7"/>
  <c r="AOG28" i="7"/>
  <c r="AOI28" i="7"/>
  <c r="AOK28" i="7"/>
  <c r="AOM28" i="7"/>
  <c r="AOO28" i="7"/>
  <c r="AOQ28" i="7"/>
  <c r="AOS28" i="7"/>
  <c r="AOU28" i="7"/>
  <c r="AOW28" i="7"/>
  <c r="AOY28" i="7"/>
  <c r="APA28" i="7"/>
  <c r="APC28" i="7"/>
  <c r="APE28" i="7"/>
  <c r="APG28" i="7"/>
  <c r="API28" i="7"/>
  <c r="APK28" i="7"/>
  <c r="APM28" i="7"/>
  <c r="APO28" i="7"/>
  <c r="APQ28" i="7"/>
  <c r="APS28" i="7"/>
  <c r="APU28" i="7"/>
  <c r="APW28" i="7"/>
  <c r="APY28" i="7"/>
  <c r="AQA28" i="7"/>
  <c r="AQC28" i="7"/>
  <c r="AQE28" i="7"/>
  <c r="AQG28" i="7"/>
  <c r="AQI28" i="7"/>
  <c r="AQK28" i="7"/>
  <c r="AQM28" i="7"/>
  <c r="AQO28" i="7"/>
  <c r="AQQ28" i="7"/>
  <c r="AQS28" i="7"/>
  <c r="AQU28" i="7"/>
  <c r="AQW28" i="7"/>
  <c r="AQY28" i="7"/>
  <c r="ARA28" i="7"/>
  <c r="ARC28" i="7"/>
  <c r="ARE28" i="7"/>
  <c r="ARG28" i="7"/>
  <c r="ARI28" i="7"/>
  <c r="ARK28" i="7"/>
  <c r="ARM28" i="7"/>
  <c r="ARO28" i="7"/>
  <c r="ARQ28" i="7"/>
  <c r="ARS28" i="7"/>
  <c r="ARU28" i="7"/>
  <c r="ARW28" i="7"/>
  <c r="ARY28" i="7"/>
  <c r="ASA28" i="7"/>
  <c r="ASC28" i="7"/>
  <c r="ASE28" i="7"/>
  <c r="ASG28" i="7"/>
  <c r="ASI28" i="7"/>
  <c r="ASK28" i="7"/>
  <c r="ASM28" i="7"/>
  <c r="ASO28" i="7"/>
  <c r="ASQ28" i="7"/>
  <c r="ASS28" i="7"/>
  <c r="ASU28" i="7"/>
  <c r="ASW28" i="7"/>
  <c r="ASY28" i="7"/>
  <c r="ATA28" i="7"/>
  <c r="ATC28" i="7"/>
  <c r="ATE28" i="7"/>
  <c r="ATG28" i="7"/>
  <c r="ATI28" i="7"/>
  <c r="ATK28" i="7"/>
  <c r="ATM28" i="7"/>
  <c r="ATO28" i="7"/>
  <c r="ATQ28" i="7"/>
  <c r="ATS28" i="7"/>
  <c r="ATU28" i="7"/>
  <c r="ATW28" i="7"/>
  <c r="ATY28" i="7"/>
  <c r="AUA28" i="7"/>
  <c r="AUC28" i="7"/>
  <c r="AUE28" i="7"/>
  <c r="AUG28" i="7"/>
  <c r="AUI28" i="7"/>
  <c r="AUK28" i="7"/>
  <c r="AUM28" i="7"/>
  <c r="AUO28" i="7"/>
  <c r="AUQ28" i="7"/>
  <c r="AUS28" i="7"/>
  <c r="AUU28" i="7"/>
  <c r="AUW28" i="7"/>
  <c r="AUY28" i="7"/>
  <c r="AVA28" i="7"/>
  <c r="AVC28" i="7"/>
  <c r="AVE28" i="7"/>
  <c r="AVG28" i="7"/>
  <c r="AVI28" i="7"/>
  <c r="AVK28" i="7"/>
  <c r="AVM28" i="7"/>
  <c r="AVO28" i="7"/>
  <c r="AVQ28" i="7"/>
  <c r="AVS28" i="7"/>
  <c r="AVU28" i="7"/>
  <c r="AVW28" i="7"/>
  <c r="AVY28" i="7"/>
  <c r="AWA28" i="7"/>
  <c r="AWC28" i="7"/>
  <c r="AWE28" i="7"/>
  <c r="AWG28" i="7"/>
  <c r="AWI28" i="7"/>
  <c r="AWK28" i="7"/>
  <c r="AWM28" i="7"/>
  <c r="AWO28" i="7"/>
  <c r="AWQ28" i="7"/>
  <c r="AWS28" i="7"/>
  <c r="AWU28" i="7"/>
  <c r="AWW28" i="7"/>
  <c r="AWY28" i="7"/>
  <c r="AXA28" i="7"/>
  <c r="AXC28" i="7"/>
  <c r="AXE28" i="7"/>
  <c r="AXG28" i="7"/>
  <c r="AXI28" i="7"/>
  <c r="AXK28" i="7"/>
  <c r="AXM28" i="7"/>
  <c r="AXO28" i="7"/>
  <c r="AXQ28" i="7"/>
  <c r="AXS28" i="7"/>
  <c r="AXU28" i="7"/>
  <c r="AXW28" i="7"/>
  <c r="AXY28" i="7"/>
  <c r="AYA28" i="7"/>
  <c r="AYC28" i="7"/>
  <c r="AYE28" i="7"/>
  <c r="AYG28" i="7"/>
  <c r="AYI28" i="7"/>
  <c r="AYK28" i="7"/>
  <c r="AYM28" i="7"/>
  <c r="AYO28" i="7"/>
  <c r="AYQ28" i="7"/>
  <c r="AYS28" i="7"/>
  <c r="AYU28" i="7"/>
  <c r="AYW28" i="7"/>
  <c r="AYY28" i="7"/>
  <c r="AZA28" i="7"/>
  <c r="AZC28" i="7"/>
  <c r="AZE28" i="7"/>
  <c r="AZG28" i="7"/>
  <c r="AZI28" i="7"/>
  <c r="AZK28" i="7"/>
  <c r="AZM28" i="7"/>
  <c r="AZO28" i="7"/>
  <c r="AZQ28" i="7"/>
  <c r="AZS28" i="7"/>
  <c r="AZU28" i="7"/>
  <c r="AZW28" i="7"/>
  <c r="AZY28" i="7"/>
  <c r="BAA28" i="7"/>
  <c r="BAC28" i="7"/>
  <c r="BAE28" i="7"/>
  <c r="BAG28" i="7"/>
  <c r="BAI28" i="7"/>
  <c r="BAK28" i="7"/>
  <c r="BAM28" i="7"/>
  <c r="BAO28" i="7"/>
  <c r="BAQ28" i="7"/>
  <c r="BAS28" i="7"/>
  <c r="BAU28" i="7"/>
  <c r="BAW28" i="7"/>
  <c r="BAY28" i="7"/>
  <c r="BBA28" i="7"/>
  <c r="BBC28" i="7"/>
  <c r="BBE28" i="7"/>
  <c r="BBG28" i="7"/>
  <c r="BBI28" i="7"/>
  <c r="BBK28" i="7"/>
  <c r="BBM28" i="7"/>
  <c r="BBO28" i="7"/>
  <c r="BBQ28" i="7"/>
  <c r="BBS28" i="7"/>
  <c r="BBU28" i="7"/>
  <c r="BBW28" i="7"/>
  <c r="BBY28" i="7"/>
  <c r="BCA28" i="7"/>
  <c r="BCC28" i="7"/>
  <c r="BCE28" i="7"/>
  <c r="BCG28" i="7"/>
  <c r="BCI28" i="7"/>
  <c r="BCK28" i="7"/>
  <c r="BCM28" i="7"/>
  <c r="BCO28" i="7"/>
  <c r="BCQ28" i="7"/>
  <c r="BCS28" i="7"/>
  <c r="BCU28" i="7"/>
  <c r="BCW28" i="7"/>
  <c r="BCY28" i="7"/>
  <c r="BDA28" i="7"/>
  <c r="BDC28" i="7"/>
  <c r="BDE28" i="7"/>
  <c r="BDG28" i="7"/>
  <c r="BDI28" i="7"/>
  <c r="BDK28" i="7"/>
  <c r="BDM28" i="7"/>
  <c r="BDO28" i="7"/>
  <c r="BDQ28" i="7"/>
  <c r="BDS28" i="7"/>
  <c r="BDU28" i="7"/>
  <c r="BDW28" i="7"/>
  <c r="BDY28" i="7"/>
  <c r="BEA28" i="7"/>
  <c r="BEC28" i="7"/>
  <c r="BEE28" i="7"/>
  <c r="BEG28" i="7"/>
  <c r="BEI28" i="7"/>
  <c r="BEK28" i="7"/>
  <c r="BEM28" i="7"/>
  <c r="BEO28" i="7"/>
  <c r="BEQ28" i="7"/>
  <c r="BES28" i="7"/>
  <c r="BEU28" i="7"/>
  <c r="BEW28" i="7"/>
  <c r="BEY28" i="7"/>
  <c r="BFA28" i="7"/>
  <c r="BFC28" i="7"/>
  <c r="BFE28" i="7"/>
  <c r="BFG28" i="7"/>
  <c r="BFI28" i="7"/>
  <c r="BFK28" i="7"/>
  <c r="BFM28" i="7"/>
  <c r="BFO28" i="7"/>
  <c r="BFQ28" i="7"/>
  <c r="BFS28" i="7"/>
  <c r="BFU28" i="7"/>
  <c r="BFW28" i="7"/>
  <c r="BFY28" i="7"/>
  <c r="BGA28" i="7"/>
  <c r="BGC28" i="7"/>
  <c r="BGE28" i="7"/>
  <c r="BGG28" i="7"/>
  <c r="BGI28" i="7"/>
  <c r="BGK28" i="7"/>
  <c r="BGM28" i="7"/>
  <c r="BGO28" i="7"/>
  <c r="BGQ28" i="7"/>
  <c r="BGS28" i="7"/>
  <c r="BGU28" i="7"/>
  <c r="BGW28" i="7"/>
  <c r="BGY28" i="7"/>
  <c r="BHA28" i="7"/>
  <c r="BHC28" i="7"/>
  <c r="BHE28" i="7"/>
  <c r="BHG28" i="7"/>
  <c r="BHI28" i="7"/>
  <c r="BHK28" i="7"/>
  <c r="BHM28" i="7"/>
  <c r="BHO28" i="7"/>
  <c r="BHQ28" i="7"/>
  <c r="BHS28" i="7"/>
  <c r="BHU28" i="7"/>
  <c r="BHW28" i="7"/>
  <c r="BHY28" i="7"/>
  <c r="BIA28" i="7"/>
  <c r="BIC28" i="7"/>
  <c r="BIE28" i="7"/>
  <c r="BIG28" i="7"/>
  <c r="BII28" i="7"/>
  <c r="BIK28" i="7"/>
  <c r="BIM28" i="7"/>
  <c r="BIO28" i="7"/>
  <c r="BIQ28" i="7"/>
  <c r="BIS28" i="7"/>
  <c r="BIU28" i="7"/>
  <c r="BIW28" i="7"/>
  <c r="BIY28" i="7"/>
  <c r="BJA28" i="7"/>
  <c r="BJC28" i="7"/>
  <c r="BJE28" i="7"/>
  <c r="BJG28" i="7"/>
  <c r="BJI28" i="7"/>
  <c r="BJK28" i="7"/>
  <c r="BJM28" i="7"/>
  <c r="BJO28" i="7"/>
  <c r="BJQ28" i="7"/>
  <c r="BJS28" i="7"/>
  <c r="BJU28" i="7"/>
  <c r="BJW28" i="7"/>
  <c r="BJY28" i="7"/>
  <c r="BKA28" i="7"/>
  <c r="BKC28" i="7"/>
  <c r="BKE28" i="7"/>
  <c r="BKG28" i="7"/>
  <c r="BKI28" i="7"/>
  <c r="BKK28" i="7"/>
  <c r="BKM28" i="7"/>
  <c r="BKO28" i="7"/>
  <c r="BKQ28" i="7"/>
  <c r="BKS28" i="7"/>
  <c r="BKU28" i="7"/>
  <c r="BKW28" i="7"/>
  <c r="BKY28" i="7"/>
  <c r="BLA28" i="7"/>
  <c r="BLC28" i="7"/>
  <c r="BLE28" i="7"/>
  <c r="BLG28" i="7"/>
  <c r="BLI28" i="7"/>
  <c r="BLK28" i="7"/>
  <c r="BLM28" i="7"/>
  <c r="BLO28" i="7"/>
  <c r="BLQ28" i="7"/>
  <c r="BLS28" i="7"/>
  <c r="BLU28" i="7"/>
  <c r="BLW28" i="7"/>
  <c r="BLY28" i="7"/>
  <c r="BMA28" i="7"/>
  <c r="BMC28" i="7"/>
  <c r="BME28" i="7"/>
  <c r="BMG28" i="7"/>
  <c r="BMI28" i="7"/>
  <c r="BMK28" i="7"/>
  <c r="BMM28" i="7"/>
  <c r="BMO28" i="7"/>
  <c r="BMQ28" i="7"/>
  <c r="BMS28" i="7"/>
  <c r="BMU28" i="7"/>
  <c r="BMW28" i="7"/>
  <c r="BMY28" i="7"/>
  <c r="BNA28" i="7"/>
  <c r="BNC28" i="7"/>
  <c r="BNE28" i="7"/>
  <c r="BNG28" i="7"/>
  <c r="BNI28" i="7"/>
  <c r="BNK28" i="7"/>
  <c r="BNM28" i="7"/>
  <c r="BNO28" i="7"/>
  <c r="BNQ28" i="7"/>
  <c r="BNS28" i="7"/>
  <c r="BNU28" i="7"/>
  <c r="BNW28" i="7"/>
  <c r="BNY28" i="7"/>
  <c r="BOA28" i="7"/>
  <c r="BOC28" i="7"/>
  <c r="BOE28" i="7"/>
  <c r="BOG28" i="7"/>
  <c r="BOI28" i="7"/>
  <c r="BOK28" i="7"/>
  <c r="BOM28" i="7"/>
  <c r="BOO28" i="7"/>
  <c r="BOQ28" i="7"/>
  <c r="BOS28" i="7"/>
  <c r="BOU28" i="7"/>
  <c r="BOW28" i="7"/>
  <c r="BOY28" i="7"/>
  <c r="BPA28" i="7"/>
  <c r="BPC28" i="7"/>
  <c r="BPE28" i="7"/>
  <c r="BPG28" i="7"/>
  <c r="BPI28" i="7"/>
  <c r="BPK28" i="7"/>
  <c r="BPM28" i="7"/>
  <c r="BPO28" i="7"/>
  <c r="BPQ28" i="7"/>
  <c r="BPS28" i="7"/>
  <c r="BPU28" i="7"/>
  <c r="BPW28" i="7"/>
  <c r="BPY28" i="7"/>
  <c r="BQA28" i="7"/>
  <c r="BQC28" i="7"/>
  <c r="BQE28" i="7"/>
  <c r="BQG28" i="7"/>
  <c r="BQI28" i="7"/>
  <c r="BQK28" i="7"/>
  <c r="BQM28" i="7"/>
  <c r="BQO28" i="7"/>
  <c r="BQQ28" i="7"/>
  <c r="BQS28" i="7"/>
  <c r="BQU28" i="7"/>
  <c r="BQW28" i="7"/>
  <c r="BQY28" i="7"/>
  <c r="BRA28" i="7"/>
  <c r="BRC28" i="7"/>
  <c r="BRE28" i="7"/>
  <c r="BRG28" i="7"/>
  <c r="BRI28" i="7"/>
  <c r="BRK28" i="7"/>
  <c r="BRM28" i="7"/>
  <c r="BRO28" i="7"/>
  <c r="BRQ28" i="7"/>
  <c r="BRS28" i="7"/>
  <c r="BRU28" i="7"/>
  <c r="BRW28" i="7"/>
  <c r="BRY28" i="7"/>
  <c r="BSA28" i="7"/>
  <c r="BSC28" i="7"/>
  <c r="BSE28" i="7"/>
  <c r="BSG28" i="7"/>
  <c r="BSI28" i="7"/>
  <c r="BSK28" i="7"/>
  <c r="BSM28" i="7"/>
  <c r="BSO28" i="7"/>
  <c r="BSQ28" i="7"/>
  <c r="BSS28" i="7"/>
  <c r="BSU28" i="7"/>
  <c r="BSW28" i="7"/>
  <c r="BSY28" i="7"/>
  <c r="BTA28" i="7"/>
  <c r="BTC28" i="7"/>
  <c r="BTE28" i="7"/>
  <c r="BTG28" i="7"/>
  <c r="BTI28" i="7"/>
  <c r="BTK28" i="7"/>
  <c r="BTM28" i="7"/>
  <c r="BTO28" i="7"/>
  <c r="BTQ28" i="7"/>
  <c r="BTS28" i="7"/>
  <c r="BTU28" i="7"/>
  <c r="BTW28" i="7"/>
  <c r="BTY28" i="7"/>
  <c r="BUA28" i="7"/>
  <c r="BUC28" i="7"/>
  <c r="BUE28" i="7"/>
  <c r="BUG28" i="7"/>
  <c r="BUI28" i="7"/>
  <c r="BUK28" i="7"/>
  <c r="BUM28" i="7"/>
  <c r="BUO28" i="7"/>
  <c r="BUQ28" i="7"/>
  <c r="BUS28" i="7"/>
  <c r="BUU28" i="7"/>
  <c r="BUW28" i="7"/>
  <c r="BUY28" i="7"/>
  <c r="BVA28" i="7"/>
  <c r="BVC28" i="7"/>
  <c r="BVE28" i="7"/>
  <c r="BVG28" i="7"/>
  <c r="BVI28" i="7"/>
  <c r="BVK28" i="7"/>
  <c r="BVM28" i="7"/>
  <c r="BVO28" i="7"/>
  <c r="BVQ28" i="7"/>
  <c r="BVS28" i="7"/>
  <c r="BVU28" i="7"/>
  <c r="BVW28" i="7"/>
  <c r="BVY28" i="7"/>
  <c r="BWA28" i="7"/>
  <c r="BWC28" i="7"/>
  <c r="BWE28" i="7"/>
  <c r="BWG28" i="7"/>
  <c r="BWI28" i="7"/>
  <c r="BWK28" i="7"/>
  <c r="BWM28" i="7"/>
  <c r="BWO28" i="7"/>
  <c r="BWQ28" i="7"/>
  <c r="BWS28" i="7"/>
  <c r="BWU28" i="7"/>
  <c r="BWW28" i="7"/>
  <c r="BWY28" i="7"/>
  <c r="BXA28" i="7"/>
  <c r="BXC28" i="7"/>
  <c r="BXE28" i="7"/>
  <c r="BXG28" i="7"/>
  <c r="BXI28" i="7"/>
  <c r="BXK28" i="7"/>
  <c r="BXM28" i="7"/>
  <c r="BXO28" i="7"/>
  <c r="BXQ28" i="7"/>
  <c r="BXS28" i="7"/>
  <c r="BXU28" i="7"/>
  <c r="BXW28" i="7"/>
  <c r="BXY28" i="7"/>
  <c r="BYA28" i="7"/>
  <c r="BYC28" i="7"/>
  <c r="BYE28" i="7"/>
  <c r="BYG28" i="7"/>
  <c r="BYI28" i="7"/>
  <c r="BYK28" i="7"/>
  <c r="BYM28" i="7"/>
  <c r="BYO28" i="7"/>
  <c r="BYQ28" i="7"/>
  <c r="BYS28" i="7"/>
  <c r="BYU28" i="7"/>
  <c r="BYW28" i="7"/>
  <c r="BYY28" i="7"/>
  <c r="BZA28" i="7"/>
  <c r="BZC28" i="7"/>
  <c r="BZE28" i="7"/>
  <c r="BZG28" i="7"/>
  <c r="BZI28" i="7"/>
  <c r="BZK28" i="7"/>
  <c r="BZM28" i="7"/>
  <c r="BZO28" i="7"/>
  <c r="BZQ28" i="7"/>
  <c r="BZS28" i="7"/>
  <c r="BZU28" i="7"/>
  <c r="BZW28" i="7"/>
  <c r="BZY28" i="7"/>
  <c r="CAA28" i="7"/>
  <c r="CAC28" i="7"/>
  <c r="CAE28" i="7"/>
  <c r="CAG28" i="7"/>
  <c r="CAI28" i="7"/>
  <c r="CAK28" i="7"/>
  <c r="CAM28" i="7"/>
  <c r="CAO28" i="7"/>
  <c r="CAQ28" i="7"/>
  <c r="CAS28" i="7"/>
  <c r="CAU28" i="7"/>
  <c r="CAW28" i="7"/>
  <c r="CAY28" i="7"/>
  <c r="CBA28" i="7"/>
  <c r="CBC28" i="7"/>
  <c r="CBE28" i="7"/>
  <c r="CBG28" i="7"/>
  <c r="CBI28" i="7"/>
  <c r="CBK28" i="7"/>
  <c r="CBM28" i="7"/>
  <c r="CBO28" i="7"/>
  <c r="CBQ28" i="7"/>
  <c r="CBS28" i="7"/>
  <c r="CBU28" i="7"/>
  <c r="CBW28" i="7"/>
  <c r="CBY28" i="7"/>
  <c r="CCA28" i="7"/>
  <c r="CCC28" i="7"/>
  <c r="CCE28" i="7"/>
  <c r="CCG28" i="7"/>
  <c r="CCI28" i="7"/>
  <c r="CCK28" i="7"/>
  <c r="CCM28" i="7"/>
  <c r="CCO28" i="7"/>
  <c r="CCQ28" i="7"/>
  <c r="CCS28" i="7"/>
  <c r="CCU28" i="7"/>
  <c r="CCW28" i="7"/>
  <c r="CCY28" i="7"/>
  <c r="CDA28" i="7"/>
  <c r="CDC28" i="7"/>
  <c r="CDE28" i="7"/>
  <c r="CDG28" i="7"/>
  <c r="CDI28" i="7"/>
  <c r="CDK28" i="7"/>
  <c r="CDM28" i="7"/>
  <c r="CDO28" i="7"/>
  <c r="CDQ28" i="7"/>
  <c r="CDS28" i="7"/>
  <c r="CDU28" i="7"/>
  <c r="CDW28" i="7"/>
  <c r="CDY28" i="7"/>
  <c r="CEA28" i="7"/>
  <c r="CEC28" i="7"/>
  <c r="CEE28" i="7"/>
  <c r="CEG28" i="7"/>
  <c r="CEI28" i="7"/>
  <c r="CEK28" i="7"/>
  <c r="CEM28" i="7"/>
  <c r="CEO28" i="7"/>
  <c r="CEQ28" i="7"/>
  <c r="CES28" i="7"/>
  <c r="CEU28" i="7"/>
  <c r="CEW28" i="7"/>
  <c r="CEY28" i="7"/>
  <c r="CFA28" i="7"/>
  <c r="CFC28" i="7"/>
  <c r="CFE28" i="7"/>
  <c r="CFG28" i="7"/>
  <c r="CFI28" i="7"/>
  <c r="CFK28" i="7"/>
  <c r="CFM28" i="7"/>
  <c r="CFO28" i="7"/>
  <c r="CFQ28" i="7"/>
  <c r="CFS28" i="7"/>
  <c r="CFU28" i="7"/>
  <c r="CFW28" i="7"/>
  <c r="CFY28" i="7"/>
  <c r="CGA28" i="7"/>
  <c r="CGC28" i="7"/>
  <c r="CGE28" i="7"/>
  <c r="CGG28" i="7"/>
  <c r="CGI28" i="7"/>
  <c r="CGK28" i="7"/>
  <c r="CGM28" i="7"/>
  <c r="CGO28" i="7"/>
  <c r="CGQ28" i="7"/>
  <c r="CGS28" i="7"/>
  <c r="CGU28" i="7"/>
  <c r="CGW28" i="7"/>
  <c r="CGY28" i="7"/>
  <c r="CHA28" i="7"/>
  <c r="CHC28" i="7"/>
  <c r="CHE28" i="7"/>
  <c r="CHG28" i="7"/>
  <c r="CHI28" i="7"/>
  <c r="CHK28" i="7"/>
  <c r="CHM28" i="7"/>
  <c r="CHO28" i="7"/>
  <c r="CHQ28" i="7"/>
  <c r="CHS28" i="7"/>
  <c r="CHU28" i="7"/>
  <c r="CHW28" i="7"/>
  <c r="CHY28" i="7"/>
  <c r="CIA28" i="7"/>
  <c r="CIC28" i="7"/>
  <c r="CIE28" i="7"/>
  <c r="CIG28" i="7"/>
  <c r="CII28" i="7"/>
  <c r="CIK28" i="7"/>
  <c r="CIM28" i="7"/>
  <c r="CIO28" i="7"/>
  <c r="CIQ28" i="7"/>
  <c r="CIS28" i="7"/>
  <c r="CIU28" i="7"/>
  <c r="CIW28" i="7"/>
  <c r="CIY28" i="7"/>
  <c r="CJA28" i="7"/>
  <c r="CJC28" i="7"/>
  <c r="CJE28" i="7"/>
  <c r="CJG28" i="7"/>
  <c r="CJI28" i="7"/>
  <c r="CJK28" i="7"/>
  <c r="CJM28" i="7"/>
  <c r="CJO28" i="7"/>
  <c r="CJQ28" i="7"/>
  <c r="CJS28" i="7"/>
  <c r="CJU28" i="7"/>
  <c r="CJW28" i="7"/>
  <c r="CJY28" i="7"/>
  <c r="CKA28" i="7"/>
  <c r="CKC28" i="7"/>
  <c r="CKE28" i="7"/>
  <c r="CKG28" i="7"/>
  <c r="CKI28" i="7"/>
  <c r="CKK28" i="7"/>
  <c r="CKM28" i="7"/>
  <c r="CKO28" i="7"/>
  <c r="CKQ28" i="7"/>
  <c r="CKS28" i="7"/>
  <c r="CKU28" i="7"/>
  <c r="CKW28" i="7"/>
  <c r="CKY28" i="7"/>
  <c r="CLA28" i="7"/>
  <c r="CLC28" i="7"/>
  <c r="CLE28" i="7"/>
  <c r="CLG28" i="7"/>
  <c r="CLI28" i="7"/>
  <c r="CLK28" i="7"/>
  <c r="CLM28" i="7"/>
  <c r="CLO28" i="7"/>
  <c r="CLQ28" i="7"/>
  <c r="CLS28" i="7"/>
  <c r="CLU28" i="7"/>
  <c r="CLW28" i="7"/>
  <c r="CLY28" i="7"/>
  <c r="CMA28" i="7"/>
  <c r="CMC28" i="7"/>
  <c r="CME28" i="7"/>
  <c r="CMG28" i="7"/>
  <c r="CMI28" i="7"/>
  <c r="CMK28" i="7"/>
  <c r="CMM28" i="7"/>
  <c r="CMO28" i="7"/>
  <c r="CMQ28" i="7"/>
  <c r="CMS28" i="7"/>
  <c r="CMU28" i="7"/>
  <c r="CMW28" i="7"/>
  <c r="CMY28" i="7"/>
  <c r="CNA28" i="7"/>
  <c r="CNC28" i="7"/>
  <c r="CNE28" i="7"/>
  <c r="CNG28" i="7"/>
  <c r="CNI28" i="7"/>
  <c r="CNK28" i="7"/>
  <c r="CNM28" i="7"/>
  <c r="CNO28" i="7"/>
  <c r="CNQ28" i="7"/>
  <c r="CNS28" i="7"/>
  <c r="CNU28" i="7"/>
  <c r="CNW28" i="7"/>
  <c r="CNY28" i="7"/>
  <c r="COA28" i="7"/>
  <c r="COC28" i="7"/>
  <c r="COE28" i="7"/>
  <c r="COG28" i="7"/>
  <c r="COI28" i="7"/>
  <c r="COK28" i="7"/>
  <c r="COM28" i="7"/>
  <c r="COO28" i="7"/>
  <c r="COQ28" i="7"/>
  <c r="COS28" i="7"/>
  <c r="COU28" i="7"/>
  <c r="COW28" i="7"/>
  <c r="COY28" i="7"/>
  <c r="CPA28" i="7"/>
  <c r="CPC28" i="7"/>
  <c r="CPE28" i="7"/>
  <c r="CPG28" i="7"/>
  <c r="CPI28" i="7"/>
  <c r="CPK28" i="7"/>
  <c r="CPM28" i="7"/>
  <c r="CPO28" i="7"/>
  <c r="CPQ28" i="7"/>
  <c r="CPS28" i="7"/>
  <c r="CPU28" i="7"/>
  <c r="CPW28" i="7"/>
  <c r="CPY28" i="7"/>
  <c r="CQA28" i="7"/>
  <c r="CQC28" i="7"/>
  <c r="CQE28" i="7"/>
  <c r="CQG28" i="7"/>
  <c r="CQI28" i="7"/>
  <c r="CQK28" i="7"/>
  <c r="CQM28" i="7"/>
  <c r="CQO28" i="7"/>
  <c r="CQQ28" i="7"/>
  <c r="CQS28" i="7"/>
  <c r="CQU28" i="7"/>
  <c r="CQW28" i="7"/>
  <c r="CQY28" i="7"/>
  <c r="CRA28" i="7"/>
  <c r="CRC28" i="7"/>
  <c r="CRE28" i="7"/>
  <c r="CRG28" i="7"/>
  <c r="CRI28" i="7"/>
  <c r="CRK28" i="7"/>
  <c r="CRM28" i="7"/>
  <c r="CRO28" i="7"/>
  <c r="CRQ28" i="7"/>
  <c r="CRS28" i="7"/>
  <c r="CRU28" i="7"/>
  <c r="CRW28" i="7"/>
  <c r="CRY28" i="7"/>
  <c r="CSA28" i="7"/>
  <c r="CSC28" i="7"/>
  <c r="CSE28" i="7"/>
  <c r="CSG28" i="7"/>
  <c r="CSI28" i="7"/>
  <c r="CSK28" i="7"/>
  <c r="CSM28" i="7"/>
  <c r="CSO28" i="7"/>
  <c r="CSQ28" i="7"/>
  <c r="CSS28" i="7"/>
  <c r="CSU28" i="7"/>
  <c r="CSW28" i="7"/>
  <c r="CSY28" i="7"/>
  <c r="CTA28" i="7"/>
  <c r="CTC28" i="7"/>
  <c r="CTE28" i="7"/>
  <c r="CTG28" i="7"/>
  <c r="CTI28" i="7"/>
  <c r="CTK28" i="7"/>
  <c r="CTM28" i="7"/>
  <c r="CTO28" i="7"/>
  <c r="CTQ28" i="7"/>
  <c r="CTS28" i="7"/>
  <c r="CTU28" i="7"/>
  <c r="CTW28" i="7"/>
  <c r="CTY28" i="7"/>
  <c r="CUA28" i="7"/>
  <c r="CUC28" i="7"/>
  <c r="CUE28" i="7"/>
  <c r="CUG28" i="7"/>
  <c r="CUI28" i="7"/>
  <c r="CUK28" i="7"/>
  <c r="CUM28" i="7"/>
  <c r="CUO28" i="7"/>
  <c r="CUQ28" i="7"/>
  <c r="CUS28" i="7"/>
  <c r="CUU28" i="7"/>
  <c r="CUW28" i="7"/>
  <c r="CUY28" i="7"/>
  <c r="CVA28" i="7"/>
  <c r="CVC28" i="7"/>
  <c r="CVE28" i="7"/>
  <c r="CVG28" i="7"/>
  <c r="CVI28" i="7"/>
  <c r="CVK28" i="7"/>
  <c r="CVM28" i="7"/>
  <c r="CVO28" i="7"/>
  <c r="CVQ28" i="7"/>
  <c r="CVS28" i="7"/>
  <c r="CVU28" i="7"/>
  <c r="CVW28" i="7"/>
  <c r="CVY28" i="7"/>
  <c r="CWA28" i="7"/>
  <c r="CWC28" i="7"/>
  <c r="CWE28" i="7"/>
  <c r="CWG28" i="7"/>
  <c r="CWI28" i="7"/>
  <c r="CWK28" i="7"/>
  <c r="CWM28" i="7"/>
  <c r="CWO28" i="7"/>
  <c r="CWQ28" i="7"/>
  <c r="CWS28" i="7"/>
  <c r="CWU28" i="7"/>
  <c r="CWW28" i="7"/>
  <c r="CWY28" i="7"/>
  <c r="CXA28" i="7"/>
  <c r="CXC28" i="7"/>
  <c r="CXE28" i="7"/>
  <c r="CXG28" i="7"/>
  <c r="CXI28" i="7"/>
  <c r="CXK28" i="7"/>
  <c r="CXM28" i="7"/>
  <c r="CXO28" i="7"/>
  <c r="CXQ28" i="7"/>
  <c r="CXS28" i="7"/>
  <c r="CXU28" i="7"/>
  <c r="CXW28" i="7"/>
  <c r="CXY28" i="7"/>
  <c r="CYA28" i="7"/>
  <c r="CYC28" i="7"/>
  <c r="CYE28" i="7"/>
  <c r="CYG28" i="7"/>
  <c r="CYI28" i="7"/>
  <c r="CYK28" i="7"/>
  <c r="CYM28" i="7"/>
  <c r="CYO28" i="7"/>
  <c r="CYQ28" i="7"/>
  <c r="CYS28" i="7"/>
  <c r="CYU28" i="7"/>
  <c r="CYW28" i="7"/>
  <c r="CYY28" i="7"/>
  <c r="CZA28" i="7"/>
  <c r="CZC28" i="7"/>
  <c r="CZE28" i="7"/>
  <c r="CZG28" i="7"/>
  <c r="CZI28" i="7"/>
  <c r="CZK28" i="7"/>
  <c r="CZM28" i="7"/>
  <c r="CZO28" i="7"/>
  <c r="CZQ28" i="7"/>
  <c r="CZS28" i="7"/>
  <c r="CZU28" i="7"/>
  <c r="CZW28" i="7"/>
  <c r="CZY28" i="7"/>
  <c r="DAA28" i="7"/>
  <c r="DAC28" i="7"/>
  <c r="DAE28" i="7"/>
  <c r="DAG28" i="7"/>
  <c r="DAI28" i="7"/>
  <c r="DAK28" i="7"/>
  <c r="DAM28" i="7"/>
  <c r="DAO28" i="7"/>
  <c r="DAQ28" i="7"/>
  <c r="DAS28" i="7"/>
  <c r="DAU28" i="7"/>
  <c r="DAW28" i="7"/>
  <c r="DAY28" i="7"/>
  <c r="DBA28" i="7"/>
  <c r="DBC28" i="7"/>
  <c r="DBE28" i="7"/>
  <c r="DBG28" i="7"/>
  <c r="DBI28" i="7"/>
  <c r="DBK28" i="7"/>
  <c r="DBM28" i="7"/>
  <c r="DBO28" i="7"/>
  <c r="DBQ28" i="7"/>
  <c r="DBS28" i="7"/>
  <c r="DBU28" i="7"/>
  <c r="DBW28" i="7"/>
  <c r="DBY28" i="7"/>
  <c r="DCA28" i="7"/>
  <c r="DCC28" i="7"/>
  <c r="DCE28" i="7"/>
  <c r="DCG28" i="7"/>
  <c r="DCI28" i="7"/>
  <c r="DCK28" i="7"/>
  <c r="DCM28" i="7"/>
  <c r="DCO28" i="7"/>
  <c r="DCQ28" i="7"/>
  <c r="DCS28" i="7"/>
  <c r="DCU28" i="7"/>
  <c r="DCW28" i="7"/>
  <c r="DCY28" i="7"/>
  <c r="DDA28" i="7"/>
  <c r="DDC28" i="7"/>
  <c r="DDE28" i="7"/>
  <c r="DDG28" i="7"/>
  <c r="DDI28" i="7"/>
  <c r="DDK28" i="7"/>
  <c r="DDM28" i="7"/>
  <c r="DDO28" i="7"/>
  <c r="DDQ28" i="7"/>
  <c r="DDS28" i="7"/>
  <c r="DDU28" i="7"/>
  <c r="DDW28" i="7"/>
  <c r="DDY28" i="7"/>
  <c r="DEA28" i="7"/>
  <c r="DEC28" i="7"/>
  <c r="DEE28" i="7"/>
  <c r="DEG28" i="7"/>
  <c r="DEI28" i="7"/>
  <c r="DEK28" i="7"/>
  <c r="DEM28" i="7"/>
  <c r="DEO28" i="7"/>
  <c r="DEQ28" i="7"/>
  <c r="DES28" i="7"/>
  <c r="DEU28" i="7"/>
  <c r="DEW28" i="7"/>
  <c r="DEY28" i="7"/>
  <c r="DFA28" i="7"/>
  <c r="DFC28" i="7"/>
  <c r="DFE28" i="7"/>
  <c r="DFG28" i="7"/>
  <c r="DFI28" i="7"/>
  <c r="DFK28" i="7"/>
  <c r="DFM28" i="7"/>
  <c r="DFO28" i="7"/>
  <c r="DFQ28" i="7"/>
  <c r="DFS28" i="7"/>
  <c r="DFU28" i="7"/>
  <c r="DFW28" i="7"/>
  <c r="DFY28" i="7"/>
  <c r="DGA28" i="7"/>
  <c r="DGC28" i="7"/>
  <c r="DGE28" i="7"/>
  <c r="DGG28" i="7"/>
  <c r="DGI28" i="7"/>
  <c r="DGK28" i="7"/>
  <c r="DGM28" i="7"/>
  <c r="DGO28" i="7"/>
  <c r="DGQ28" i="7"/>
  <c r="DGS28" i="7"/>
  <c r="DGU28" i="7"/>
  <c r="DGW28" i="7"/>
  <c r="DGY28" i="7"/>
  <c r="DHA28" i="7"/>
  <c r="DHC28" i="7"/>
  <c r="DHE28" i="7"/>
  <c r="DHG28" i="7"/>
  <c r="DHI28" i="7"/>
  <c r="DHK28" i="7"/>
  <c r="DHM28" i="7"/>
  <c r="DHO28" i="7"/>
  <c r="DHQ28" i="7"/>
  <c r="DHS28" i="7"/>
  <c r="DHU28" i="7"/>
  <c r="DHW28" i="7"/>
  <c r="DHY28" i="7"/>
  <c r="DIA28" i="7"/>
  <c r="DIC28" i="7"/>
  <c r="DIE28" i="7"/>
  <c r="DIG28" i="7"/>
  <c r="DII28" i="7"/>
  <c r="DIK28" i="7"/>
  <c r="DIM28" i="7"/>
  <c r="DIO28" i="7"/>
  <c r="DIQ28" i="7"/>
  <c r="DIS28" i="7"/>
  <c r="DIU28" i="7"/>
  <c r="DIW28" i="7"/>
  <c r="DIY28" i="7"/>
  <c r="DJA28" i="7"/>
  <c r="DJC28" i="7"/>
  <c r="DJE28" i="7"/>
  <c r="DJG28" i="7"/>
  <c r="DJI28" i="7"/>
  <c r="DJK28" i="7"/>
  <c r="DJM28" i="7"/>
  <c r="DJO28" i="7"/>
  <c r="DJQ28" i="7"/>
  <c r="DJS28" i="7"/>
  <c r="DJU28" i="7"/>
  <c r="DJW28" i="7"/>
  <c r="DJY28" i="7"/>
  <c r="DKA28" i="7"/>
  <c r="DKC28" i="7"/>
  <c r="DKE28" i="7"/>
  <c r="DKG28" i="7"/>
  <c r="DKI28" i="7"/>
  <c r="DKK28" i="7"/>
  <c r="DKM28" i="7"/>
  <c r="DKO28" i="7"/>
  <c r="DKQ28" i="7"/>
  <c r="DKS28" i="7"/>
  <c r="DKU28" i="7"/>
  <c r="DKW28" i="7"/>
  <c r="DKY28" i="7"/>
  <c r="DLA28" i="7"/>
  <c r="DLC28" i="7"/>
  <c r="DLE28" i="7"/>
  <c r="DLG28" i="7"/>
  <c r="DLI28" i="7"/>
  <c r="DLK28" i="7"/>
  <c r="DLM28" i="7"/>
  <c r="DLO28" i="7"/>
  <c r="DLQ28" i="7"/>
  <c r="DLS28" i="7"/>
  <c r="DLU28" i="7"/>
  <c r="DLW28" i="7"/>
  <c r="DLY28" i="7"/>
  <c r="DMA28" i="7"/>
  <c r="DMC28" i="7"/>
  <c r="DME28" i="7"/>
  <c r="DMG28" i="7"/>
  <c r="DMI28" i="7"/>
  <c r="DMK28" i="7"/>
  <c r="DMM28" i="7"/>
  <c r="DMO28" i="7"/>
  <c r="DMQ28" i="7"/>
  <c r="DMS28" i="7"/>
  <c r="DMU28" i="7"/>
  <c r="DMW28" i="7"/>
  <c r="DMY28" i="7"/>
  <c r="DNA28" i="7"/>
  <c r="DNC28" i="7"/>
  <c r="DNE28" i="7"/>
  <c r="DNG28" i="7"/>
  <c r="DNI28" i="7"/>
  <c r="DNK28" i="7"/>
  <c r="DNM28" i="7"/>
  <c r="DNO28" i="7"/>
  <c r="DNQ28" i="7"/>
  <c r="DNS28" i="7"/>
  <c r="DNU28" i="7"/>
  <c r="DNW28" i="7"/>
  <c r="DNY28" i="7"/>
  <c r="DOA28" i="7"/>
  <c r="DOC28" i="7"/>
  <c r="DOE28" i="7"/>
  <c r="DOG28" i="7"/>
  <c r="DOI28" i="7"/>
  <c r="DOK28" i="7"/>
  <c r="DOM28" i="7"/>
  <c r="DOO28" i="7"/>
  <c r="DOQ28" i="7"/>
  <c r="DOS28" i="7"/>
  <c r="DOU28" i="7"/>
  <c r="DOW28" i="7"/>
  <c r="DOY28" i="7"/>
  <c r="DPA28" i="7"/>
  <c r="DPC28" i="7"/>
  <c r="DPE28" i="7"/>
  <c r="DPG28" i="7"/>
  <c r="DPI28" i="7"/>
  <c r="DPK28" i="7"/>
  <c r="DPM28" i="7"/>
  <c r="DPO28" i="7"/>
  <c r="DPQ28" i="7"/>
  <c r="DPS28" i="7"/>
  <c r="DPU28" i="7"/>
  <c r="DPW28" i="7"/>
  <c r="DPY28" i="7"/>
  <c r="DQA28" i="7"/>
  <c r="DQC28" i="7"/>
  <c r="DQE28" i="7"/>
  <c r="DQG28" i="7"/>
  <c r="DQI28" i="7"/>
  <c r="DQK28" i="7"/>
  <c r="DQM28" i="7"/>
  <c r="DQO28" i="7"/>
  <c r="DQQ28" i="7"/>
  <c r="DQS28" i="7"/>
  <c r="DQU28" i="7"/>
  <c r="DQW28" i="7"/>
  <c r="DQY28" i="7"/>
  <c r="DRA28" i="7"/>
  <c r="DRC28" i="7"/>
  <c r="DRE28" i="7"/>
  <c r="DRG28" i="7"/>
  <c r="DRI28" i="7"/>
  <c r="DRK28" i="7"/>
  <c r="DRM28" i="7"/>
  <c r="DRO28" i="7"/>
  <c r="DRQ28" i="7"/>
  <c r="DRS28" i="7"/>
  <c r="DRU28" i="7"/>
  <c r="DRW28" i="7"/>
  <c r="DRY28" i="7"/>
  <c r="DSA28" i="7"/>
  <c r="DSC28" i="7"/>
  <c r="DSE28" i="7"/>
  <c r="DSG28" i="7"/>
  <c r="DSI28" i="7"/>
  <c r="DSK28" i="7"/>
  <c r="DSM28" i="7"/>
  <c r="DSO28" i="7"/>
  <c r="DSQ28" i="7"/>
  <c r="DSS28" i="7"/>
  <c r="DSU28" i="7"/>
  <c r="DSW28" i="7"/>
  <c r="DSY28" i="7"/>
  <c r="DTA28" i="7"/>
  <c r="DTC28" i="7"/>
  <c r="DTE28" i="7"/>
  <c r="DTG28" i="7"/>
  <c r="DTI28" i="7"/>
  <c r="DTK28" i="7"/>
  <c r="DTM28" i="7"/>
  <c r="DTO28" i="7"/>
  <c r="DTQ28" i="7"/>
  <c r="DTS28" i="7"/>
  <c r="DTU28" i="7"/>
  <c r="DTW28" i="7"/>
  <c r="DTY28" i="7"/>
  <c r="DUA28" i="7"/>
  <c r="DUC28" i="7"/>
  <c r="DUE28" i="7"/>
  <c r="DUG28" i="7"/>
  <c r="DUI28" i="7"/>
  <c r="DUK28" i="7"/>
  <c r="DUM28" i="7"/>
  <c r="DUO28" i="7"/>
  <c r="DUQ28" i="7"/>
  <c r="DUS28" i="7"/>
  <c r="DUU28" i="7"/>
  <c r="DUW28" i="7"/>
  <c r="DUY28" i="7"/>
  <c r="DVA28" i="7"/>
  <c r="DVC28" i="7"/>
  <c r="DVE28" i="7"/>
  <c r="DVG28" i="7"/>
  <c r="DVI28" i="7"/>
  <c r="DVK28" i="7"/>
  <c r="DVM28" i="7"/>
  <c r="DVO28" i="7"/>
  <c r="DVQ28" i="7"/>
  <c r="DVS28" i="7"/>
  <c r="DVU28" i="7"/>
  <c r="DVW28" i="7"/>
  <c r="DVY28" i="7"/>
  <c r="DWA28" i="7"/>
  <c r="DWC28" i="7"/>
  <c r="DWE28" i="7"/>
  <c r="DWG28" i="7"/>
  <c r="DWI28" i="7"/>
  <c r="DWK28" i="7"/>
  <c r="DWM28" i="7"/>
  <c r="DWO28" i="7"/>
  <c r="DWQ28" i="7"/>
  <c r="DWS28" i="7"/>
  <c r="DWU28" i="7"/>
  <c r="DWW28" i="7"/>
  <c r="DWY28" i="7"/>
  <c r="DXA28" i="7"/>
  <c r="DXC28" i="7"/>
  <c r="DXE28" i="7"/>
  <c r="DXG28" i="7"/>
  <c r="DXI28" i="7"/>
  <c r="DXK28" i="7"/>
  <c r="DXM28" i="7"/>
  <c r="DXO28" i="7"/>
  <c r="DXQ28" i="7"/>
  <c r="DXS28" i="7"/>
  <c r="DXU28" i="7"/>
  <c r="DXW28" i="7"/>
  <c r="DXY28" i="7"/>
  <c r="DYA28" i="7"/>
  <c r="DYC28" i="7"/>
  <c r="DYE28" i="7"/>
  <c r="DYG28" i="7"/>
  <c r="DYI28" i="7"/>
  <c r="DYK28" i="7"/>
  <c r="DYM28" i="7"/>
  <c r="DYO28" i="7"/>
  <c r="DYQ28" i="7"/>
  <c r="DYS28" i="7"/>
  <c r="DYU28" i="7"/>
  <c r="DYW28" i="7"/>
  <c r="DYY28" i="7"/>
  <c r="DZA28" i="7"/>
  <c r="DZC28" i="7"/>
  <c r="DZE28" i="7"/>
  <c r="DZG28" i="7"/>
  <c r="DZI28" i="7"/>
  <c r="DZK28" i="7"/>
  <c r="DZM28" i="7"/>
  <c r="DZO28" i="7"/>
  <c r="DZQ28" i="7"/>
  <c r="DZS28" i="7"/>
  <c r="DZU28" i="7"/>
  <c r="DZW28" i="7"/>
  <c r="DZY28" i="7"/>
  <c r="EAA28" i="7"/>
  <c r="EAC28" i="7"/>
  <c r="EAE28" i="7"/>
  <c r="EAG28" i="7"/>
  <c r="EAI28" i="7"/>
  <c r="EAK28" i="7"/>
  <c r="EAM28" i="7"/>
  <c r="EAO28" i="7"/>
  <c r="EAQ28" i="7"/>
  <c r="EAS28" i="7"/>
  <c r="EAU28" i="7"/>
  <c r="EAW28" i="7"/>
  <c r="EAY28" i="7"/>
  <c r="EBA28" i="7"/>
  <c r="EBC28" i="7"/>
  <c r="EBE28" i="7"/>
  <c r="EBG28" i="7"/>
  <c r="EBI28" i="7"/>
  <c r="EBK28" i="7"/>
  <c r="EBM28" i="7"/>
  <c r="EBO28" i="7"/>
  <c r="EBQ28" i="7"/>
  <c r="EBS28" i="7"/>
  <c r="EBU28" i="7"/>
  <c r="EBW28" i="7"/>
  <c r="EBY28" i="7"/>
  <c r="ECA28" i="7"/>
  <c r="ECC28" i="7"/>
  <c r="ECE28" i="7"/>
  <c r="ECG28" i="7"/>
  <c r="ECI28" i="7"/>
  <c r="ECK28" i="7"/>
  <c r="ECM28" i="7"/>
  <c r="ECO28" i="7"/>
  <c r="ECQ28" i="7"/>
  <c r="ECS28" i="7"/>
  <c r="ECU28" i="7"/>
  <c r="ECW28" i="7"/>
  <c r="ECY28" i="7"/>
  <c r="EDA28" i="7"/>
  <c r="EDC28" i="7"/>
  <c r="EDE28" i="7"/>
  <c r="EDG28" i="7"/>
  <c r="EDI28" i="7"/>
  <c r="EDK28" i="7"/>
  <c r="EDM28" i="7"/>
  <c r="EDO28" i="7"/>
  <c r="EDQ28" i="7"/>
  <c r="EDS28" i="7"/>
  <c r="EDU28" i="7"/>
  <c r="EDW28" i="7"/>
  <c r="EDY28" i="7"/>
  <c r="EEA28" i="7"/>
  <c r="EEC28" i="7"/>
  <c r="EEE28" i="7"/>
  <c r="EEG28" i="7"/>
  <c r="EEI28" i="7"/>
  <c r="EEK28" i="7"/>
  <c r="EEM28" i="7"/>
  <c r="EEO28" i="7"/>
  <c r="EEQ28" i="7"/>
  <c r="EES28" i="7"/>
  <c r="EEU28" i="7"/>
  <c r="EEW28" i="7"/>
  <c r="EEY28" i="7"/>
  <c r="EFA28" i="7"/>
  <c r="EFC28" i="7"/>
  <c r="EFE28" i="7"/>
  <c r="EFG28" i="7"/>
  <c r="EFI28" i="7"/>
  <c r="EFK28" i="7"/>
  <c r="EFM28" i="7"/>
  <c r="EFO28" i="7"/>
  <c r="EFQ28" i="7"/>
  <c r="EFS28" i="7"/>
  <c r="EFU28" i="7"/>
  <c r="EFW28" i="7"/>
  <c r="EFY28" i="7"/>
  <c r="EGA28" i="7"/>
  <c r="EGC28" i="7"/>
  <c r="EGE28" i="7"/>
  <c r="EGG28" i="7"/>
  <c r="EGI28" i="7"/>
  <c r="EGK28" i="7"/>
  <c r="EGM28" i="7"/>
  <c r="EGO28" i="7"/>
  <c r="EGQ28" i="7"/>
  <c r="EGS28" i="7"/>
  <c r="EGU28" i="7"/>
  <c r="EGW28" i="7"/>
  <c r="EGY28" i="7"/>
  <c r="EHA28" i="7"/>
  <c r="EHC28" i="7"/>
  <c r="EHE28" i="7"/>
  <c r="EHG28" i="7"/>
  <c r="EHI28" i="7"/>
  <c r="EHK28" i="7"/>
  <c r="EHM28" i="7"/>
  <c r="EHO28" i="7"/>
  <c r="EHQ28" i="7"/>
  <c r="EHS28" i="7"/>
  <c r="EHU28" i="7"/>
  <c r="EHW28" i="7"/>
  <c r="EHY28" i="7"/>
  <c r="EIA28" i="7"/>
  <c r="EIC28" i="7"/>
  <c r="EIE28" i="7"/>
  <c r="EIG28" i="7"/>
  <c r="EII28" i="7"/>
  <c r="EIK28" i="7"/>
  <c r="EIM28" i="7"/>
  <c r="EIO28" i="7"/>
  <c r="EIQ28" i="7"/>
  <c r="EIS28" i="7"/>
  <c r="EIU28" i="7"/>
  <c r="EIW28" i="7"/>
  <c r="EIY28" i="7"/>
  <c r="EJA28" i="7"/>
  <c r="EJC28" i="7"/>
  <c r="EJE28" i="7"/>
  <c r="EJG28" i="7"/>
  <c r="EJI28" i="7"/>
  <c r="EJK28" i="7"/>
  <c r="EJM28" i="7"/>
  <c r="EJO28" i="7"/>
  <c r="EJQ28" i="7"/>
  <c r="EJS28" i="7"/>
  <c r="EJU28" i="7"/>
  <c r="EJW28" i="7"/>
  <c r="EJY28" i="7"/>
  <c r="EKA28" i="7"/>
  <c r="EKC28" i="7"/>
  <c r="EKE28" i="7"/>
  <c r="EKG28" i="7"/>
  <c r="EKI28" i="7"/>
  <c r="EKK28" i="7"/>
  <c r="EKM28" i="7"/>
  <c r="EKO28" i="7"/>
  <c r="EKQ28" i="7"/>
  <c r="EKS28" i="7"/>
  <c r="EKU28" i="7"/>
  <c r="EKW28" i="7"/>
  <c r="EKY28" i="7"/>
  <c r="ELA28" i="7"/>
  <c r="ELC28" i="7"/>
  <c r="ELE28" i="7"/>
  <c r="ELG28" i="7"/>
  <c r="ELI28" i="7"/>
  <c r="ELK28" i="7"/>
  <c r="ELM28" i="7"/>
  <c r="ELO28" i="7"/>
  <c r="ELQ28" i="7"/>
  <c r="ELS28" i="7"/>
  <c r="ELU28" i="7"/>
  <c r="ELW28" i="7"/>
  <c r="ELY28" i="7"/>
  <c r="EMA28" i="7"/>
  <c r="EMC28" i="7"/>
  <c r="EME28" i="7"/>
  <c r="EMG28" i="7"/>
  <c r="EMI28" i="7"/>
  <c r="EMK28" i="7"/>
  <c r="EMM28" i="7"/>
  <c r="EMO28" i="7"/>
  <c r="EMQ28" i="7"/>
  <c r="EMS28" i="7"/>
  <c r="EMU28" i="7"/>
  <c r="EMW28" i="7"/>
  <c r="EMY28" i="7"/>
  <c r="ENA28" i="7"/>
  <c r="ENC28" i="7"/>
  <c r="ENE28" i="7"/>
  <c r="ENG28" i="7"/>
  <c r="ENI28" i="7"/>
  <c r="ENK28" i="7"/>
  <c r="ENM28" i="7"/>
  <c r="ENO28" i="7"/>
  <c r="ENQ28" i="7"/>
  <c r="ENS28" i="7"/>
  <c r="ENU28" i="7"/>
  <c r="ENW28" i="7"/>
  <c r="ENY28" i="7"/>
  <c r="EOA28" i="7"/>
  <c r="EOC28" i="7"/>
  <c r="EOE28" i="7"/>
  <c r="EOG28" i="7"/>
  <c r="EOI28" i="7"/>
  <c r="EOK28" i="7"/>
  <c r="EOM28" i="7"/>
  <c r="EOO28" i="7"/>
  <c r="EOQ28" i="7"/>
  <c r="EOS28" i="7"/>
  <c r="EOU28" i="7"/>
  <c r="EOW28" i="7"/>
  <c r="EOY28" i="7"/>
  <c r="EPA28" i="7"/>
  <c r="EPC28" i="7"/>
  <c r="EPE28" i="7"/>
  <c r="EPG28" i="7"/>
  <c r="EPI28" i="7"/>
  <c r="EPK28" i="7"/>
  <c r="EPM28" i="7"/>
  <c r="EPO28" i="7"/>
  <c r="EPQ28" i="7"/>
  <c r="EPS28" i="7"/>
  <c r="EPU28" i="7"/>
  <c r="EPW28" i="7"/>
  <c r="EPY28" i="7"/>
  <c r="EQA28" i="7"/>
  <c r="EQC28" i="7"/>
  <c r="EQE28" i="7"/>
  <c r="EQG28" i="7"/>
  <c r="EQI28" i="7"/>
  <c r="EQK28" i="7"/>
  <c r="EQM28" i="7"/>
  <c r="EQO28" i="7"/>
  <c r="EQQ28" i="7"/>
  <c r="EQS28" i="7"/>
  <c r="EQU28" i="7"/>
  <c r="EQW28" i="7"/>
  <c r="EQY28" i="7"/>
  <c r="ERA28" i="7"/>
  <c r="ERC28" i="7"/>
  <c r="ERE28" i="7"/>
  <c r="ERG28" i="7"/>
  <c r="ERI28" i="7"/>
  <c r="ERK28" i="7"/>
  <c r="ERM28" i="7"/>
  <c r="ERO28" i="7"/>
  <c r="ERQ28" i="7"/>
  <c r="ERS28" i="7"/>
  <c r="ERU28" i="7"/>
  <c r="ERW28" i="7"/>
  <c r="ERY28" i="7"/>
  <c r="ESA28" i="7"/>
  <c r="ESC28" i="7"/>
  <c r="ESE28" i="7"/>
  <c r="ESG28" i="7"/>
  <c r="ESI28" i="7"/>
  <c r="ESK28" i="7"/>
  <c r="ESM28" i="7"/>
  <c r="ESO28" i="7"/>
  <c r="ESQ28" i="7"/>
  <c r="ESS28" i="7"/>
  <c r="ESU28" i="7"/>
  <c r="ESW28" i="7"/>
  <c r="ESY28" i="7"/>
  <c r="ETA28" i="7"/>
  <c r="ETC28" i="7"/>
  <c r="ETE28" i="7"/>
  <c r="ETG28" i="7"/>
  <c r="ETI28" i="7"/>
  <c r="ETK28" i="7"/>
  <c r="ETM28" i="7"/>
  <c r="ETO28" i="7"/>
  <c r="ETQ28" i="7"/>
  <c r="ETS28" i="7"/>
  <c r="ETU28" i="7"/>
  <c r="ETW28" i="7"/>
  <c r="ETY28" i="7"/>
  <c r="EUA28" i="7"/>
  <c r="EUC28" i="7"/>
  <c r="EUE28" i="7"/>
  <c r="EUG28" i="7"/>
  <c r="EUI28" i="7"/>
  <c r="EUK28" i="7"/>
  <c r="EUM28" i="7"/>
  <c r="EUO28" i="7"/>
  <c r="EUQ28" i="7"/>
  <c r="EUS28" i="7"/>
  <c r="EUU28" i="7"/>
  <c r="EUW28" i="7"/>
  <c r="EUY28" i="7"/>
  <c r="EVA28" i="7"/>
  <c r="EVC28" i="7"/>
  <c r="EVE28" i="7"/>
  <c r="EVG28" i="7"/>
  <c r="EVI28" i="7"/>
  <c r="EVK28" i="7"/>
  <c r="EVM28" i="7"/>
  <c r="EVO28" i="7"/>
  <c r="EVQ28" i="7"/>
  <c r="EVS28" i="7"/>
  <c r="EVU28" i="7"/>
  <c r="EVW28" i="7"/>
  <c r="EVY28" i="7"/>
  <c r="EWA28" i="7"/>
  <c r="EWC28" i="7"/>
  <c r="EWE28" i="7"/>
  <c r="EWG28" i="7"/>
  <c r="EWI28" i="7"/>
  <c r="EWK28" i="7"/>
  <c r="EWM28" i="7"/>
  <c r="EWO28" i="7"/>
  <c r="EWQ28" i="7"/>
  <c r="EWS28" i="7"/>
  <c r="EWU28" i="7"/>
  <c r="EWW28" i="7"/>
  <c r="EWY28" i="7"/>
  <c r="EXA28" i="7"/>
  <c r="EXC28" i="7"/>
  <c r="EXE28" i="7"/>
  <c r="EXG28" i="7"/>
  <c r="EXI28" i="7"/>
  <c r="EXK28" i="7"/>
  <c r="EXM28" i="7"/>
  <c r="EXO28" i="7"/>
  <c r="EXQ28" i="7"/>
  <c r="EXS28" i="7"/>
  <c r="EXU28" i="7"/>
  <c r="EXW28" i="7"/>
  <c r="EXY28" i="7"/>
  <c r="EYA28" i="7"/>
  <c r="EYC28" i="7"/>
  <c r="EYE28" i="7"/>
  <c r="EYG28" i="7"/>
  <c r="EYI28" i="7"/>
  <c r="EYK28" i="7"/>
  <c r="EYM28" i="7"/>
  <c r="EYO28" i="7"/>
  <c r="EYQ28" i="7"/>
  <c r="EYS28" i="7"/>
  <c r="EYU28" i="7"/>
  <c r="EYW28" i="7"/>
  <c r="EYY28" i="7"/>
  <c r="EZA28" i="7"/>
  <c r="EZC28" i="7"/>
  <c r="EZE28" i="7"/>
  <c r="EZG28" i="7"/>
  <c r="EZI28" i="7"/>
  <c r="EZK28" i="7"/>
  <c r="EZM28" i="7"/>
  <c r="EZO28" i="7"/>
  <c r="EZQ28" i="7"/>
  <c r="EZS28" i="7"/>
  <c r="EZU28" i="7"/>
  <c r="EZW28" i="7"/>
  <c r="EZY28" i="7"/>
  <c r="FAA28" i="7"/>
  <c r="FAC28" i="7"/>
  <c r="FAE28" i="7"/>
  <c r="FAG28" i="7"/>
  <c r="FAI28" i="7"/>
  <c r="FAK28" i="7"/>
  <c r="FAM28" i="7"/>
  <c r="FAO28" i="7"/>
  <c r="FAQ28" i="7"/>
  <c r="FAS28" i="7"/>
  <c r="FAU28" i="7"/>
  <c r="FAW28" i="7"/>
  <c r="FAY28" i="7"/>
  <c r="FBA28" i="7"/>
  <c r="FBC28" i="7"/>
  <c r="FBE28" i="7"/>
  <c r="FBG28" i="7"/>
  <c r="FBI28" i="7"/>
  <c r="FBK28" i="7"/>
  <c r="FBM28" i="7"/>
  <c r="FBO28" i="7"/>
  <c r="FBQ28" i="7"/>
  <c r="FBS28" i="7"/>
  <c r="FBU28" i="7"/>
  <c r="FBW28" i="7"/>
  <c r="FBY28" i="7"/>
  <c r="FCA28" i="7"/>
  <c r="FCC28" i="7"/>
  <c r="FCE28" i="7"/>
  <c r="FCG28" i="7"/>
  <c r="FCI28" i="7"/>
  <c r="FCK28" i="7"/>
  <c r="FCM28" i="7"/>
  <c r="FCO28" i="7"/>
  <c r="FCQ28" i="7"/>
  <c r="FCS28" i="7"/>
  <c r="FCU28" i="7"/>
  <c r="FCW28" i="7"/>
  <c r="FCY28" i="7"/>
  <c r="FDA28" i="7"/>
  <c r="FDC28" i="7"/>
  <c r="FDE28" i="7"/>
  <c r="FDG28" i="7"/>
  <c r="FDI28" i="7"/>
  <c r="FDK28" i="7"/>
  <c r="FDM28" i="7"/>
  <c r="FDO28" i="7"/>
  <c r="FDQ28" i="7"/>
  <c r="FDS28" i="7"/>
  <c r="FDU28" i="7"/>
  <c r="FDW28" i="7"/>
  <c r="FDY28" i="7"/>
  <c r="FEA28" i="7"/>
  <c r="FEC28" i="7"/>
  <c r="FEE28" i="7"/>
  <c r="FEG28" i="7"/>
  <c r="FEI28" i="7"/>
  <c r="FEK28" i="7"/>
  <c r="FEM28" i="7"/>
  <c r="FEO28" i="7"/>
  <c r="FEQ28" i="7"/>
  <c r="FES28" i="7"/>
  <c r="FEU28" i="7"/>
  <c r="FEW28" i="7"/>
  <c r="FEY28" i="7"/>
  <c r="FFA28" i="7"/>
  <c r="FFC28" i="7"/>
  <c r="FFE28" i="7"/>
  <c r="FFG28" i="7"/>
  <c r="FFI28" i="7"/>
  <c r="FFK28" i="7"/>
  <c r="FFM28" i="7"/>
  <c r="FFO28" i="7"/>
  <c r="FFQ28" i="7"/>
  <c r="FFS28" i="7"/>
  <c r="FFU28" i="7"/>
  <c r="FFW28" i="7"/>
  <c r="FFY28" i="7"/>
  <c r="FGA28" i="7"/>
  <c r="FGC28" i="7"/>
  <c r="FGE28" i="7"/>
  <c r="FGG28" i="7"/>
  <c r="FGI28" i="7"/>
  <c r="FGK28" i="7"/>
  <c r="FGM28" i="7"/>
  <c r="FGO28" i="7"/>
  <c r="FGQ28" i="7"/>
  <c r="FGS28" i="7"/>
  <c r="FGU28" i="7"/>
  <c r="FGW28" i="7"/>
  <c r="FGY28" i="7"/>
  <c r="FHA28" i="7"/>
  <c r="FHC28" i="7"/>
  <c r="FHE28" i="7"/>
  <c r="FHG28" i="7"/>
  <c r="FHI28" i="7"/>
  <c r="FHK28" i="7"/>
  <c r="FHM28" i="7"/>
  <c r="FHO28" i="7"/>
  <c r="FHQ28" i="7"/>
  <c r="FHS28" i="7"/>
  <c r="FHU28" i="7"/>
  <c r="FHW28" i="7"/>
  <c r="FHY28" i="7"/>
  <c r="FIA28" i="7"/>
  <c r="FIC28" i="7"/>
  <c r="FIE28" i="7"/>
  <c r="FIG28" i="7"/>
  <c r="FII28" i="7"/>
  <c r="FIK28" i="7"/>
  <c r="FIM28" i="7"/>
  <c r="FIO28" i="7"/>
  <c r="FIQ28" i="7"/>
  <c r="FIS28" i="7"/>
  <c r="FIU28" i="7"/>
  <c r="FIW28" i="7"/>
  <c r="FIY28" i="7"/>
  <c r="FJA28" i="7"/>
  <c r="FJC28" i="7"/>
  <c r="FJE28" i="7"/>
  <c r="FJG28" i="7"/>
  <c r="FJI28" i="7"/>
  <c r="FJK28" i="7"/>
  <c r="FJM28" i="7"/>
  <c r="FJO28" i="7"/>
  <c r="FJQ28" i="7"/>
  <c r="FJS28" i="7"/>
  <c r="FJU28" i="7"/>
  <c r="FJW28" i="7"/>
  <c r="FJY28" i="7"/>
  <c r="FKA28" i="7"/>
  <c r="FKC28" i="7"/>
  <c r="FKE28" i="7"/>
  <c r="FKG28" i="7"/>
  <c r="FKI28" i="7"/>
  <c r="FKK28" i="7"/>
  <c r="FKM28" i="7"/>
  <c r="FKO28" i="7"/>
  <c r="FKQ28" i="7"/>
  <c r="FKS28" i="7"/>
  <c r="FKU28" i="7"/>
  <c r="FKW28" i="7"/>
  <c r="FKY28" i="7"/>
  <c r="FLA28" i="7"/>
  <c r="FLC28" i="7"/>
  <c r="FLE28" i="7"/>
  <c r="FLG28" i="7"/>
  <c r="FLI28" i="7"/>
  <c r="FLK28" i="7"/>
  <c r="FLM28" i="7"/>
  <c r="FLO28" i="7"/>
  <c r="FLQ28" i="7"/>
  <c r="FLS28" i="7"/>
  <c r="FLU28" i="7"/>
  <c r="FLW28" i="7"/>
  <c r="FLY28" i="7"/>
  <c r="FMA28" i="7"/>
  <c r="FMC28" i="7"/>
  <c r="FME28" i="7"/>
  <c r="FMG28" i="7"/>
  <c r="FMI28" i="7"/>
  <c r="FMK28" i="7"/>
  <c r="FMM28" i="7"/>
  <c r="FMO28" i="7"/>
  <c r="FMQ28" i="7"/>
  <c r="FMS28" i="7"/>
  <c r="FMU28" i="7"/>
  <c r="FMW28" i="7"/>
  <c r="FMY28" i="7"/>
  <c r="FNA28" i="7"/>
  <c r="FNC28" i="7"/>
  <c r="FNE28" i="7"/>
  <c r="FNG28" i="7"/>
  <c r="FNI28" i="7"/>
  <c r="FNK28" i="7"/>
  <c r="FNM28" i="7"/>
  <c r="FNO28" i="7"/>
  <c r="FNQ28" i="7"/>
  <c r="FNS28" i="7"/>
  <c r="FNU28" i="7"/>
  <c r="FNW28" i="7"/>
  <c r="FNY28" i="7"/>
  <c r="FOA28" i="7"/>
  <c r="FOC28" i="7"/>
  <c r="FOE28" i="7"/>
  <c r="FOG28" i="7"/>
  <c r="FOI28" i="7"/>
  <c r="FOK28" i="7"/>
  <c r="FOM28" i="7"/>
  <c r="FOO28" i="7"/>
  <c r="FOQ28" i="7"/>
  <c r="FOS28" i="7"/>
  <c r="FOU28" i="7"/>
  <c r="FOW28" i="7"/>
  <c r="FOY28" i="7"/>
  <c r="FPA28" i="7"/>
  <c r="FPC28" i="7"/>
  <c r="FPE28" i="7"/>
  <c r="FPG28" i="7"/>
  <c r="FPI28" i="7"/>
  <c r="FPK28" i="7"/>
  <c r="FPM28" i="7"/>
  <c r="FPO28" i="7"/>
  <c r="FPQ28" i="7"/>
  <c r="FPS28" i="7"/>
  <c r="FPU28" i="7"/>
  <c r="FPW28" i="7"/>
  <c r="FPY28" i="7"/>
  <c r="FQA28" i="7"/>
  <c r="FQC28" i="7"/>
  <c r="FQE28" i="7"/>
  <c r="FQG28" i="7"/>
  <c r="FQI28" i="7"/>
  <c r="FQK28" i="7"/>
  <c r="FQM28" i="7"/>
  <c r="FQO28" i="7"/>
  <c r="FQQ28" i="7"/>
  <c r="FQS28" i="7"/>
  <c r="FQU28" i="7"/>
  <c r="FQW28" i="7"/>
  <c r="FQY28" i="7"/>
  <c r="FRA28" i="7"/>
  <c r="FRC28" i="7"/>
  <c r="FRE28" i="7"/>
  <c r="FRG28" i="7"/>
  <c r="FRI28" i="7"/>
  <c r="FRK28" i="7"/>
  <c r="FRM28" i="7"/>
  <c r="FRO28" i="7"/>
  <c r="FRQ28" i="7"/>
  <c r="FRS28" i="7"/>
  <c r="FRU28" i="7"/>
  <c r="FRW28" i="7"/>
  <c r="FRY28" i="7"/>
  <c r="FSA28" i="7"/>
  <c r="FSC28" i="7"/>
  <c r="FSE28" i="7"/>
  <c r="FSG28" i="7"/>
  <c r="FSI28" i="7"/>
  <c r="FSK28" i="7"/>
  <c r="FSM28" i="7"/>
  <c r="FSO28" i="7"/>
  <c r="FSQ28" i="7"/>
  <c r="FSS28" i="7"/>
  <c r="FSU28" i="7"/>
  <c r="FSW28" i="7"/>
  <c r="FSY28" i="7"/>
  <c r="FTA28" i="7"/>
  <c r="FTC28" i="7"/>
  <c r="FTE28" i="7"/>
  <c r="FTG28" i="7"/>
  <c r="FTI28" i="7"/>
  <c r="FTK28" i="7"/>
  <c r="FTM28" i="7"/>
  <c r="FTO28" i="7"/>
  <c r="FTQ28" i="7"/>
  <c r="FTS28" i="7"/>
  <c r="FTU28" i="7"/>
  <c r="FTW28" i="7"/>
  <c r="FTY28" i="7"/>
  <c r="FUA28" i="7"/>
  <c r="FUC28" i="7"/>
  <c r="FUE28" i="7"/>
  <c r="FUG28" i="7"/>
  <c r="FUI28" i="7"/>
  <c r="FUK28" i="7"/>
  <c r="FUM28" i="7"/>
  <c r="FUO28" i="7"/>
  <c r="FUQ28" i="7"/>
  <c r="FUS28" i="7"/>
  <c r="FUU28" i="7"/>
  <c r="FUW28" i="7"/>
  <c r="FUY28" i="7"/>
  <c r="FVA28" i="7"/>
  <c r="FVC28" i="7"/>
  <c r="FVE28" i="7"/>
  <c r="FVG28" i="7"/>
  <c r="FVI28" i="7"/>
  <c r="FVK28" i="7"/>
  <c r="FVM28" i="7"/>
  <c r="FVO28" i="7"/>
  <c r="FVQ28" i="7"/>
  <c r="FVS28" i="7"/>
  <c r="FVU28" i="7"/>
  <c r="FVW28" i="7"/>
  <c r="FVY28" i="7"/>
  <c r="FWA28" i="7"/>
  <c r="FWC28" i="7"/>
  <c r="FWE28" i="7"/>
  <c r="FWG28" i="7"/>
  <c r="FWI28" i="7"/>
  <c r="FWK28" i="7"/>
  <c r="FWM28" i="7"/>
  <c r="FWO28" i="7"/>
  <c r="FWQ28" i="7"/>
  <c r="FWS28" i="7"/>
  <c r="FWU28" i="7"/>
  <c r="FWW28" i="7"/>
  <c r="FWY28" i="7"/>
  <c r="FXA28" i="7"/>
  <c r="FXC28" i="7"/>
  <c r="FXE28" i="7"/>
  <c r="FXG28" i="7"/>
  <c r="FXI28" i="7"/>
  <c r="FXK28" i="7"/>
  <c r="FXM28" i="7"/>
  <c r="FXO28" i="7"/>
  <c r="FXQ28" i="7"/>
  <c r="FXS28" i="7"/>
  <c r="FXU28" i="7"/>
  <c r="FXW28" i="7"/>
  <c r="FXY28" i="7"/>
  <c r="FYA28" i="7"/>
  <c r="FYC28" i="7"/>
  <c r="FYE28" i="7"/>
  <c r="FYG28" i="7"/>
  <c r="FYI28" i="7"/>
  <c r="FYK28" i="7"/>
  <c r="FYM28" i="7"/>
  <c r="FYO28" i="7"/>
  <c r="FYQ28" i="7"/>
  <c r="FYS28" i="7"/>
  <c r="FYU28" i="7"/>
  <c r="FYW28" i="7"/>
  <c r="FYY28" i="7"/>
  <c r="FZA28" i="7"/>
  <c r="FZC28" i="7"/>
  <c r="FZE28" i="7"/>
  <c r="FZG28" i="7"/>
  <c r="FZI28" i="7"/>
  <c r="FZK28" i="7"/>
  <c r="FZM28" i="7"/>
  <c r="FZO28" i="7"/>
  <c r="FZQ28" i="7"/>
  <c r="FZS28" i="7"/>
  <c r="FZU28" i="7"/>
  <c r="FZW28" i="7"/>
  <c r="FZY28" i="7"/>
  <c r="GAA28" i="7"/>
  <c r="GAC28" i="7"/>
  <c r="GAE28" i="7"/>
  <c r="GAG28" i="7"/>
  <c r="GAI28" i="7"/>
  <c r="GAK28" i="7"/>
  <c r="GAM28" i="7"/>
  <c r="GAO28" i="7"/>
  <c r="GAQ28" i="7"/>
  <c r="GAS28" i="7"/>
  <c r="GAU28" i="7"/>
  <c r="GAW28" i="7"/>
  <c r="GAY28" i="7"/>
  <c r="GBA28" i="7"/>
  <c r="GBC28" i="7"/>
  <c r="GBE28" i="7"/>
  <c r="GBG28" i="7"/>
  <c r="GBI28" i="7"/>
  <c r="GBK28" i="7"/>
  <c r="GBM28" i="7"/>
  <c r="GBO28" i="7"/>
  <c r="GBQ28" i="7"/>
  <c r="GBS28" i="7"/>
  <c r="GBU28" i="7"/>
  <c r="GBW28" i="7"/>
  <c r="GBY28" i="7"/>
  <c r="GCA28" i="7"/>
  <c r="GCC28" i="7"/>
  <c r="GCE28" i="7"/>
  <c r="GCG28" i="7"/>
  <c r="GCI28" i="7"/>
  <c r="GCK28" i="7"/>
  <c r="GCM28" i="7"/>
  <c r="GCO28" i="7"/>
  <c r="GCQ28" i="7"/>
  <c r="GCS28" i="7"/>
  <c r="GCU28" i="7"/>
  <c r="GCW28" i="7"/>
  <c r="GCY28" i="7"/>
  <c r="GDA28" i="7"/>
  <c r="GDC28" i="7"/>
  <c r="GDE28" i="7"/>
  <c r="GDG28" i="7"/>
  <c r="GDI28" i="7"/>
  <c r="GDK28" i="7"/>
  <c r="GDM28" i="7"/>
  <c r="GDO28" i="7"/>
  <c r="GDQ28" i="7"/>
  <c r="GDS28" i="7"/>
  <c r="GDU28" i="7"/>
  <c r="GDW28" i="7"/>
  <c r="GDY28" i="7"/>
  <c r="GEA28" i="7"/>
  <c r="GEC28" i="7"/>
  <c r="GEE28" i="7"/>
  <c r="GEG28" i="7"/>
  <c r="GEI28" i="7"/>
  <c r="GEK28" i="7"/>
  <c r="GEM28" i="7"/>
  <c r="GEO28" i="7"/>
  <c r="GEQ28" i="7"/>
  <c r="GES28" i="7"/>
  <c r="GEU28" i="7"/>
  <c r="GEW28" i="7"/>
  <c r="GEY28" i="7"/>
  <c r="GFA28" i="7"/>
  <c r="GFC28" i="7"/>
  <c r="GFE28" i="7"/>
  <c r="GFG28" i="7"/>
  <c r="GFI28" i="7"/>
  <c r="GFK28" i="7"/>
  <c r="GFM28" i="7"/>
  <c r="GFO28" i="7"/>
  <c r="GFQ28" i="7"/>
  <c r="GFS28" i="7"/>
  <c r="GFU28" i="7"/>
  <c r="GFW28" i="7"/>
  <c r="GFY28" i="7"/>
  <c r="GGA28" i="7"/>
  <c r="GGC28" i="7"/>
  <c r="GGE28" i="7"/>
  <c r="GGG28" i="7"/>
  <c r="GGI28" i="7"/>
  <c r="GGK28" i="7"/>
  <c r="GGM28" i="7"/>
  <c r="GGO28" i="7"/>
  <c r="GGQ28" i="7"/>
  <c r="GGS28" i="7"/>
  <c r="GGU28" i="7"/>
  <c r="GGW28" i="7"/>
  <c r="GGY28" i="7"/>
  <c r="GHA28" i="7"/>
  <c r="GHC28" i="7"/>
  <c r="GHE28" i="7"/>
  <c r="GHG28" i="7"/>
  <c r="GHI28" i="7"/>
  <c r="GHK28" i="7"/>
  <c r="GHM28" i="7"/>
  <c r="GHO28" i="7"/>
  <c r="GHQ28" i="7"/>
  <c r="GHS28" i="7"/>
  <c r="GHU28" i="7"/>
  <c r="GHW28" i="7"/>
  <c r="GHY28" i="7"/>
  <c r="GIA28" i="7"/>
  <c r="GIC28" i="7"/>
  <c r="GIE28" i="7"/>
  <c r="GIG28" i="7"/>
  <c r="GII28" i="7"/>
  <c r="GIK28" i="7"/>
  <c r="GIM28" i="7"/>
  <c r="GIO28" i="7"/>
  <c r="GIQ28" i="7"/>
  <c r="GIS28" i="7"/>
  <c r="GIU28" i="7"/>
  <c r="GIW28" i="7"/>
  <c r="GIY28" i="7"/>
  <c r="GJA28" i="7"/>
  <c r="GJC28" i="7"/>
  <c r="GJE28" i="7"/>
  <c r="GJG28" i="7"/>
  <c r="GJI28" i="7"/>
  <c r="GJK28" i="7"/>
  <c r="GJM28" i="7"/>
  <c r="GJO28" i="7"/>
  <c r="GJQ28" i="7"/>
  <c r="GJS28" i="7"/>
  <c r="GJU28" i="7"/>
  <c r="GJW28" i="7"/>
  <c r="GJY28" i="7"/>
  <c r="GKA28" i="7"/>
  <c r="GKC28" i="7"/>
  <c r="GKE28" i="7"/>
  <c r="GKG28" i="7"/>
  <c r="GKI28" i="7"/>
  <c r="GKK28" i="7"/>
  <c r="GKM28" i="7"/>
  <c r="GKO28" i="7"/>
  <c r="GKQ28" i="7"/>
  <c r="GKS28" i="7"/>
  <c r="GKU28" i="7"/>
  <c r="GKW28" i="7"/>
  <c r="GKY28" i="7"/>
  <c r="GLA28" i="7"/>
  <c r="GLC28" i="7"/>
  <c r="GLE28" i="7"/>
  <c r="GLG28" i="7"/>
  <c r="GLI28" i="7"/>
  <c r="GLK28" i="7"/>
  <c r="GLM28" i="7"/>
  <c r="GLO28" i="7"/>
  <c r="GLQ28" i="7"/>
  <c r="GLS28" i="7"/>
  <c r="GLU28" i="7"/>
  <c r="GLW28" i="7"/>
  <c r="GLY28" i="7"/>
  <c r="GMA28" i="7"/>
  <c r="GMC28" i="7"/>
  <c r="GME28" i="7"/>
  <c r="GMG28" i="7"/>
  <c r="GMI28" i="7"/>
  <c r="GMK28" i="7"/>
  <c r="GMM28" i="7"/>
  <c r="GMO28" i="7"/>
  <c r="GMQ28" i="7"/>
  <c r="GMS28" i="7"/>
  <c r="GMU28" i="7"/>
  <c r="GMW28" i="7"/>
  <c r="GMY28" i="7"/>
  <c r="GNA28" i="7"/>
  <c r="GNC28" i="7"/>
  <c r="GNE28" i="7"/>
  <c r="GNG28" i="7"/>
  <c r="GNI28" i="7"/>
  <c r="GNK28" i="7"/>
  <c r="GNM28" i="7"/>
  <c r="GNO28" i="7"/>
  <c r="GNQ28" i="7"/>
  <c r="GNS28" i="7"/>
  <c r="GNU28" i="7"/>
  <c r="GNW28" i="7"/>
  <c r="GNY28" i="7"/>
  <c r="GOA28" i="7"/>
  <c r="GOC28" i="7"/>
  <c r="GOE28" i="7"/>
  <c r="GOG28" i="7"/>
  <c r="GOI28" i="7"/>
  <c r="GOK28" i="7"/>
  <c r="GOM28" i="7"/>
  <c r="GOO28" i="7"/>
  <c r="GOQ28" i="7"/>
  <c r="GOS28" i="7"/>
  <c r="GOU28" i="7"/>
  <c r="GOW28" i="7"/>
  <c r="GOY28" i="7"/>
  <c r="GPA28" i="7"/>
  <c r="GPC28" i="7"/>
  <c r="GPE28" i="7"/>
  <c r="GPG28" i="7"/>
  <c r="GPI28" i="7"/>
  <c r="GPK28" i="7"/>
  <c r="GPM28" i="7"/>
  <c r="GPO28" i="7"/>
  <c r="GPQ28" i="7"/>
  <c r="GPS28" i="7"/>
  <c r="GPU28" i="7"/>
  <c r="GPW28" i="7"/>
  <c r="GPY28" i="7"/>
  <c r="GQA28" i="7"/>
  <c r="GQC28" i="7"/>
  <c r="GQE28" i="7"/>
  <c r="GQG28" i="7"/>
  <c r="GQI28" i="7"/>
  <c r="GQK28" i="7"/>
  <c r="GQM28" i="7"/>
  <c r="GQO28" i="7"/>
  <c r="GQQ28" i="7"/>
  <c r="GQS28" i="7"/>
  <c r="GQU28" i="7"/>
  <c r="GQW28" i="7"/>
  <c r="GQY28" i="7"/>
  <c r="GRA28" i="7"/>
  <c r="GRC28" i="7"/>
  <c r="GRE28" i="7"/>
  <c r="GRG28" i="7"/>
  <c r="GRI28" i="7"/>
  <c r="GRK28" i="7"/>
  <c r="GRM28" i="7"/>
  <c r="GRO28" i="7"/>
  <c r="GRQ28" i="7"/>
  <c r="GRS28" i="7"/>
  <c r="GRU28" i="7"/>
  <c r="GRW28" i="7"/>
  <c r="GRY28" i="7"/>
  <c r="GSA28" i="7"/>
  <c r="GSC28" i="7"/>
  <c r="GSE28" i="7"/>
  <c r="GSG28" i="7"/>
  <c r="GSI28" i="7"/>
  <c r="GSK28" i="7"/>
  <c r="GSM28" i="7"/>
  <c r="GSO28" i="7"/>
  <c r="GSQ28" i="7"/>
  <c r="GSS28" i="7"/>
  <c r="GSU28" i="7"/>
  <c r="GSW28" i="7"/>
  <c r="GSY28" i="7"/>
  <c r="GTA28" i="7"/>
  <c r="GTC28" i="7"/>
  <c r="GTE28" i="7"/>
  <c r="GTG28" i="7"/>
  <c r="GTI28" i="7"/>
  <c r="GTK28" i="7"/>
  <c r="GTM28" i="7"/>
  <c r="GTO28" i="7"/>
  <c r="GTQ28" i="7"/>
  <c r="GTS28" i="7"/>
  <c r="GTU28" i="7"/>
  <c r="GTW28" i="7"/>
  <c r="GTY28" i="7"/>
  <c r="GUA28" i="7"/>
  <c r="GUC28" i="7"/>
  <c r="GUE28" i="7"/>
  <c r="GUG28" i="7"/>
  <c r="GUI28" i="7"/>
  <c r="GUK28" i="7"/>
  <c r="GUM28" i="7"/>
  <c r="GUO28" i="7"/>
  <c r="GUQ28" i="7"/>
  <c r="GUS28" i="7"/>
  <c r="GUU28" i="7"/>
  <c r="GUW28" i="7"/>
  <c r="GUY28" i="7"/>
  <c r="GVA28" i="7"/>
  <c r="GVC28" i="7"/>
  <c r="GVE28" i="7"/>
  <c r="GVG28" i="7"/>
  <c r="GVI28" i="7"/>
  <c r="GVK28" i="7"/>
  <c r="GVM28" i="7"/>
  <c r="GVO28" i="7"/>
  <c r="GVQ28" i="7"/>
  <c r="GVS28" i="7"/>
  <c r="GVU28" i="7"/>
  <c r="GVW28" i="7"/>
  <c r="GVY28" i="7"/>
  <c r="GWA28" i="7"/>
  <c r="GWC28" i="7"/>
  <c r="GWE28" i="7"/>
  <c r="GWG28" i="7"/>
  <c r="GWI28" i="7"/>
  <c r="GWK28" i="7"/>
  <c r="GWM28" i="7"/>
  <c r="GWO28" i="7"/>
  <c r="GWQ28" i="7"/>
  <c r="GWS28" i="7"/>
  <c r="GWU28" i="7"/>
  <c r="GWW28" i="7"/>
  <c r="GWY28" i="7"/>
  <c r="GXA28" i="7"/>
  <c r="GXC28" i="7"/>
  <c r="GXE28" i="7"/>
  <c r="GXG28" i="7"/>
  <c r="GXI28" i="7"/>
  <c r="GXK28" i="7"/>
  <c r="GXM28" i="7"/>
  <c r="GXO28" i="7"/>
  <c r="GXQ28" i="7"/>
  <c r="GXS28" i="7"/>
  <c r="GXU28" i="7"/>
  <c r="GXW28" i="7"/>
  <c r="GXY28" i="7"/>
  <c r="GYA28" i="7"/>
  <c r="GYC28" i="7"/>
  <c r="GYE28" i="7"/>
  <c r="GYG28" i="7"/>
  <c r="GYI28" i="7"/>
  <c r="GYK28" i="7"/>
  <c r="GYM28" i="7"/>
  <c r="GYO28" i="7"/>
  <c r="GYQ28" i="7"/>
  <c r="GYS28" i="7"/>
  <c r="GYU28" i="7"/>
  <c r="GYW28" i="7"/>
  <c r="GYY28" i="7"/>
  <c r="GZA28" i="7"/>
  <c r="GZC28" i="7"/>
  <c r="GZE28" i="7"/>
  <c r="GZG28" i="7"/>
  <c r="GZI28" i="7"/>
  <c r="GZK28" i="7"/>
  <c r="GZM28" i="7"/>
  <c r="GZO28" i="7"/>
  <c r="GZQ28" i="7"/>
  <c r="GZS28" i="7"/>
  <c r="GZU28" i="7"/>
  <c r="GZW28" i="7"/>
  <c r="GZY28" i="7"/>
  <c r="HAA28" i="7"/>
  <c r="HAC28" i="7"/>
  <c r="HAE28" i="7"/>
  <c r="HAG28" i="7"/>
  <c r="HAI28" i="7"/>
  <c r="HAK28" i="7"/>
  <c r="HAM28" i="7"/>
  <c r="HAO28" i="7"/>
  <c r="HAQ28" i="7"/>
  <c r="HAS28" i="7"/>
  <c r="HAU28" i="7"/>
  <c r="HAW28" i="7"/>
  <c r="HAY28" i="7"/>
  <c r="HBA28" i="7"/>
  <c r="HBC28" i="7"/>
  <c r="HBE28" i="7"/>
  <c r="HBG28" i="7"/>
  <c r="HBI28" i="7"/>
  <c r="HBK28" i="7"/>
  <c r="HBM28" i="7"/>
  <c r="HBO28" i="7"/>
  <c r="HBQ28" i="7"/>
  <c r="HBS28" i="7"/>
  <c r="HBU28" i="7"/>
  <c r="HBW28" i="7"/>
  <c r="HBY28" i="7"/>
  <c r="HCA28" i="7"/>
  <c r="HCC28" i="7"/>
  <c r="HCE28" i="7"/>
  <c r="HCG28" i="7"/>
  <c r="HCI28" i="7"/>
  <c r="HCK28" i="7"/>
  <c r="HCM28" i="7"/>
  <c r="HCO28" i="7"/>
  <c r="HCQ28" i="7"/>
  <c r="HCS28" i="7"/>
  <c r="HCU28" i="7"/>
  <c r="HCW28" i="7"/>
  <c r="HCY28" i="7"/>
  <c r="HDA28" i="7"/>
  <c r="HDC28" i="7"/>
  <c r="HDE28" i="7"/>
  <c r="HDG28" i="7"/>
  <c r="HDI28" i="7"/>
  <c r="HDK28" i="7"/>
  <c r="HDM28" i="7"/>
  <c r="HDO28" i="7"/>
  <c r="HDQ28" i="7"/>
  <c r="HDS28" i="7"/>
  <c r="HDU28" i="7"/>
  <c r="HDW28" i="7"/>
  <c r="HDY28" i="7"/>
  <c r="HEA28" i="7"/>
  <c r="HEC28" i="7"/>
  <c r="HEE28" i="7"/>
  <c r="HEG28" i="7"/>
  <c r="HEI28" i="7"/>
  <c r="HEK28" i="7"/>
  <c r="HEM28" i="7"/>
  <c r="HEO28" i="7"/>
  <c r="HEQ28" i="7"/>
  <c r="HES28" i="7"/>
  <c r="HEU28" i="7"/>
  <c r="HEW28" i="7"/>
  <c r="HEY28" i="7"/>
  <c r="HFA28" i="7"/>
  <c r="HFC28" i="7"/>
  <c r="HFE28" i="7"/>
  <c r="HFG28" i="7"/>
  <c r="HFI28" i="7"/>
  <c r="HFK28" i="7"/>
  <c r="HFM28" i="7"/>
  <c r="HFO28" i="7"/>
  <c r="HFQ28" i="7"/>
  <c r="HFS28" i="7"/>
  <c r="HFU28" i="7"/>
  <c r="HFW28" i="7"/>
  <c r="HFY28" i="7"/>
  <c r="HGA28" i="7"/>
  <c r="HGC28" i="7"/>
  <c r="HGE28" i="7"/>
  <c r="HGG28" i="7"/>
  <c r="HGI28" i="7"/>
  <c r="HGK28" i="7"/>
  <c r="HGM28" i="7"/>
  <c r="HGO28" i="7"/>
  <c r="HGQ28" i="7"/>
  <c r="HGS28" i="7"/>
  <c r="HGU28" i="7"/>
  <c r="HGW28" i="7"/>
  <c r="HGY28" i="7"/>
  <c r="HHA28" i="7"/>
  <c r="HHC28" i="7"/>
  <c r="HHE28" i="7"/>
  <c r="HHG28" i="7"/>
  <c r="HHI28" i="7"/>
  <c r="HHK28" i="7"/>
  <c r="HHM28" i="7"/>
  <c r="HHO28" i="7"/>
  <c r="HHQ28" i="7"/>
  <c r="HHS28" i="7"/>
  <c r="HHU28" i="7"/>
  <c r="HHW28" i="7"/>
  <c r="HHY28" i="7"/>
  <c r="HIA28" i="7"/>
  <c r="HIC28" i="7"/>
  <c r="HIE28" i="7"/>
  <c r="HIG28" i="7"/>
  <c r="HII28" i="7"/>
  <c r="HIK28" i="7"/>
  <c r="HIM28" i="7"/>
  <c r="HIO28" i="7"/>
  <c r="HIQ28" i="7"/>
  <c r="HIS28" i="7"/>
  <c r="HIU28" i="7"/>
  <c r="HIW28" i="7"/>
  <c r="HIY28" i="7"/>
  <c r="HJA28" i="7"/>
  <c r="HJC28" i="7"/>
  <c r="HJE28" i="7"/>
  <c r="HJG28" i="7"/>
  <c r="HJI28" i="7"/>
  <c r="HJK28" i="7"/>
  <c r="HJM28" i="7"/>
  <c r="HJO28" i="7"/>
  <c r="HJQ28" i="7"/>
  <c r="HJS28" i="7"/>
  <c r="HJU28" i="7"/>
  <c r="HJW28" i="7"/>
  <c r="HJY28" i="7"/>
  <c r="HKA28" i="7"/>
  <c r="HKC28" i="7"/>
  <c r="HKE28" i="7"/>
  <c r="HKG28" i="7"/>
  <c r="HKI28" i="7"/>
  <c r="HKK28" i="7"/>
  <c r="HKM28" i="7"/>
  <c r="HKO28" i="7"/>
  <c r="HKQ28" i="7"/>
  <c r="HKS28" i="7"/>
  <c r="HKU28" i="7"/>
  <c r="HKW28" i="7"/>
  <c r="HKY28" i="7"/>
  <c r="HLA28" i="7"/>
  <c r="HLC28" i="7"/>
  <c r="HLE28" i="7"/>
  <c r="HLG28" i="7"/>
  <c r="HLI28" i="7"/>
  <c r="HLK28" i="7"/>
  <c r="HLM28" i="7"/>
  <c r="HLO28" i="7"/>
  <c r="HLQ28" i="7"/>
  <c r="HLS28" i="7"/>
  <c r="HLU28" i="7"/>
  <c r="HLW28" i="7"/>
  <c r="HLY28" i="7"/>
  <c r="HMA28" i="7"/>
  <c r="HMC28" i="7"/>
  <c r="HME28" i="7"/>
  <c r="HMG28" i="7"/>
  <c r="HMI28" i="7"/>
  <c r="HMK28" i="7"/>
  <c r="HMM28" i="7"/>
  <c r="HMO28" i="7"/>
  <c r="HMQ28" i="7"/>
  <c r="HMS28" i="7"/>
  <c r="HMU28" i="7"/>
  <c r="HMW28" i="7"/>
  <c r="HMY28" i="7"/>
  <c r="HNA28" i="7"/>
  <c r="HNC28" i="7"/>
  <c r="HNE28" i="7"/>
  <c r="HNG28" i="7"/>
  <c r="HNI28" i="7"/>
  <c r="HNK28" i="7"/>
  <c r="HNM28" i="7"/>
  <c r="HNO28" i="7"/>
  <c r="HNQ28" i="7"/>
  <c r="HNS28" i="7"/>
  <c r="HNU28" i="7"/>
  <c r="HNW28" i="7"/>
  <c r="HNY28" i="7"/>
  <c r="HOA28" i="7"/>
  <c r="HOC28" i="7"/>
  <c r="HOE28" i="7"/>
  <c r="HOG28" i="7"/>
  <c r="HOI28" i="7"/>
  <c r="HOK28" i="7"/>
  <c r="HOM28" i="7"/>
  <c r="HOO28" i="7"/>
  <c r="HOQ28" i="7"/>
  <c r="HOS28" i="7"/>
  <c r="HOU28" i="7"/>
  <c r="HOW28" i="7"/>
  <c r="HOY28" i="7"/>
  <c r="HPA28" i="7"/>
  <c r="HPC28" i="7"/>
  <c r="HPE28" i="7"/>
  <c r="HPG28" i="7"/>
  <c r="HPI28" i="7"/>
  <c r="HPK28" i="7"/>
  <c r="HPM28" i="7"/>
  <c r="HPO28" i="7"/>
  <c r="HPQ28" i="7"/>
  <c r="HPS28" i="7"/>
  <c r="HPU28" i="7"/>
  <c r="HPW28" i="7"/>
  <c r="HPY28" i="7"/>
  <c r="HQA28" i="7"/>
  <c r="HQC28" i="7"/>
  <c r="HQE28" i="7"/>
  <c r="HQG28" i="7"/>
  <c r="HQI28" i="7"/>
  <c r="HQK28" i="7"/>
  <c r="HQM28" i="7"/>
  <c r="HQO28" i="7"/>
  <c r="HQQ28" i="7"/>
  <c r="HQS28" i="7"/>
  <c r="HQU28" i="7"/>
  <c r="HQW28" i="7"/>
  <c r="HQY28" i="7"/>
  <c r="HRA28" i="7"/>
  <c r="HRC28" i="7"/>
  <c r="HRE28" i="7"/>
  <c r="HRG28" i="7"/>
  <c r="HRI28" i="7"/>
  <c r="HRK28" i="7"/>
  <c r="HRM28" i="7"/>
  <c r="HRO28" i="7"/>
  <c r="HRQ28" i="7"/>
  <c r="HRS28" i="7"/>
  <c r="HRU28" i="7"/>
  <c r="HRW28" i="7"/>
  <c r="HRY28" i="7"/>
  <c r="HSA28" i="7"/>
  <c r="HSC28" i="7"/>
  <c r="HSE28" i="7"/>
  <c r="HSG28" i="7"/>
  <c r="HSI28" i="7"/>
  <c r="HSK28" i="7"/>
  <c r="HSM28" i="7"/>
  <c r="HSO28" i="7"/>
  <c r="HSQ28" i="7"/>
  <c r="HSS28" i="7"/>
  <c r="HSU28" i="7"/>
  <c r="HSW28" i="7"/>
  <c r="HSY28" i="7"/>
  <c r="HTA28" i="7"/>
  <c r="HTC28" i="7"/>
  <c r="HTE28" i="7"/>
  <c r="HTG28" i="7"/>
  <c r="HTI28" i="7"/>
  <c r="HTK28" i="7"/>
  <c r="HTM28" i="7"/>
  <c r="HTO28" i="7"/>
  <c r="HTQ28" i="7"/>
  <c r="HTS28" i="7"/>
  <c r="HTU28" i="7"/>
  <c r="HTW28" i="7"/>
  <c r="HTY28" i="7"/>
  <c r="HUA28" i="7"/>
  <c r="HUC28" i="7"/>
  <c r="HUE28" i="7"/>
  <c r="HUG28" i="7"/>
  <c r="HUI28" i="7"/>
  <c r="HUK28" i="7"/>
  <c r="HUM28" i="7"/>
  <c r="HUO28" i="7"/>
  <c r="HUQ28" i="7"/>
  <c r="HUS28" i="7"/>
  <c r="HUU28" i="7"/>
  <c r="HUW28" i="7"/>
  <c r="HUY28" i="7"/>
  <c r="HVA28" i="7"/>
  <c r="HVC28" i="7"/>
  <c r="HVE28" i="7"/>
  <c r="HVG28" i="7"/>
  <c r="HVI28" i="7"/>
  <c r="HVK28" i="7"/>
  <c r="HVM28" i="7"/>
  <c r="HVO28" i="7"/>
  <c r="HVQ28" i="7"/>
  <c r="HVS28" i="7"/>
  <c r="HVU28" i="7"/>
  <c r="HVW28" i="7"/>
  <c r="HVY28" i="7"/>
  <c r="HWA28" i="7"/>
  <c r="HWC28" i="7"/>
  <c r="HWE28" i="7"/>
  <c r="HWG28" i="7"/>
  <c r="HWI28" i="7"/>
  <c r="HWK28" i="7"/>
  <c r="HWM28" i="7"/>
  <c r="HWO28" i="7"/>
  <c r="HWQ28" i="7"/>
  <c r="HWS28" i="7"/>
  <c r="HWU28" i="7"/>
  <c r="HWW28" i="7"/>
  <c r="HWY28" i="7"/>
  <c r="HXA28" i="7"/>
  <c r="HXC28" i="7"/>
  <c r="HXE28" i="7"/>
  <c r="HXG28" i="7"/>
  <c r="HXI28" i="7"/>
  <c r="HXK28" i="7"/>
  <c r="HXM28" i="7"/>
  <c r="HXO28" i="7"/>
  <c r="HXQ28" i="7"/>
  <c r="HXS28" i="7"/>
  <c r="HXU28" i="7"/>
  <c r="HXW28" i="7"/>
  <c r="HXY28" i="7"/>
  <c r="HYA28" i="7"/>
  <c r="HYC28" i="7"/>
  <c r="HYE28" i="7"/>
  <c r="HYG28" i="7"/>
  <c r="HYI28" i="7"/>
  <c r="HYK28" i="7"/>
  <c r="HYM28" i="7"/>
  <c r="HYO28" i="7"/>
  <c r="HYQ28" i="7"/>
  <c r="HYS28" i="7"/>
  <c r="HYU28" i="7"/>
  <c r="HYW28" i="7"/>
  <c r="HYY28" i="7"/>
  <c r="HZA28" i="7"/>
  <c r="HZC28" i="7"/>
  <c r="HZE28" i="7"/>
  <c r="HZG28" i="7"/>
  <c r="HZI28" i="7"/>
  <c r="HZK28" i="7"/>
  <c r="HZM28" i="7"/>
  <c r="HZO28" i="7"/>
  <c r="HZQ28" i="7"/>
  <c r="HZS28" i="7"/>
  <c r="HZU28" i="7"/>
  <c r="HZW28" i="7"/>
  <c r="HZY28" i="7"/>
  <c r="IAA28" i="7"/>
  <c r="IAC28" i="7"/>
  <c r="IAE28" i="7"/>
  <c r="IAG28" i="7"/>
  <c r="IAI28" i="7"/>
  <c r="IAK28" i="7"/>
  <c r="IAM28" i="7"/>
  <c r="IAO28" i="7"/>
  <c r="IAQ28" i="7"/>
  <c r="IAS28" i="7"/>
  <c r="IAU28" i="7"/>
  <c r="IAW28" i="7"/>
  <c r="IAY28" i="7"/>
  <c r="IBA28" i="7"/>
  <c r="IBC28" i="7"/>
  <c r="IBE28" i="7"/>
  <c r="IBG28" i="7"/>
  <c r="IBI28" i="7"/>
  <c r="IBK28" i="7"/>
  <c r="IBM28" i="7"/>
  <c r="IBO28" i="7"/>
  <c r="IBQ28" i="7"/>
  <c r="IBS28" i="7"/>
  <c r="IBU28" i="7"/>
  <c r="IBW28" i="7"/>
  <c r="IBY28" i="7"/>
  <c r="ICA28" i="7"/>
  <c r="ICC28" i="7"/>
  <c r="ICE28" i="7"/>
  <c r="ICG28" i="7"/>
  <c r="ICI28" i="7"/>
  <c r="ICK28" i="7"/>
  <c r="ICM28" i="7"/>
  <c r="ICO28" i="7"/>
  <c r="ICQ28" i="7"/>
  <c r="ICS28" i="7"/>
  <c r="ICU28" i="7"/>
  <c r="ICW28" i="7"/>
  <c r="ICY28" i="7"/>
  <c r="IDA28" i="7"/>
  <c r="IDC28" i="7"/>
  <c r="IDE28" i="7"/>
  <c r="IDG28" i="7"/>
  <c r="IDI28" i="7"/>
  <c r="IDK28" i="7"/>
  <c r="IDM28" i="7"/>
  <c r="IDO28" i="7"/>
  <c r="IDQ28" i="7"/>
  <c r="IDS28" i="7"/>
  <c r="IDU28" i="7"/>
  <c r="IDW28" i="7"/>
  <c r="IDY28" i="7"/>
  <c r="IEA28" i="7"/>
  <c r="IEC28" i="7"/>
  <c r="IEE28" i="7"/>
  <c r="IEG28" i="7"/>
  <c r="IEI28" i="7"/>
  <c r="IEK28" i="7"/>
  <c r="IEM28" i="7"/>
  <c r="IEO28" i="7"/>
  <c r="IEQ28" i="7"/>
  <c r="IES28" i="7"/>
  <c r="IEU28" i="7"/>
  <c r="IEW28" i="7"/>
  <c r="IEY28" i="7"/>
  <c r="IFA28" i="7"/>
  <c r="IFC28" i="7"/>
  <c r="IFE28" i="7"/>
  <c r="IFG28" i="7"/>
  <c r="IFI28" i="7"/>
  <c r="IFK28" i="7"/>
  <c r="IFM28" i="7"/>
  <c r="IFO28" i="7"/>
  <c r="IFQ28" i="7"/>
  <c r="IFS28" i="7"/>
  <c r="IFU28" i="7"/>
  <c r="IFW28" i="7"/>
  <c r="IFY28" i="7"/>
  <c r="IGA28" i="7"/>
  <c r="IGC28" i="7"/>
  <c r="IGE28" i="7"/>
  <c r="IGG28" i="7"/>
  <c r="IGI28" i="7"/>
  <c r="IGK28" i="7"/>
  <c r="IGM28" i="7"/>
  <c r="IGO28" i="7"/>
  <c r="IGQ28" i="7"/>
  <c r="IGS28" i="7"/>
  <c r="IGU28" i="7"/>
  <c r="IGW28" i="7"/>
  <c r="IGY28" i="7"/>
  <c r="IHA28" i="7"/>
  <c r="IHC28" i="7"/>
  <c r="IHE28" i="7"/>
  <c r="IHG28" i="7"/>
  <c r="IHI28" i="7"/>
  <c r="IHK28" i="7"/>
  <c r="IHM28" i="7"/>
  <c r="IHO28" i="7"/>
  <c r="IHQ28" i="7"/>
  <c r="IHS28" i="7"/>
  <c r="IHU28" i="7"/>
  <c r="IHW28" i="7"/>
  <c r="IHY28" i="7"/>
  <c r="IIA28" i="7"/>
  <c r="IIC28" i="7"/>
  <c r="IIE28" i="7"/>
  <c r="IIG28" i="7"/>
  <c r="III28" i="7"/>
  <c r="IIK28" i="7"/>
  <c r="IIM28" i="7"/>
  <c r="IIO28" i="7"/>
  <c r="IIQ28" i="7"/>
  <c r="IIS28" i="7"/>
  <c r="IIU28" i="7"/>
  <c r="IIW28" i="7"/>
  <c r="IIY28" i="7"/>
  <c r="IJA28" i="7"/>
  <c r="IJC28" i="7"/>
  <c r="IJE28" i="7"/>
  <c r="IJG28" i="7"/>
  <c r="IJI28" i="7"/>
  <c r="IJK28" i="7"/>
  <c r="IJM28" i="7"/>
  <c r="IJO28" i="7"/>
  <c r="IJQ28" i="7"/>
  <c r="IJS28" i="7"/>
  <c r="IJU28" i="7"/>
  <c r="IJW28" i="7"/>
  <c r="IJY28" i="7"/>
  <c r="IKA28" i="7"/>
  <c r="IKC28" i="7"/>
  <c r="IKE28" i="7"/>
  <c r="IKG28" i="7"/>
  <c r="IKI28" i="7"/>
  <c r="IKK28" i="7"/>
  <c r="IKM28" i="7"/>
  <c r="IKO28" i="7"/>
  <c r="IKQ28" i="7"/>
  <c r="IKS28" i="7"/>
  <c r="IKU28" i="7"/>
  <c r="IKW28" i="7"/>
  <c r="IKY28" i="7"/>
  <c r="ILA28" i="7"/>
  <c r="ILC28" i="7"/>
  <c r="ILE28" i="7"/>
  <c r="ILG28" i="7"/>
  <c r="ILI28" i="7"/>
  <c r="ILK28" i="7"/>
  <c r="ILM28" i="7"/>
  <c r="ILO28" i="7"/>
  <c r="ILQ28" i="7"/>
  <c r="ILS28" i="7"/>
  <c r="ILU28" i="7"/>
  <c r="ILW28" i="7"/>
  <c r="ILY28" i="7"/>
  <c r="IMA28" i="7"/>
  <c r="IMC28" i="7"/>
  <c r="IME28" i="7"/>
  <c r="IMG28" i="7"/>
  <c r="IMI28" i="7"/>
  <c r="IMK28" i="7"/>
  <c r="IMM28" i="7"/>
  <c r="IMO28" i="7"/>
  <c r="IMQ28" i="7"/>
  <c r="IMS28" i="7"/>
  <c r="IMU28" i="7"/>
  <c r="IMW28" i="7"/>
  <c r="IMY28" i="7"/>
  <c r="INA28" i="7"/>
  <c r="INC28" i="7"/>
  <c r="INE28" i="7"/>
  <c r="ING28" i="7"/>
  <c r="INI28" i="7"/>
  <c r="INK28" i="7"/>
  <c r="INM28" i="7"/>
  <c r="INO28" i="7"/>
  <c r="INQ28" i="7"/>
  <c r="INS28" i="7"/>
  <c r="INU28" i="7"/>
  <c r="INW28" i="7"/>
  <c r="INY28" i="7"/>
  <c r="IOA28" i="7"/>
  <c r="IOC28" i="7"/>
  <c r="IOE28" i="7"/>
  <c r="IOG28" i="7"/>
  <c r="IOI28" i="7"/>
  <c r="IOK28" i="7"/>
  <c r="IOM28" i="7"/>
  <c r="IOO28" i="7"/>
  <c r="IOQ28" i="7"/>
  <c r="IOS28" i="7"/>
  <c r="IOU28" i="7"/>
  <c r="IOW28" i="7"/>
  <c r="IOY28" i="7"/>
  <c r="IPA28" i="7"/>
  <c r="IPC28" i="7"/>
  <c r="IPE28" i="7"/>
  <c r="IPG28" i="7"/>
  <c r="IPI28" i="7"/>
  <c r="IPK28" i="7"/>
  <c r="IPM28" i="7"/>
  <c r="IPO28" i="7"/>
  <c r="IPQ28" i="7"/>
  <c r="IPS28" i="7"/>
  <c r="IPU28" i="7"/>
  <c r="IPW28" i="7"/>
  <c r="IPY28" i="7"/>
  <c r="IQA28" i="7"/>
  <c r="IQC28" i="7"/>
  <c r="IQE28" i="7"/>
  <c r="IQG28" i="7"/>
  <c r="IQI28" i="7"/>
  <c r="IQK28" i="7"/>
  <c r="IQM28" i="7"/>
  <c r="IQO28" i="7"/>
  <c r="IQQ28" i="7"/>
  <c r="IQS28" i="7"/>
  <c r="IQU28" i="7"/>
  <c r="IQW28" i="7"/>
  <c r="IQY28" i="7"/>
  <c r="IRA28" i="7"/>
  <c r="IRC28" i="7"/>
  <c r="IRE28" i="7"/>
  <c r="IRG28" i="7"/>
  <c r="IRI28" i="7"/>
  <c r="IRK28" i="7"/>
  <c r="IRM28" i="7"/>
  <c r="IRO28" i="7"/>
  <c r="IRQ28" i="7"/>
  <c r="IRS28" i="7"/>
  <c r="IRU28" i="7"/>
  <c r="IRW28" i="7"/>
  <c r="IRY28" i="7"/>
  <c r="ISA28" i="7"/>
  <c r="ISC28" i="7"/>
  <c r="ISE28" i="7"/>
  <c r="ISG28" i="7"/>
  <c r="ISI28" i="7"/>
  <c r="ISK28" i="7"/>
  <c r="ISM28" i="7"/>
  <c r="ISO28" i="7"/>
  <c r="ISQ28" i="7"/>
  <c r="ISS28" i="7"/>
  <c r="ISU28" i="7"/>
  <c r="ISW28" i="7"/>
  <c r="ISY28" i="7"/>
  <c r="ITA28" i="7"/>
  <c r="ITC28" i="7"/>
  <c r="ITE28" i="7"/>
  <c r="ITG28" i="7"/>
  <c r="ITI28" i="7"/>
  <c r="ITK28" i="7"/>
  <c r="ITM28" i="7"/>
  <c r="ITO28" i="7"/>
  <c r="ITQ28" i="7"/>
  <c r="ITS28" i="7"/>
  <c r="ITU28" i="7"/>
  <c r="ITW28" i="7"/>
  <c r="ITY28" i="7"/>
  <c r="IUA28" i="7"/>
  <c r="IUC28" i="7"/>
  <c r="IUE28" i="7"/>
  <c r="IUG28" i="7"/>
  <c r="IUI28" i="7"/>
  <c r="IUK28" i="7"/>
  <c r="IUM28" i="7"/>
  <c r="IUO28" i="7"/>
  <c r="IUQ28" i="7"/>
  <c r="IUS28" i="7"/>
  <c r="IUU28" i="7"/>
  <c r="IUW28" i="7"/>
  <c r="IUY28" i="7"/>
  <c r="IVA28" i="7"/>
  <c r="IVC28" i="7"/>
  <c r="IVE28" i="7"/>
  <c r="IVG28" i="7"/>
  <c r="IVI28" i="7"/>
  <c r="IVK28" i="7"/>
  <c r="IVM28" i="7"/>
  <c r="IVO28" i="7"/>
  <c r="IVQ28" i="7"/>
  <c r="IVS28" i="7"/>
  <c r="IVU28" i="7"/>
  <c r="IVW28" i="7"/>
  <c r="IVY28" i="7"/>
  <c r="IWA28" i="7"/>
  <c r="IWC28" i="7"/>
  <c r="IWE28" i="7"/>
  <c r="IWG28" i="7"/>
  <c r="IWI28" i="7"/>
  <c r="IWK28" i="7"/>
  <c r="IWM28" i="7"/>
  <c r="IWO28" i="7"/>
  <c r="IWQ28" i="7"/>
  <c r="IWS28" i="7"/>
  <c r="IWU28" i="7"/>
  <c r="IWW28" i="7"/>
  <c r="IWY28" i="7"/>
  <c r="IXA28" i="7"/>
  <c r="IXC28" i="7"/>
  <c r="IXE28" i="7"/>
  <c r="IXG28" i="7"/>
  <c r="IXI28" i="7"/>
  <c r="IXK28" i="7"/>
  <c r="IXM28" i="7"/>
  <c r="IXO28" i="7"/>
  <c r="IXQ28" i="7"/>
  <c r="IXS28" i="7"/>
  <c r="IXU28" i="7"/>
  <c r="IXW28" i="7"/>
  <c r="IXY28" i="7"/>
  <c r="IYA28" i="7"/>
  <c r="IYC28" i="7"/>
  <c r="IYE28" i="7"/>
  <c r="IYG28" i="7"/>
  <c r="IYI28" i="7"/>
  <c r="IYK28" i="7"/>
  <c r="IYM28" i="7"/>
  <c r="IYO28" i="7"/>
  <c r="IYQ28" i="7"/>
  <c r="IYS28" i="7"/>
  <c r="IYU28" i="7"/>
  <c r="IYW28" i="7"/>
  <c r="IYY28" i="7"/>
  <c r="IZA28" i="7"/>
  <c r="IZC28" i="7"/>
  <c r="IZE28" i="7"/>
  <c r="IZG28" i="7"/>
  <c r="IZI28" i="7"/>
  <c r="IZK28" i="7"/>
  <c r="IZM28" i="7"/>
  <c r="IZO28" i="7"/>
  <c r="IZQ28" i="7"/>
  <c r="IZS28" i="7"/>
  <c r="IZU28" i="7"/>
  <c r="IZW28" i="7"/>
  <c r="IZY28" i="7"/>
  <c r="JAA28" i="7"/>
  <c r="JAC28" i="7"/>
  <c r="JAE28" i="7"/>
  <c r="JAG28" i="7"/>
  <c r="JAI28" i="7"/>
  <c r="JAK28" i="7"/>
  <c r="JAM28" i="7"/>
  <c r="JAO28" i="7"/>
  <c r="JAQ28" i="7"/>
  <c r="JAS28" i="7"/>
  <c r="JAU28" i="7"/>
  <c r="JAW28" i="7"/>
  <c r="JAY28" i="7"/>
  <c r="JBA28" i="7"/>
  <c r="JBC28" i="7"/>
  <c r="JBE28" i="7"/>
  <c r="JBG28" i="7"/>
  <c r="JBI28" i="7"/>
  <c r="JBK28" i="7"/>
  <c r="JBM28" i="7"/>
  <c r="JBO28" i="7"/>
  <c r="JBQ28" i="7"/>
  <c r="JBS28" i="7"/>
  <c r="JBU28" i="7"/>
  <c r="JBW28" i="7"/>
  <c r="JBY28" i="7"/>
  <c r="JCA28" i="7"/>
  <c r="JCC28" i="7"/>
  <c r="JCE28" i="7"/>
  <c r="JCG28" i="7"/>
  <c r="JCI28" i="7"/>
  <c r="JCK28" i="7"/>
  <c r="JCM28" i="7"/>
  <c r="JCO28" i="7"/>
  <c r="JCQ28" i="7"/>
  <c r="JCS28" i="7"/>
  <c r="JCU28" i="7"/>
  <c r="JCW28" i="7"/>
  <c r="JCY28" i="7"/>
  <c r="JDA28" i="7"/>
  <c r="JDC28" i="7"/>
  <c r="JDE28" i="7"/>
  <c r="JDG28" i="7"/>
  <c r="JDI28" i="7"/>
  <c r="JDK28" i="7"/>
  <c r="JDM28" i="7"/>
  <c r="JDO28" i="7"/>
  <c r="JDQ28" i="7"/>
  <c r="JDS28" i="7"/>
  <c r="JDU28" i="7"/>
  <c r="JDW28" i="7"/>
  <c r="JDY28" i="7"/>
  <c r="JEA28" i="7"/>
  <c r="JEC28" i="7"/>
  <c r="JEE28" i="7"/>
  <c r="JEG28" i="7"/>
  <c r="JEI28" i="7"/>
  <c r="JEK28" i="7"/>
  <c r="JEM28" i="7"/>
  <c r="JEO28" i="7"/>
  <c r="JEQ28" i="7"/>
  <c r="JES28" i="7"/>
  <c r="JEU28" i="7"/>
  <c r="JEW28" i="7"/>
  <c r="JEY28" i="7"/>
  <c r="JFA28" i="7"/>
  <c r="JFC28" i="7"/>
  <c r="JFE28" i="7"/>
  <c r="JFG28" i="7"/>
  <c r="JFI28" i="7"/>
  <c r="JFK28" i="7"/>
  <c r="JFM28" i="7"/>
  <c r="JFO28" i="7"/>
  <c r="JFQ28" i="7"/>
  <c r="JFS28" i="7"/>
  <c r="JFU28" i="7"/>
  <c r="JFW28" i="7"/>
  <c r="JFY28" i="7"/>
  <c r="JGA28" i="7"/>
  <c r="JGC28" i="7"/>
  <c r="JGE28" i="7"/>
  <c r="JGG28" i="7"/>
  <c r="JGI28" i="7"/>
  <c r="JGK28" i="7"/>
  <c r="JGM28" i="7"/>
  <c r="JGO28" i="7"/>
  <c r="JGQ28" i="7"/>
  <c r="JGS28" i="7"/>
  <c r="JGU28" i="7"/>
  <c r="JGW28" i="7"/>
  <c r="JGY28" i="7"/>
  <c r="JHA28" i="7"/>
  <c r="JHC28" i="7"/>
  <c r="JHE28" i="7"/>
  <c r="JHG28" i="7"/>
  <c r="JHI28" i="7"/>
  <c r="JHK28" i="7"/>
  <c r="JHM28" i="7"/>
  <c r="JHO28" i="7"/>
  <c r="JHQ28" i="7"/>
  <c r="JHS28" i="7"/>
  <c r="JHU28" i="7"/>
  <c r="JHW28" i="7"/>
  <c r="JHY28" i="7"/>
  <c r="JIA28" i="7"/>
  <c r="JIC28" i="7"/>
  <c r="JIE28" i="7"/>
  <c r="JIG28" i="7"/>
  <c r="JII28" i="7"/>
  <c r="JIK28" i="7"/>
  <c r="JIM28" i="7"/>
  <c r="JIO28" i="7"/>
  <c r="JIQ28" i="7"/>
  <c r="JIS28" i="7"/>
  <c r="JIU28" i="7"/>
  <c r="JIW28" i="7"/>
  <c r="JIY28" i="7"/>
  <c r="JJA28" i="7"/>
  <c r="JJC28" i="7"/>
  <c r="JJE28" i="7"/>
  <c r="JJG28" i="7"/>
  <c r="JJI28" i="7"/>
  <c r="JJK28" i="7"/>
  <c r="JJM28" i="7"/>
  <c r="JJO28" i="7"/>
  <c r="JJQ28" i="7"/>
  <c r="JJS28" i="7"/>
  <c r="JJU28" i="7"/>
  <c r="JJW28" i="7"/>
  <c r="JJY28" i="7"/>
  <c r="JKA28" i="7"/>
  <c r="JKC28" i="7"/>
  <c r="JKE28" i="7"/>
  <c r="JKG28" i="7"/>
  <c r="JKI28" i="7"/>
  <c r="JKK28" i="7"/>
  <c r="JKM28" i="7"/>
  <c r="JKO28" i="7"/>
  <c r="JKQ28" i="7"/>
  <c r="JKS28" i="7"/>
  <c r="JKU28" i="7"/>
  <c r="JKW28" i="7"/>
  <c r="JKY28" i="7"/>
  <c r="JLA28" i="7"/>
  <c r="JLC28" i="7"/>
  <c r="JLE28" i="7"/>
  <c r="JLG28" i="7"/>
  <c r="JLI28" i="7"/>
  <c r="JLK28" i="7"/>
  <c r="JLM28" i="7"/>
  <c r="JLO28" i="7"/>
  <c r="JLQ28" i="7"/>
  <c r="JLS28" i="7"/>
  <c r="JLU28" i="7"/>
  <c r="JLW28" i="7"/>
  <c r="JLY28" i="7"/>
  <c r="JMA28" i="7"/>
  <c r="JMC28" i="7"/>
  <c r="JME28" i="7"/>
  <c r="JMG28" i="7"/>
  <c r="JMI28" i="7"/>
  <c r="JMK28" i="7"/>
  <c r="JMM28" i="7"/>
  <c r="JMO28" i="7"/>
  <c r="JMQ28" i="7"/>
  <c r="JMS28" i="7"/>
  <c r="JMU28" i="7"/>
  <c r="JMW28" i="7"/>
  <c r="JMY28" i="7"/>
  <c r="JNA28" i="7"/>
  <c r="JNC28" i="7"/>
  <c r="JNE28" i="7"/>
  <c r="JNG28" i="7"/>
  <c r="JNI28" i="7"/>
  <c r="JNK28" i="7"/>
  <c r="JNM28" i="7"/>
  <c r="JNO28" i="7"/>
  <c r="JNQ28" i="7"/>
  <c r="JNS28" i="7"/>
  <c r="JNU28" i="7"/>
  <c r="JNW28" i="7"/>
  <c r="JNY28" i="7"/>
  <c r="JOA28" i="7"/>
  <c r="JOC28" i="7"/>
  <c r="JOE28" i="7"/>
  <c r="JOG28" i="7"/>
  <c r="JOI28" i="7"/>
  <c r="JOK28" i="7"/>
  <c r="JOM28" i="7"/>
  <c r="JOO28" i="7"/>
  <c r="JOQ28" i="7"/>
  <c r="JOS28" i="7"/>
  <c r="JOU28" i="7"/>
  <c r="JOW28" i="7"/>
  <c r="JOY28" i="7"/>
  <c r="JPA28" i="7"/>
  <c r="JPC28" i="7"/>
  <c r="JPE28" i="7"/>
  <c r="JPG28" i="7"/>
  <c r="JPI28" i="7"/>
  <c r="JPK28" i="7"/>
  <c r="JPM28" i="7"/>
  <c r="JPO28" i="7"/>
  <c r="JPQ28" i="7"/>
  <c r="JPS28" i="7"/>
  <c r="JPU28" i="7"/>
  <c r="JPW28" i="7"/>
  <c r="JPY28" i="7"/>
  <c r="JQA28" i="7"/>
  <c r="JQC28" i="7"/>
  <c r="JQE28" i="7"/>
  <c r="JQG28" i="7"/>
  <c r="JQI28" i="7"/>
  <c r="JQK28" i="7"/>
  <c r="JQM28" i="7"/>
  <c r="JQO28" i="7"/>
  <c r="JQQ28" i="7"/>
  <c r="JQS28" i="7"/>
  <c r="JQU28" i="7"/>
  <c r="JQW28" i="7"/>
  <c r="JQY28" i="7"/>
  <c r="JRA28" i="7"/>
  <c r="JRC28" i="7"/>
  <c r="JRE28" i="7"/>
  <c r="JRG28" i="7"/>
  <c r="JRI28" i="7"/>
  <c r="JRK28" i="7"/>
  <c r="JRM28" i="7"/>
  <c r="JRO28" i="7"/>
  <c r="JRQ28" i="7"/>
  <c r="JRS28" i="7"/>
  <c r="JRU28" i="7"/>
  <c r="JRW28" i="7"/>
  <c r="JRY28" i="7"/>
  <c r="JSA28" i="7"/>
  <c r="JSC28" i="7"/>
  <c r="JSE28" i="7"/>
  <c r="JSG28" i="7"/>
  <c r="JSI28" i="7"/>
  <c r="JSK28" i="7"/>
  <c r="JSM28" i="7"/>
  <c r="JSO28" i="7"/>
  <c r="JSQ28" i="7"/>
  <c r="JSS28" i="7"/>
  <c r="JSU28" i="7"/>
  <c r="JSW28" i="7"/>
  <c r="JSY28" i="7"/>
  <c r="JTA28" i="7"/>
  <c r="JTC28" i="7"/>
  <c r="JTE28" i="7"/>
  <c r="JTG28" i="7"/>
  <c r="JTI28" i="7"/>
  <c r="JTK28" i="7"/>
  <c r="JTM28" i="7"/>
  <c r="JTO28" i="7"/>
  <c r="JTQ28" i="7"/>
  <c r="JTS28" i="7"/>
  <c r="JTU28" i="7"/>
  <c r="JTW28" i="7"/>
  <c r="JTY28" i="7"/>
  <c r="JUA28" i="7"/>
  <c r="JUC28" i="7"/>
  <c r="JUE28" i="7"/>
  <c r="JUG28" i="7"/>
  <c r="JUI28" i="7"/>
  <c r="JUK28" i="7"/>
  <c r="JUM28" i="7"/>
  <c r="JUO28" i="7"/>
  <c r="JUQ28" i="7"/>
  <c r="JUS28" i="7"/>
  <c r="JUU28" i="7"/>
  <c r="JUW28" i="7"/>
  <c r="JUY28" i="7"/>
  <c r="JVA28" i="7"/>
  <c r="JVC28" i="7"/>
  <c r="JVE28" i="7"/>
  <c r="JVG28" i="7"/>
  <c r="JVI28" i="7"/>
  <c r="JVK28" i="7"/>
  <c r="JVM28" i="7"/>
  <c r="JVO28" i="7"/>
  <c r="JVQ28" i="7"/>
  <c r="JVS28" i="7"/>
  <c r="JVU28" i="7"/>
  <c r="JVW28" i="7"/>
  <c r="JVY28" i="7"/>
  <c r="JWA28" i="7"/>
  <c r="JWC28" i="7"/>
  <c r="JWE28" i="7"/>
  <c r="JWG28" i="7"/>
  <c r="JWI28" i="7"/>
  <c r="JWK28" i="7"/>
  <c r="JWM28" i="7"/>
  <c r="JWO28" i="7"/>
  <c r="JWQ28" i="7"/>
  <c r="JWS28" i="7"/>
  <c r="JWU28" i="7"/>
  <c r="JWW28" i="7"/>
  <c r="JWY28" i="7"/>
  <c r="JXA28" i="7"/>
  <c r="JXC28" i="7"/>
  <c r="JXE28" i="7"/>
  <c r="JXG28" i="7"/>
  <c r="JXI28" i="7"/>
  <c r="JXK28" i="7"/>
  <c r="JXM28" i="7"/>
  <c r="JXO28" i="7"/>
  <c r="JXQ28" i="7"/>
  <c r="JXS28" i="7"/>
  <c r="JXU28" i="7"/>
  <c r="JXW28" i="7"/>
  <c r="JXY28" i="7"/>
  <c r="JYA28" i="7"/>
  <c r="JYC28" i="7"/>
  <c r="JYE28" i="7"/>
  <c r="JYG28" i="7"/>
  <c r="JYI28" i="7"/>
  <c r="JYK28" i="7"/>
  <c r="JYM28" i="7"/>
  <c r="JYO28" i="7"/>
  <c r="JYQ28" i="7"/>
  <c r="JYS28" i="7"/>
  <c r="JYU28" i="7"/>
  <c r="JYW28" i="7"/>
  <c r="JYY28" i="7"/>
  <c r="JZA28" i="7"/>
  <c r="JZC28" i="7"/>
  <c r="JZE28" i="7"/>
  <c r="JZG28" i="7"/>
  <c r="JZI28" i="7"/>
  <c r="JZK28" i="7"/>
  <c r="JZM28" i="7"/>
  <c r="JZO28" i="7"/>
  <c r="JZQ28" i="7"/>
  <c r="JZS28" i="7"/>
  <c r="JZU28" i="7"/>
  <c r="JZW28" i="7"/>
  <c r="JZY28" i="7"/>
  <c r="KAA28" i="7"/>
  <c r="KAC28" i="7"/>
  <c r="KAE28" i="7"/>
  <c r="KAG28" i="7"/>
  <c r="KAI28" i="7"/>
  <c r="KAK28" i="7"/>
  <c r="KAM28" i="7"/>
  <c r="KAO28" i="7"/>
  <c r="KAQ28" i="7"/>
  <c r="KAS28" i="7"/>
  <c r="KAU28" i="7"/>
  <c r="KAW28" i="7"/>
  <c r="KAY28" i="7"/>
  <c r="KBA28" i="7"/>
  <c r="KBC28" i="7"/>
  <c r="KBE28" i="7"/>
  <c r="KBG28" i="7"/>
  <c r="KBI28" i="7"/>
  <c r="KBK28" i="7"/>
  <c r="KBM28" i="7"/>
  <c r="KBO28" i="7"/>
  <c r="KBQ28" i="7"/>
  <c r="KBS28" i="7"/>
  <c r="KBU28" i="7"/>
  <c r="KBW28" i="7"/>
  <c r="KBY28" i="7"/>
  <c r="KCA28" i="7"/>
  <c r="KCC28" i="7"/>
  <c r="KCE28" i="7"/>
  <c r="KCG28" i="7"/>
  <c r="KCI28" i="7"/>
  <c r="KCK28" i="7"/>
  <c r="KCM28" i="7"/>
  <c r="KCO28" i="7"/>
  <c r="KCQ28" i="7"/>
  <c r="KCS28" i="7"/>
  <c r="KCU28" i="7"/>
  <c r="KCW28" i="7"/>
  <c r="KCY28" i="7"/>
  <c r="KDA28" i="7"/>
  <c r="KDC28" i="7"/>
  <c r="KDE28" i="7"/>
  <c r="KDG28" i="7"/>
  <c r="KDI28" i="7"/>
  <c r="KDK28" i="7"/>
  <c r="KDM28" i="7"/>
  <c r="KDO28" i="7"/>
  <c r="KDQ28" i="7"/>
  <c r="KDS28" i="7"/>
  <c r="KDU28" i="7"/>
  <c r="KDW28" i="7"/>
  <c r="KDY28" i="7"/>
  <c r="KEA28" i="7"/>
  <c r="KEC28" i="7"/>
  <c r="KEE28" i="7"/>
  <c r="KEG28" i="7"/>
  <c r="KEI28" i="7"/>
  <c r="KEK28" i="7"/>
  <c r="KEM28" i="7"/>
  <c r="KEO28" i="7"/>
  <c r="KEQ28" i="7"/>
  <c r="KES28" i="7"/>
  <c r="KEU28" i="7"/>
  <c r="KEW28" i="7"/>
  <c r="KEY28" i="7"/>
  <c r="KFA28" i="7"/>
  <c r="KFC28" i="7"/>
  <c r="KFE28" i="7"/>
  <c r="KFG28" i="7"/>
  <c r="KFI28" i="7"/>
  <c r="KFK28" i="7"/>
  <c r="KFM28" i="7"/>
  <c r="KFO28" i="7"/>
  <c r="KFQ28" i="7"/>
  <c r="KFS28" i="7"/>
  <c r="KFU28" i="7"/>
  <c r="KFW28" i="7"/>
  <c r="KFY28" i="7"/>
  <c r="KGA28" i="7"/>
  <c r="KGC28" i="7"/>
  <c r="KGE28" i="7"/>
  <c r="KGG28" i="7"/>
  <c r="KGI28" i="7"/>
  <c r="KGK28" i="7"/>
  <c r="KGM28" i="7"/>
  <c r="KGO28" i="7"/>
  <c r="KGQ28" i="7"/>
  <c r="KGS28" i="7"/>
  <c r="KGU28" i="7"/>
  <c r="KGW28" i="7"/>
  <c r="KGY28" i="7"/>
  <c r="KHA28" i="7"/>
  <c r="KHC28" i="7"/>
  <c r="KHE28" i="7"/>
  <c r="KHG28" i="7"/>
  <c r="KHI28" i="7"/>
  <c r="KHK28" i="7"/>
  <c r="KHM28" i="7"/>
  <c r="KHO28" i="7"/>
  <c r="KHQ28" i="7"/>
  <c r="KHS28" i="7"/>
  <c r="KHU28" i="7"/>
  <c r="KHW28" i="7"/>
  <c r="KHY28" i="7"/>
  <c r="KIA28" i="7"/>
  <c r="KIC28" i="7"/>
  <c r="KIE28" i="7"/>
  <c r="KIG28" i="7"/>
  <c r="KII28" i="7"/>
  <c r="KIK28" i="7"/>
  <c r="KIM28" i="7"/>
  <c r="KIO28" i="7"/>
  <c r="KIQ28" i="7"/>
  <c r="KIS28" i="7"/>
  <c r="KIU28" i="7"/>
  <c r="KIW28" i="7"/>
  <c r="KIY28" i="7"/>
  <c r="KJA28" i="7"/>
  <c r="KJC28" i="7"/>
  <c r="KJE28" i="7"/>
  <c r="KJG28" i="7"/>
  <c r="KJI28" i="7"/>
  <c r="KJK28" i="7"/>
  <c r="KJM28" i="7"/>
  <c r="KJO28" i="7"/>
  <c r="KJQ28" i="7"/>
  <c r="KJS28" i="7"/>
  <c r="KJU28" i="7"/>
  <c r="KJW28" i="7"/>
  <c r="KJY28" i="7"/>
  <c r="KKA28" i="7"/>
  <c r="KKC28" i="7"/>
  <c r="KKE28" i="7"/>
  <c r="KKG28" i="7"/>
  <c r="KKI28" i="7"/>
  <c r="KKK28" i="7"/>
  <c r="KKM28" i="7"/>
  <c r="KKO28" i="7"/>
  <c r="KKQ28" i="7"/>
  <c r="KKS28" i="7"/>
  <c r="KKU28" i="7"/>
  <c r="KKW28" i="7"/>
  <c r="KKY28" i="7"/>
  <c r="KLA28" i="7"/>
  <c r="KLC28" i="7"/>
  <c r="KLE28" i="7"/>
  <c r="KLG28" i="7"/>
  <c r="KLI28" i="7"/>
  <c r="KLK28" i="7"/>
  <c r="KLM28" i="7"/>
  <c r="KLO28" i="7"/>
  <c r="KLQ28" i="7"/>
  <c r="KLS28" i="7"/>
  <c r="KLU28" i="7"/>
  <c r="KLW28" i="7"/>
  <c r="KLY28" i="7"/>
  <c r="KMA28" i="7"/>
  <c r="KMC28" i="7"/>
  <c r="KME28" i="7"/>
  <c r="KMG28" i="7"/>
  <c r="KMI28" i="7"/>
  <c r="KMK28" i="7"/>
  <c r="KMM28" i="7"/>
  <c r="KMO28" i="7"/>
  <c r="KMQ28" i="7"/>
  <c r="KMS28" i="7"/>
  <c r="KMU28" i="7"/>
  <c r="KMW28" i="7"/>
  <c r="KMY28" i="7"/>
  <c r="KNA28" i="7"/>
  <c r="KNC28" i="7"/>
  <c r="KNE28" i="7"/>
  <c r="KNG28" i="7"/>
  <c r="KNI28" i="7"/>
  <c r="KNK28" i="7"/>
  <c r="KNM28" i="7"/>
  <c r="KNO28" i="7"/>
  <c r="KNQ28" i="7"/>
  <c r="KNS28" i="7"/>
  <c r="KNU28" i="7"/>
  <c r="KNW28" i="7"/>
  <c r="KNY28" i="7"/>
  <c r="KOA28" i="7"/>
  <c r="KOC28" i="7"/>
  <c r="KOE28" i="7"/>
  <c r="KOG28" i="7"/>
  <c r="KOI28" i="7"/>
  <c r="KOK28" i="7"/>
  <c r="KOM28" i="7"/>
  <c r="KOO28" i="7"/>
  <c r="KOQ28" i="7"/>
  <c r="KOS28" i="7"/>
  <c r="KOU28" i="7"/>
  <c r="KOW28" i="7"/>
  <c r="KOY28" i="7"/>
  <c r="KPA28" i="7"/>
  <c r="KPC28" i="7"/>
  <c r="KPE28" i="7"/>
  <c r="KPG28" i="7"/>
  <c r="KPI28" i="7"/>
  <c r="KPK28" i="7"/>
  <c r="KPM28" i="7"/>
  <c r="KPO28" i="7"/>
  <c r="KPQ28" i="7"/>
  <c r="KPS28" i="7"/>
  <c r="KPU28" i="7"/>
  <c r="KPW28" i="7"/>
  <c r="KPY28" i="7"/>
  <c r="KQA28" i="7"/>
  <c r="KQC28" i="7"/>
  <c r="KQE28" i="7"/>
  <c r="KQG28" i="7"/>
  <c r="KQI28" i="7"/>
  <c r="KQK28" i="7"/>
  <c r="KQM28" i="7"/>
  <c r="KQO28" i="7"/>
  <c r="KQQ28" i="7"/>
  <c r="KQS28" i="7"/>
  <c r="KQU28" i="7"/>
  <c r="KQW28" i="7"/>
  <c r="KQY28" i="7"/>
  <c r="KRA28" i="7"/>
  <c r="KRC28" i="7"/>
  <c r="KRE28" i="7"/>
  <c r="KRG28" i="7"/>
  <c r="KRI28" i="7"/>
  <c r="KRK28" i="7"/>
  <c r="KRM28" i="7"/>
  <c r="KRO28" i="7"/>
  <c r="KRQ28" i="7"/>
  <c r="KRS28" i="7"/>
  <c r="KRU28" i="7"/>
  <c r="KRW28" i="7"/>
  <c r="KRY28" i="7"/>
  <c r="KSA28" i="7"/>
  <c r="KSC28" i="7"/>
  <c r="KSE28" i="7"/>
  <c r="KSG28" i="7"/>
  <c r="KSI28" i="7"/>
  <c r="KSK28" i="7"/>
  <c r="KSM28" i="7"/>
  <c r="KSO28" i="7"/>
  <c r="KSQ28" i="7"/>
  <c r="KSS28" i="7"/>
  <c r="KSU28" i="7"/>
  <c r="KSW28" i="7"/>
  <c r="KSY28" i="7"/>
  <c r="KTA28" i="7"/>
  <c r="KTC28" i="7"/>
  <c r="KTE28" i="7"/>
  <c r="KTG28" i="7"/>
  <c r="KTI28" i="7"/>
  <c r="KTK28" i="7"/>
  <c r="KTM28" i="7"/>
  <c r="KTO28" i="7"/>
  <c r="KTQ28" i="7"/>
  <c r="KTS28" i="7"/>
  <c r="KTU28" i="7"/>
  <c r="KTW28" i="7"/>
  <c r="KTY28" i="7"/>
  <c r="KUA28" i="7"/>
  <c r="KUC28" i="7"/>
  <c r="KUE28" i="7"/>
  <c r="KUG28" i="7"/>
  <c r="KUI28" i="7"/>
  <c r="KUK28" i="7"/>
  <c r="KUM28" i="7"/>
  <c r="KUO28" i="7"/>
  <c r="KUQ28" i="7"/>
  <c r="KUS28" i="7"/>
  <c r="KUU28" i="7"/>
  <c r="KUW28" i="7"/>
  <c r="KUY28" i="7"/>
  <c r="KVA28" i="7"/>
  <c r="KVC28" i="7"/>
  <c r="KVE28" i="7"/>
  <c r="KVG28" i="7"/>
  <c r="KVI28" i="7"/>
  <c r="KVK28" i="7"/>
  <c r="KVM28" i="7"/>
  <c r="KVO28" i="7"/>
  <c r="KVQ28" i="7"/>
  <c r="KVS28" i="7"/>
  <c r="KVU28" i="7"/>
  <c r="KVW28" i="7"/>
  <c r="KVY28" i="7"/>
  <c r="KWA28" i="7"/>
  <c r="KWC28" i="7"/>
  <c r="KWE28" i="7"/>
  <c r="KWG28" i="7"/>
  <c r="KWI28" i="7"/>
  <c r="KWK28" i="7"/>
  <c r="KWM28" i="7"/>
  <c r="KWO28" i="7"/>
  <c r="KWQ28" i="7"/>
  <c r="KWS28" i="7"/>
  <c r="KWU28" i="7"/>
  <c r="KWW28" i="7"/>
  <c r="KWY28" i="7"/>
  <c r="KXA28" i="7"/>
  <c r="KXC28" i="7"/>
  <c r="KXE28" i="7"/>
  <c r="KXG28" i="7"/>
  <c r="KXI28" i="7"/>
  <c r="KXK28" i="7"/>
  <c r="KXM28" i="7"/>
  <c r="KXO28" i="7"/>
  <c r="KXQ28" i="7"/>
  <c r="KXS28" i="7"/>
  <c r="KXU28" i="7"/>
  <c r="KXW28" i="7"/>
  <c r="KXY28" i="7"/>
  <c r="KYA28" i="7"/>
  <c r="KYC28" i="7"/>
  <c r="KYE28" i="7"/>
  <c r="KYG28" i="7"/>
  <c r="KYI28" i="7"/>
  <c r="KYK28" i="7"/>
  <c r="KYM28" i="7"/>
  <c r="KYO28" i="7"/>
  <c r="KYQ28" i="7"/>
  <c r="KYS28" i="7"/>
  <c r="KYU28" i="7"/>
  <c r="KYW28" i="7"/>
  <c r="KYY28" i="7"/>
  <c r="KZA28" i="7"/>
  <c r="KZC28" i="7"/>
  <c r="KZE28" i="7"/>
  <c r="KZG28" i="7"/>
  <c r="KZI28" i="7"/>
  <c r="KZK28" i="7"/>
  <c r="KZM28" i="7"/>
  <c r="KZO28" i="7"/>
  <c r="KZQ28" i="7"/>
  <c r="KZS28" i="7"/>
  <c r="KZU28" i="7"/>
  <c r="KZW28" i="7"/>
  <c r="KZY28" i="7"/>
  <c r="LAA28" i="7"/>
  <c r="LAC28" i="7"/>
  <c r="LAE28" i="7"/>
  <c r="LAG28" i="7"/>
  <c r="LAI28" i="7"/>
  <c r="LAK28" i="7"/>
  <c r="LAM28" i="7"/>
  <c r="LAO28" i="7"/>
  <c r="LAQ28" i="7"/>
  <c r="LAS28" i="7"/>
  <c r="LAU28" i="7"/>
  <c r="LAW28" i="7"/>
  <c r="LAY28" i="7"/>
  <c r="LBA28" i="7"/>
  <c r="LBC28" i="7"/>
  <c r="LBE28" i="7"/>
  <c r="LBG28" i="7"/>
  <c r="LBI28" i="7"/>
  <c r="LBK28" i="7"/>
  <c r="LBM28" i="7"/>
  <c r="LBO28" i="7"/>
  <c r="LBQ28" i="7"/>
  <c r="LBS28" i="7"/>
  <c r="LBU28" i="7"/>
  <c r="LBW28" i="7"/>
  <c r="LBY28" i="7"/>
  <c r="LCA28" i="7"/>
  <c r="LCC28" i="7"/>
  <c r="LCE28" i="7"/>
  <c r="LCG28" i="7"/>
  <c r="LCI28" i="7"/>
  <c r="LCK28" i="7"/>
  <c r="LCM28" i="7"/>
  <c r="LCO28" i="7"/>
  <c r="LCQ28" i="7"/>
  <c r="LCS28" i="7"/>
  <c r="LCU28" i="7"/>
  <c r="LCW28" i="7"/>
  <c r="LCY28" i="7"/>
  <c r="LDA28" i="7"/>
  <c r="LDC28" i="7"/>
  <c r="LDE28" i="7"/>
  <c r="LDG28" i="7"/>
  <c r="LDI28" i="7"/>
  <c r="LDK28" i="7"/>
  <c r="LDM28" i="7"/>
  <c r="LDO28" i="7"/>
  <c r="LDQ28" i="7"/>
  <c r="LDS28" i="7"/>
  <c r="LDU28" i="7"/>
  <c r="LDW28" i="7"/>
  <c r="LDY28" i="7"/>
  <c r="LEA28" i="7"/>
  <c r="LEC28" i="7"/>
  <c r="LEE28" i="7"/>
  <c r="LEG28" i="7"/>
  <c r="LEI28" i="7"/>
  <c r="LEK28" i="7"/>
  <c r="LEM28" i="7"/>
  <c r="LEO28" i="7"/>
  <c r="LEQ28" i="7"/>
  <c r="LES28" i="7"/>
  <c r="LEU28" i="7"/>
  <c r="LEW28" i="7"/>
  <c r="LEY28" i="7"/>
  <c r="LFA28" i="7"/>
  <c r="LFC28" i="7"/>
  <c r="LFE28" i="7"/>
  <c r="LFG28" i="7"/>
  <c r="LFI28" i="7"/>
  <c r="LFK28" i="7"/>
  <c r="LFM28" i="7"/>
  <c r="LFO28" i="7"/>
  <c r="LFQ28" i="7"/>
  <c r="LFS28" i="7"/>
  <c r="LFU28" i="7"/>
  <c r="LFW28" i="7"/>
  <c r="LFY28" i="7"/>
  <c r="LGA28" i="7"/>
  <c r="LGC28" i="7"/>
  <c r="LGE28" i="7"/>
  <c r="LGG28" i="7"/>
  <c r="LGI28" i="7"/>
  <c r="LGK28" i="7"/>
  <c r="LGM28" i="7"/>
  <c r="LGO28" i="7"/>
  <c r="LGQ28" i="7"/>
  <c r="LGS28" i="7"/>
  <c r="LGU28" i="7"/>
  <c r="LGW28" i="7"/>
  <c r="LGY28" i="7"/>
  <c r="LHA28" i="7"/>
  <c r="LHC28" i="7"/>
  <c r="LHE28" i="7"/>
  <c r="LHG28" i="7"/>
  <c r="LHI28" i="7"/>
  <c r="LHK28" i="7"/>
  <c r="LHM28" i="7"/>
  <c r="LHO28" i="7"/>
  <c r="LHQ28" i="7"/>
  <c r="LHS28" i="7"/>
  <c r="LHU28" i="7"/>
  <c r="LHW28" i="7"/>
  <c r="LHY28" i="7"/>
  <c r="LIA28" i="7"/>
  <c r="LIC28" i="7"/>
  <c r="LIE28" i="7"/>
  <c r="LIG28" i="7"/>
  <c r="LII28" i="7"/>
  <c r="LIK28" i="7"/>
  <c r="LIM28" i="7"/>
  <c r="LIO28" i="7"/>
  <c r="LIQ28" i="7"/>
  <c r="LIS28" i="7"/>
  <c r="LIU28" i="7"/>
  <c r="LIW28" i="7"/>
  <c r="LIY28" i="7"/>
  <c r="LJA28" i="7"/>
  <c r="LJC28" i="7"/>
  <c r="LJE28" i="7"/>
  <c r="LJG28" i="7"/>
  <c r="LJI28" i="7"/>
  <c r="LJK28" i="7"/>
  <c r="LJM28" i="7"/>
  <c r="LJO28" i="7"/>
  <c r="LJQ28" i="7"/>
  <c r="LJS28" i="7"/>
  <c r="LJU28" i="7"/>
  <c r="LJW28" i="7"/>
  <c r="LJY28" i="7"/>
  <c r="LKA28" i="7"/>
  <c r="LKC28" i="7"/>
  <c r="LKE28" i="7"/>
  <c r="LKG28" i="7"/>
  <c r="LKI28" i="7"/>
  <c r="LKK28" i="7"/>
  <c r="LKM28" i="7"/>
  <c r="LKO28" i="7"/>
  <c r="LKQ28" i="7"/>
  <c r="LKS28" i="7"/>
  <c r="LKU28" i="7"/>
  <c r="LKW28" i="7"/>
  <c r="LKY28" i="7"/>
  <c r="LLA28" i="7"/>
  <c r="LLC28" i="7"/>
  <c r="LLE28" i="7"/>
  <c r="LLG28" i="7"/>
  <c r="LLI28" i="7"/>
  <c r="LLK28" i="7"/>
  <c r="LLM28" i="7"/>
  <c r="LLO28" i="7"/>
  <c r="LLQ28" i="7"/>
  <c r="LLS28" i="7"/>
  <c r="LLU28" i="7"/>
  <c r="LLW28" i="7"/>
  <c r="LLY28" i="7"/>
  <c r="LMA28" i="7"/>
  <c r="LMC28" i="7"/>
  <c r="LME28" i="7"/>
  <c r="LMG28" i="7"/>
  <c r="LMI28" i="7"/>
  <c r="LMK28" i="7"/>
  <c r="LMM28" i="7"/>
  <c r="LMO28" i="7"/>
  <c r="LMQ28" i="7"/>
  <c r="LMS28" i="7"/>
  <c r="LMU28" i="7"/>
  <c r="LMW28" i="7"/>
  <c r="LMY28" i="7"/>
  <c r="LNA28" i="7"/>
  <c r="LNC28" i="7"/>
  <c r="LNE28" i="7"/>
  <c r="LNG28" i="7"/>
  <c r="LNI28" i="7"/>
  <c r="LNK28" i="7"/>
  <c r="LNM28" i="7"/>
  <c r="LNO28" i="7"/>
  <c r="LNQ28" i="7"/>
  <c r="LNS28" i="7"/>
  <c r="LNU28" i="7"/>
  <c r="LNW28" i="7"/>
  <c r="LNY28" i="7"/>
  <c r="LOA28" i="7"/>
  <c r="LOC28" i="7"/>
  <c r="LOE28" i="7"/>
  <c r="LOG28" i="7"/>
  <c r="LOI28" i="7"/>
  <c r="LOK28" i="7"/>
  <c r="LOM28" i="7"/>
  <c r="LOO28" i="7"/>
  <c r="LOQ28" i="7"/>
  <c r="LOS28" i="7"/>
  <c r="LOU28" i="7"/>
  <c r="LOW28" i="7"/>
  <c r="LOY28" i="7"/>
  <c r="LPA28" i="7"/>
  <c r="LPC28" i="7"/>
  <c r="LPE28" i="7"/>
  <c r="LPG28" i="7"/>
  <c r="LPI28" i="7"/>
  <c r="LPK28" i="7"/>
  <c r="LPM28" i="7"/>
  <c r="LPO28" i="7"/>
  <c r="LPQ28" i="7"/>
  <c r="LPS28" i="7"/>
  <c r="LPU28" i="7"/>
  <c r="LPW28" i="7"/>
  <c r="LPY28" i="7"/>
  <c r="LQA28" i="7"/>
  <c r="LQC28" i="7"/>
  <c r="LQE28" i="7"/>
  <c r="LQG28" i="7"/>
  <c r="LQI28" i="7"/>
  <c r="LQK28" i="7"/>
  <c r="LQM28" i="7"/>
  <c r="LQO28" i="7"/>
  <c r="LQQ28" i="7"/>
  <c r="LQS28" i="7"/>
  <c r="LQU28" i="7"/>
  <c r="LQW28" i="7"/>
  <c r="LQY28" i="7"/>
  <c r="LRA28" i="7"/>
  <c r="LRC28" i="7"/>
  <c r="LRE28" i="7"/>
  <c r="LRG28" i="7"/>
  <c r="LRI28" i="7"/>
  <c r="LRK28" i="7"/>
  <c r="LRM28" i="7"/>
  <c r="LRO28" i="7"/>
  <c r="LRQ28" i="7"/>
  <c r="LRS28" i="7"/>
  <c r="LRU28" i="7"/>
  <c r="LRW28" i="7"/>
  <c r="LRY28" i="7"/>
  <c r="LSA28" i="7"/>
  <c r="LSC28" i="7"/>
  <c r="LSE28" i="7"/>
  <c r="LSG28" i="7"/>
  <c r="LSI28" i="7"/>
  <c r="LSK28" i="7"/>
  <c r="LSM28" i="7"/>
  <c r="LSO28" i="7"/>
  <c r="LSQ28" i="7"/>
  <c r="LSS28" i="7"/>
  <c r="LSU28" i="7"/>
  <c r="LSW28" i="7"/>
  <c r="LSY28" i="7"/>
  <c r="LTA28" i="7"/>
  <c r="LTC28" i="7"/>
  <c r="LTE28" i="7"/>
  <c r="LTG28" i="7"/>
  <c r="LTI28" i="7"/>
  <c r="LTK28" i="7"/>
  <c r="LTM28" i="7"/>
  <c r="LTO28" i="7"/>
  <c r="LTQ28" i="7"/>
  <c r="LTS28" i="7"/>
  <c r="LTU28" i="7"/>
  <c r="LTW28" i="7"/>
  <c r="LTY28" i="7"/>
  <c r="LUA28" i="7"/>
  <c r="LUC28" i="7"/>
  <c r="LUE28" i="7"/>
  <c r="LUG28" i="7"/>
  <c r="LUI28" i="7"/>
  <c r="LUK28" i="7"/>
  <c r="LUM28" i="7"/>
  <c r="LUO28" i="7"/>
  <c r="LUQ28" i="7"/>
  <c r="LUS28" i="7"/>
  <c r="LUU28" i="7"/>
  <c r="LUW28" i="7"/>
  <c r="LUY28" i="7"/>
  <c r="LVA28" i="7"/>
  <c r="LVC28" i="7"/>
  <c r="LVE28" i="7"/>
  <c r="LVG28" i="7"/>
  <c r="LVI28" i="7"/>
  <c r="LVK28" i="7"/>
  <c r="LVM28" i="7"/>
  <c r="LVO28" i="7"/>
  <c r="LVQ28" i="7"/>
  <c r="LVS28" i="7"/>
  <c r="LVU28" i="7"/>
  <c r="LVW28" i="7"/>
  <c r="LVY28" i="7"/>
  <c r="LWA28" i="7"/>
  <c r="LWC28" i="7"/>
  <c r="LWE28" i="7"/>
  <c r="LWG28" i="7"/>
  <c r="LWI28" i="7"/>
  <c r="LWK28" i="7"/>
  <c r="LWM28" i="7"/>
  <c r="LWO28" i="7"/>
  <c r="LWQ28" i="7"/>
  <c r="LWS28" i="7"/>
  <c r="LWU28" i="7"/>
  <c r="LWW28" i="7"/>
  <c r="LWY28" i="7"/>
  <c r="LXA28" i="7"/>
  <c r="LXC28" i="7"/>
  <c r="LXE28" i="7"/>
  <c r="LXG28" i="7"/>
  <c r="LXI28" i="7"/>
  <c r="LXK28" i="7"/>
  <c r="LXM28" i="7"/>
  <c r="LXO28" i="7"/>
  <c r="LXQ28" i="7"/>
  <c r="LXS28" i="7"/>
  <c r="LXU28" i="7"/>
  <c r="LXW28" i="7"/>
  <c r="LXY28" i="7"/>
  <c r="LYA28" i="7"/>
  <c r="LYC28" i="7"/>
  <c r="LYE28" i="7"/>
  <c r="LYG28" i="7"/>
  <c r="LYI28" i="7"/>
  <c r="LYK28" i="7"/>
  <c r="LYM28" i="7"/>
  <c r="LYO28" i="7"/>
  <c r="LYQ28" i="7"/>
  <c r="LYS28" i="7"/>
  <c r="LYU28" i="7"/>
  <c r="LYW28" i="7"/>
  <c r="LYY28" i="7"/>
  <c r="LZA28" i="7"/>
  <c r="LZC28" i="7"/>
  <c r="LZE28" i="7"/>
  <c r="LZG28" i="7"/>
  <c r="LZI28" i="7"/>
  <c r="LZK28" i="7"/>
  <c r="LZM28" i="7"/>
  <c r="LZO28" i="7"/>
  <c r="LZQ28" i="7"/>
  <c r="LZS28" i="7"/>
  <c r="LZU28" i="7"/>
  <c r="LZW28" i="7"/>
  <c r="LZY28" i="7"/>
  <c r="MAA28" i="7"/>
  <c r="MAC28" i="7"/>
  <c r="MAE28" i="7"/>
  <c r="MAG28" i="7"/>
  <c r="MAI28" i="7"/>
  <c r="MAK28" i="7"/>
  <c r="MAM28" i="7"/>
  <c r="MAO28" i="7"/>
  <c r="MAQ28" i="7"/>
  <c r="MAS28" i="7"/>
  <c r="MAU28" i="7"/>
  <c r="MAW28" i="7"/>
  <c r="MAY28" i="7"/>
  <c r="MBA28" i="7"/>
  <c r="MBC28" i="7"/>
  <c r="MBE28" i="7"/>
  <c r="MBG28" i="7"/>
  <c r="MBI28" i="7"/>
  <c r="MBK28" i="7"/>
  <c r="MBM28" i="7"/>
  <c r="MBO28" i="7"/>
  <c r="MBQ28" i="7"/>
  <c r="MBS28" i="7"/>
  <c r="MBU28" i="7"/>
  <c r="MBW28" i="7"/>
  <c r="MBY28" i="7"/>
  <c r="MCA28" i="7"/>
  <c r="MCC28" i="7"/>
  <c r="MCE28" i="7"/>
  <c r="MCG28" i="7"/>
  <c r="MCI28" i="7"/>
  <c r="MCK28" i="7"/>
  <c r="MCM28" i="7"/>
  <c r="MCO28" i="7"/>
  <c r="MCQ28" i="7"/>
  <c r="MCS28" i="7"/>
  <c r="MCU28" i="7"/>
  <c r="MCW28" i="7"/>
  <c r="MCY28" i="7"/>
  <c r="MDA28" i="7"/>
  <c r="MDC28" i="7"/>
  <c r="MDE28" i="7"/>
  <c r="MDG28" i="7"/>
  <c r="MDI28" i="7"/>
  <c r="MDK28" i="7"/>
  <c r="MDM28" i="7"/>
  <c r="MDO28" i="7"/>
  <c r="MDQ28" i="7"/>
  <c r="MDS28" i="7"/>
  <c r="MDU28" i="7"/>
  <c r="MDW28" i="7"/>
  <c r="MDY28" i="7"/>
  <c r="MEA28" i="7"/>
  <c r="MEC28" i="7"/>
  <c r="MEE28" i="7"/>
  <c r="MEG28" i="7"/>
  <c r="MEI28" i="7"/>
  <c r="MEK28" i="7"/>
  <c r="MEM28" i="7"/>
  <c r="MEO28" i="7"/>
  <c r="MEQ28" i="7"/>
  <c r="MES28" i="7"/>
  <c r="MEU28" i="7"/>
  <c r="MEW28" i="7"/>
  <c r="MEY28" i="7"/>
  <c r="MFA28" i="7"/>
  <c r="MFC28" i="7"/>
  <c r="MFE28" i="7"/>
  <c r="MFG28" i="7"/>
  <c r="MFI28" i="7"/>
  <c r="MFK28" i="7"/>
  <c r="MFM28" i="7"/>
  <c r="MFO28" i="7"/>
  <c r="MFQ28" i="7"/>
  <c r="MFS28" i="7"/>
  <c r="MFU28" i="7"/>
  <c r="MFW28" i="7"/>
  <c r="MFY28" i="7"/>
  <c r="MGA28" i="7"/>
  <c r="MGC28" i="7"/>
  <c r="MGE28" i="7"/>
  <c r="MGG28" i="7"/>
  <c r="MGI28" i="7"/>
  <c r="MGK28" i="7"/>
  <c r="MGM28" i="7"/>
  <c r="MGO28" i="7"/>
  <c r="MGQ28" i="7"/>
  <c r="MGS28" i="7"/>
  <c r="MGU28" i="7"/>
  <c r="MGW28" i="7"/>
  <c r="MGY28" i="7"/>
  <c r="MHA28" i="7"/>
  <c r="MHC28" i="7"/>
  <c r="MHE28" i="7"/>
  <c r="MHG28" i="7"/>
  <c r="MHI28" i="7"/>
  <c r="MHK28" i="7"/>
  <c r="MHM28" i="7"/>
  <c r="MHO28" i="7"/>
  <c r="MHQ28" i="7"/>
  <c r="MHS28" i="7"/>
  <c r="MHU28" i="7"/>
  <c r="MHW28" i="7"/>
  <c r="MHY28" i="7"/>
  <c r="MIA28" i="7"/>
  <c r="MIC28" i="7"/>
  <c r="MIE28" i="7"/>
  <c r="MIG28" i="7"/>
  <c r="MII28" i="7"/>
  <c r="MIK28" i="7"/>
  <c r="MIM28" i="7"/>
  <c r="MIO28" i="7"/>
  <c r="MIQ28" i="7"/>
  <c r="MIS28" i="7"/>
  <c r="MIU28" i="7"/>
  <c r="MIW28" i="7"/>
  <c r="MIY28" i="7"/>
  <c r="MJA28" i="7"/>
  <c r="MJC28" i="7"/>
  <c r="MJE28" i="7"/>
  <c r="MJG28" i="7"/>
  <c r="MJI28" i="7"/>
  <c r="MJK28" i="7"/>
  <c r="MJM28" i="7"/>
  <c r="MJO28" i="7"/>
  <c r="MJQ28" i="7"/>
  <c r="MJS28" i="7"/>
  <c r="MJU28" i="7"/>
  <c r="MJW28" i="7"/>
  <c r="MJY28" i="7"/>
  <c r="MKA28" i="7"/>
  <c r="MKC28" i="7"/>
  <c r="MKE28" i="7"/>
  <c r="MKG28" i="7"/>
  <c r="MKI28" i="7"/>
  <c r="MKK28" i="7"/>
  <c r="MKM28" i="7"/>
  <c r="MKO28" i="7"/>
  <c r="MKQ28" i="7"/>
  <c r="MKS28" i="7"/>
  <c r="MKU28" i="7"/>
  <c r="MKW28" i="7"/>
  <c r="MKY28" i="7"/>
  <c r="MLA28" i="7"/>
  <c r="MLC28" i="7"/>
  <c r="MLE28" i="7"/>
  <c r="MLG28" i="7"/>
  <c r="MLI28" i="7"/>
  <c r="MLK28" i="7"/>
  <c r="MLM28" i="7"/>
  <c r="MLO28" i="7"/>
  <c r="MLQ28" i="7"/>
  <c r="MLS28" i="7"/>
  <c r="MLU28" i="7"/>
  <c r="MLW28" i="7"/>
  <c r="MLY28" i="7"/>
  <c r="MMA28" i="7"/>
  <c r="MMC28" i="7"/>
  <c r="MME28" i="7"/>
  <c r="MMG28" i="7"/>
  <c r="MMI28" i="7"/>
  <c r="MMK28" i="7"/>
  <c r="MMM28" i="7"/>
  <c r="MMO28" i="7"/>
  <c r="MMQ28" i="7"/>
  <c r="MMS28" i="7"/>
  <c r="MMU28" i="7"/>
  <c r="MMW28" i="7"/>
  <c r="MMY28" i="7"/>
  <c r="MNA28" i="7"/>
  <c r="MNC28" i="7"/>
  <c r="MNE28" i="7"/>
  <c r="MNG28" i="7"/>
  <c r="MNI28" i="7"/>
  <c r="MNK28" i="7"/>
  <c r="MNM28" i="7"/>
  <c r="MNO28" i="7"/>
  <c r="MNQ28" i="7"/>
  <c r="MNS28" i="7"/>
  <c r="MNU28" i="7"/>
  <c r="MNW28" i="7"/>
  <c r="MNY28" i="7"/>
  <c r="MOA28" i="7"/>
  <c r="MOC28" i="7"/>
  <c r="MOE28" i="7"/>
  <c r="MOG28" i="7"/>
  <c r="MOI28" i="7"/>
  <c r="MOK28" i="7"/>
  <c r="MOM28" i="7"/>
  <c r="MOO28" i="7"/>
  <c r="MOQ28" i="7"/>
  <c r="MOS28" i="7"/>
  <c r="MOU28" i="7"/>
  <c r="MOW28" i="7"/>
  <c r="MOY28" i="7"/>
  <c r="MPA28" i="7"/>
  <c r="MPC28" i="7"/>
  <c r="MPE28" i="7"/>
  <c r="MPG28" i="7"/>
  <c r="MPI28" i="7"/>
  <c r="MPK28" i="7"/>
  <c r="MPM28" i="7"/>
  <c r="MPO28" i="7"/>
  <c r="MPQ28" i="7"/>
  <c r="MPS28" i="7"/>
  <c r="MPU28" i="7"/>
  <c r="MPW28" i="7"/>
  <c r="MPY28" i="7"/>
  <c r="MQA28" i="7"/>
  <c r="MQC28" i="7"/>
  <c r="MQE28" i="7"/>
  <c r="MQG28" i="7"/>
  <c r="MQI28" i="7"/>
  <c r="MQK28" i="7"/>
  <c r="MQM28" i="7"/>
  <c r="MQO28" i="7"/>
  <c r="MQQ28" i="7"/>
  <c r="MQS28" i="7"/>
  <c r="MQU28" i="7"/>
  <c r="MQW28" i="7"/>
  <c r="MQY28" i="7"/>
  <c r="MRA28" i="7"/>
  <c r="MRC28" i="7"/>
  <c r="MRE28" i="7"/>
  <c r="MRG28" i="7"/>
  <c r="MRI28" i="7"/>
  <c r="MRK28" i="7"/>
  <c r="MRM28" i="7"/>
  <c r="MRO28" i="7"/>
  <c r="MRQ28" i="7"/>
  <c r="MRS28" i="7"/>
  <c r="MRU28" i="7"/>
  <c r="MRW28" i="7"/>
  <c r="MRY28" i="7"/>
  <c r="MSA28" i="7"/>
  <c r="MSC28" i="7"/>
  <c r="MSE28" i="7"/>
  <c r="MSG28" i="7"/>
  <c r="MSI28" i="7"/>
  <c r="MSK28" i="7"/>
  <c r="MSM28" i="7"/>
  <c r="MSO28" i="7"/>
  <c r="MSQ28" i="7"/>
  <c r="MSS28" i="7"/>
  <c r="MSU28" i="7"/>
  <c r="MSW28" i="7"/>
  <c r="MSY28" i="7"/>
  <c r="MTA28" i="7"/>
  <c r="MTC28" i="7"/>
  <c r="MTE28" i="7"/>
  <c r="MTG28" i="7"/>
  <c r="MTI28" i="7"/>
  <c r="MTK28" i="7"/>
  <c r="MTM28" i="7"/>
  <c r="MTO28" i="7"/>
  <c r="MTQ28" i="7"/>
  <c r="MTS28" i="7"/>
  <c r="MTU28" i="7"/>
  <c r="MTW28" i="7"/>
  <c r="MTY28" i="7"/>
  <c r="MUA28" i="7"/>
  <c r="MUC28" i="7"/>
  <c r="MUE28" i="7"/>
  <c r="MUG28" i="7"/>
  <c r="MUI28" i="7"/>
  <c r="MUK28" i="7"/>
  <c r="MUM28" i="7"/>
  <c r="MUO28" i="7"/>
  <c r="MUQ28" i="7"/>
  <c r="MUS28" i="7"/>
  <c r="MUU28" i="7"/>
  <c r="MUW28" i="7"/>
  <c r="MUY28" i="7"/>
  <c r="MVA28" i="7"/>
  <c r="MVC28" i="7"/>
  <c r="MVE28" i="7"/>
  <c r="MVG28" i="7"/>
  <c r="MVI28" i="7"/>
  <c r="MVK28" i="7"/>
  <c r="MVM28" i="7"/>
  <c r="MVO28" i="7"/>
  <c r="MVQ28" i="7"/>
  <c r="MVS28" i="7"/>
  <c r="MVU28" i="7"/>
  <c r="MVW28" i="7"/>
  <c r="MVY28" i="7"/>
  <c r="MWA28" i="7"/>
  <c r="MWC28" i="7"/>
  <c r="MWE28" i="7"/>
  <c r="MWG28" i="7"/>
  <c r="MWI28" i="7"/>
  <c r="MWK28" i="7"/>
  <c r="MWM28" i="7"/>
  <c r="MWO28" i="7"/>
  <c r="MWQ28" i="7"/>
  <c r="MWS28" i="7"/>
  <c r="MWU28" i="7"/>
  <c r="MWW28" i="7"/>
  <c r="MWY28" i="7"/>
  <c r="MXA28" i="7"/>
  <c r="MXC28" i="7"/>
  <c r="MXE28" i="7"/>
  <c r="MXG28" i="7"/>
  <c r="MXI28" i="7"/>
  <c r="MXK28" i="7"/>
  <c r="MXM28" i="7"/>
  <c r="MXO28" i="7"/>
  <c r="MXQ28" i="7"/>
  <c r="MXS28" i="7"/>
  <c r="MXU28" i="7"/>
  <c r="MXW28" i="7"/>
  <c r="MXY28" i="7"/>
  <c r="MYA28" i="7"/>
  <c r="MYC28" i="7"/>
  <c r="MYE28" i="7"/>
  <c r="MYG28" i="7"/>
  <c r="MYI28" i="7"/>
  <c r="MYK28" i="7"/>
  <c r="MYM28" i="7"/>
  <c r="MYO28" i="7"/>
  <c r="MYQ28" i="7"/>
  <c r="MYS28" i="7"/>
  <c r="MYU28" i="7"/>
  <c r="MYW28" i="7"/>
  <c r="MYY28" i="7"/>
  <c r="MZA28" i="7"/>
  <c r="MZC28" i="7"/>
  <c r="MZE28" i="7"/>
  <c r="MZG28" i="7"/>
  <c r="MZI28" i="7"/>
  <c r="MZK28" i="7"/>
  <c r="MZM28" i="7"/>
  <c r="MZO28" i="7"/>
  <c r="MZQ28" i="7"/>
  <c r="MZS28" i="7"/>
  <c r="MZU28" i="7"/>
  <c r="MZW28" i="7"/>
  <c r="MZY28" i="7"/>
  <c r="NAA28" i="7"/>
  <c r="NAC28" i="7"/>
  <c r="NAE28" i="7"/>
  <c r="NAG28" i="7"/>
  <c r="NAI28" i="7"/>
  <c r="NAK28" i="7"/>
  <c r="NAM28" i="7"/>
  <c r="NAO28" i="7"/>
  <c r="NAQ28" i="7"/>
  <c r="NAS28" i="7"/>
  <c r="NAU28" i="7"/>
  <c r="NAW28" i="7"/>
  <c r="NAY28" i="7"/>
  <c r="NBA28" i="7"/>
  <c r="NBC28" i="7"/>
  <c r="NBE28" i="7"/>
  <c r="NBG28" i="7"/>
  <c r="NBI28" i="7"/>
  <c r="NBK28" i="7"/>
  <c r="NBM28" i="7"/>
  <c r="NBO28" i="7"/>
  <c r="NBQ28" i="7"/>
  <c r="NBS28" i="7"/>
  <c r="NBU28" i="7"/>
  <c r="NBW28" i="7"/>
  <c r="NBY28" i="7"/>
  <c r="NCA28" i="7"/>
  <c r="NCC28" i="7"/>
  <c r="NCE28" i="7"/>
  <c r="NCG28" i="7"/>
  <c r="NCI28" i="7"/>
  <c r="NCK28" i="7"/>
  <c r="NCM28" i="7"/>
  <c r="NCO28" i="7"/>
  <c r="NCQ28" i="7"/>
  <c r="NCS28" i="7"/>
  <c r="NCU28" i="7"/>
  <c r="NCW28" i="7"/>
  <c r="NCY28" i="7"/>
  <c r="NDA28" i="7"/>
  <c r="NDC28" i="7"/>
  <c r="NDE28" i="7"/>
  <c r="NDG28" i="7"/>
  <c r="NDI28" i="7"/>
  <c r="NDK28" i="7"/>
  <c r="NDM28" i="7"/>
  <c r="NDO28" i="7"/>
  <c r="NDQ28" i="7"/>
  <c r="NDS28" i="7"/>
  <c r="NDU28" i="7"/>
  <c r="NDW28" i="7"/>
  <c r="NDY28" i="7"/>
  <c r="NEA28" i="7"/>
  <c r="NEC28" i="7"/>
  <c r="NEE28" i="7"/>
  <c r="NEG28" i="7"/>
  <c r="NEI28" i="7"/>
  <c r="NEK28" i="7"/>
  <c r="NEM28" i="7"/>
  <c r="NEO28" i="7"/>
  <c r="NEQ28" i="7"/>
  <c r="NES28" i="7"/>
  <c r="NEU28" i="7"/>
  <c r="NEW28" i="7"/>
  <c r="NEY28" i="7"/>
  <c r="NFA28" i="7"/>
  <c r="NFC28" i="7"/>
  <c r="NFE28" i="7"/>
  <c r="NFG28" i="7"/>
  <c r="NFI28" i="7"/>
  <c r="NFK28" i="7"/>
  <c r="NFM28" i="7"/>
  <c r="NFO28" i="7"/>
  <c r="NFQ28" i="7"/>
  <c r="NFS28" i="7"/>
  <c r="NFU28" i="7"/>
  <c r="NFW28" i="7"/>
  <c r="NFY28" i="7"/>
  <c r="NGA28" i="7"/>
  <c r="NGC28" i="7"/>
  <c r="NGE28" i="7"/>
  <c r="NGG28" i="7"/>
  <c r="NGI28" i="7"/>
  <c r="NGK28" i="7"/>
  <c r="NGM28" i="7"/>
  <c r="NGO28" i="7"/>
  <c r="NGQ28" i="7"/>
  <c r="NGS28" i="7"/>
  <c r="NGU28" i="7"/>
  <c r="NGW28" i="7"/>
  <c r="NGY28" i="7"/>
  <c r="NHA28" i="7"/>
  <c r="NHC28" i="7"/>
  <c r="NHE28" i="7"/>
  <c r="NHG28" i="7"/>
  <c r="NHI28" i="7"/>
  <c r="NHK28" i="7"/>
  <c r="NHM28" i="7"/>
  <c r="NHO28" i="7"/>
  <c r="NHQ28" i="7"/>
  <c r="NHS28" i="7"/>
  <c r="NHU28" i="7"/>
  <c r="NHW28" i="7"/>
  <c r="NHY28" i="7"/>
  <c r="NIA28" i="7"/>
  <c r="NIC28" i="7"/>
  <c r="NIE28" i="7"/>
  <c r="NIG28" i="7"/>
  <c r="NII28" i="7"/>
  <c r="NIK28" i="7"/>
  <c r="NIM28" i="7"/>
  <c r="NIO28" i="7"/>
  <c r="NIQ28" i="7"/>
  <c r="NIS28" i="7"/>
  <c r="NIU28" i="7"/>
  <c r="NIW28" i="7"/>
  <c r="NIY28" i="7"/>
  <c r="NJA28" i="7"/>
  <c r="NJC28" i="7"/>
  <c r="NJE28" i="7"/>
  <c r="NJG28" i="7"/>
  <c r="NJI28" i="7"/>
  <c r="NJK28" i="7"/>
  <c r="NJM28" i="7"/>
  <c r="NJO28" i="7"/>
  <c r="NJQ28" i="7"/>
  <c r="NJS28" i="7"/>
  <c r="NJU28" i="7"/>
  <c r="NJW28" i="7"/>
  <c r="NJY28" i="7"/>
  <c r="NKA28" i="7"/>
  <c r="NKC28" i="7"/>
  <c r="NKE28" i="7"/>
  <c r="NKG28" i="7"/>
  <c r="NKI28" i="7"/>
  <c r="NKK28" i="7"/>
  <c r="NKM28" i="7"/>
  <c r="NKO28" i="7"/>
  <c r="NKQ28" i="7"/>
  <c r="NKS28" i="7"/>
  <c r="NKU28" i="7"/>
  <c r="NKW28" i="7"/>
  <c r="NKY28" i="7"/>
  <c r="NLA28" i="7"/>
  <c r="NLC28" i="7"/>
  <c r="NLE28" i="7"/>
  <c r="NLG28" i="7"/>
  <c r="NLI28" i="7"/>
  <c r="NLK28" i="7"/>
  <c r="NLM28" i="7"/>
  <c r="NLO28" i="7"/>
  <c r="NLQ28" i="7"/>
  <c r="NLS28" i="7"/>
  <c r="NLU28" i="7"/>
  <c r="NLW28" i="7"/>
  <c r="NLY28" i="7"/>
  <c r="NMA28" i="7"/>
  <c r="NMC28" i="7"/>
  <c r="NME28" i="7"/>
  <c r="NMG28" i="7"/>
  <c r="NMI28" i="7"/>
  <c r="NMK28" i="7"/>
  <c r="NMM28" i="7"/>
  <c r="NMO28" i="7"/>
  <c r="NMQ28" i="7"/>
  <c r="NMS28" i="7"/>
  <c r="NMU28" i="7"/>
  <c r="NMW28" i="7"/>
  <c r="NMY28" i="7"/>
  <c r="NNA28" i="7"/>
  <c r="NNC28" i="7"/>
  <c r="NNE28" i="7"/>
  <c r="NNG28" i="7"/>
  <c r="NNI28" i="7"/>
  <c r="NNK28" i="7"/>
  <c r="NNM28" i="7"/>
  <c r="NNO28" i="7"/>
  <c r="NNQ28" i="7"/>
  <c r="NNS28" i="7"/>
  <c r="NNU28" i="7"/>
  <c r="NNW28" i="7"/>
  <c r="NNY28" i="7"/>
  <c r="NOA28" i="7"/>
  <c r="NOC28" i="7"/>
  <c r="NOE28" i="7"/>
  <c r="NOG28" i="7"/>
  <c r="NOI28" i="7"/>
  <c r="NOK28" i="7"/>
  <c r="NOM28" i="7"/>
  <c r="NOO28" i="7"/>
  <c r="NOQ28" i="7"/>
  <c r="NOS28" i="7"/>
  <c r="NOU28" i="7"/>
  <c r="NOW28" i="7"/>
  <c r="NOY28" i="7"/>
  <c r="NPA28" i="7"/>
  <c r="NPC28" i="7"/>
  <c r="NPE28" i="7"/>
  <c r="NPG28" i="7"/>
  <c r="NPI28" i="7"/>
  <c r="NPK28" i="7"/>
  <c r="NPM28" i="7"/>
  <c r="NPO28" i="7"/>
  <c r="NPQ28" i="7"/>
  <c r="NPS28" i="7"/>
  <c r="NPU28" i="7"/>
  <c r="NPW28" i="7"/>
  <c r="NPY28" i="7"/>
  <c r="NQA28" i="7"/>
  <c r="NQC28" i="7"/>
  <c r="NQE28" i="7"/>
  <c r="NQG28" i="7"/>
  <c r="NQI28" i="7"/>
  <c r="NQK28" i="7"/>
  <c r="NQM28" i="7"/>
  <c r="NQO28" i="7"/>
  <c r="NQQ28" i="7"/>
  <c r="NQS28" i="7"/>
  <c r="NQU28" i="7"/>
  <c r="NQW28" i="7"/>
  <c r="NQY28" i="7"/>
  <c r="NRA28" i="7"/>
  <c r="NRC28" i="7"/>
  <c r="NRE28" i="7"/>
  <c r="NRG28" i="7"/>
  <c r="NRI28" i="7"/>
  <c r="NRK28" i="7"/>
  <c r="NRM28" i="7"/>
  <c r="NRO28" i="7"/>
  <c r="NRQ28" i="7"/>
  <c r="NRS28" i="7"/>
  <c r="NRU28" i="7"/>
  <c r="NRW28" i="7"/>
  <c r="NRY28" i="7"/>
  <c r="NSA28" i="7"/>
  <c r="NSC28" i="7"/>
  <c r="NSE28" i="7"/>
  <c r="NSG28" i="7"/>
  <c r="NSI28" i="7"/>
  <c r="NSK28" i="7"/>
  <c r="NSM28" i="7"/>
  <c r="NSO28" i="7"/>
  <c r="NSQ28" i="7"/>
  <c r="NSS28" i="7"/>
  <c r="NSU28" i="7"/>
  <c r="NSW28" i="7"/>
  <c r="NSY28" i="7"/>
  <c r="NTA28" i="7"/>
  <c r="NTC28" i="7"/>
  <c r="NTE28" i="7"/>
  <c r="NTG28" i="7"/>
  <c r="NTI28" i="7"/>
  <c r="NTK28" i="7"/>
  <c r="NTM28" i="7"/>
  <c r="NTO28" i="7"/>
  <c r="NTQ28" i="7"/>
  <c r="NTS28" i="7"/>
  <c r="NTU28" i="7"/>
  <c r="NTW28" i="7"/>
  <c r="NTY28" i="7"/>
  <c r="NUA28" i="7"/>
  <c r="NUC28" i="7"/>
  <c r="NUE28" i="7"/>
  <c r="NUG28" i="7"/>
  <c r="NUI28" i="7"/>
  <c r="NUK28" i="7"/>
  <c r="NUM28" i="7"/>
  <c r="NUO28" i="7"/>
  <c r="NUQ28" i="7"/>
  <c r="NUS28" i="7"/>
  <c r="NUU28" i="7"/>
  <c r="NUW28" i="7"/>
  <c r="NUY28" i="7"/>
  <c r="NVA28" i="7"/>
  <c r="NVC28" i="7"/>
  <c r="NVE28" i="7"/>
  <c r="NVG28" i="7"/>
  <c r="NVI28" i="7"/>
  <c r="NVK28" i="7"/>
  <c r="NVM28" i="7"/>
  <c r="NVO28" i="7"/>
  <c r="NVQ28" i="7"/>
  <c r="NVS28" i="7"/>
  <c r="NVU28" i="7"/>
  <c r="NVW28" i="7"/>
  <c r="NVY28" i="7"/>
  <c r="NWA28" i="7"/>
  <c r="NWC28" i="7"/>
  <c r="NWE28" i="7"/>
  <c r="NWG28" i="7"/>
  <c r="NWI28" i="7"/>
  <c r="NWK28" i="7"/>
  <c r="NWM28" i="7"/>
  <c r="NWO28" i="7"/>
  <c r="NWQ28" i="7"/>
  <c r="NWS28" i="7"/>
  <c r="NWU28" i="7"/>
  <c r="NWW28" i="7"/>
  <c r="NWY28" i="7"/>
  <c r="NXA28" i="7"/>
  <c r="NXC28" i="7"/>
  <c r="NXE28" i="7"/>
  <c r="NXG28" i="7"/>
  <c r="NXI28" i="7"/>
  <c r="NXK28" i="7"/>
  <c r="NXM28" i="7"/>
  <c r="NXO28" i="7"/>
  <c r="NXQ28" i="7"/>
  <c r="NXS28" i="7"/>
  <c r="NXU28" i="7"/>
  <c r="NXW28" i="7"/>
  <c r="NXY28" i="7"/>
  <c r="NYA28" i="7"/>
  <c r="NYC28" i="7"/>
  <c r="NYE28" i="7"/>
  <c r="NYG28" i="7"/>
  <c r="NYI28" i="7"/>
  <c r="NYK28" i="7"/>
  <c r="NYM28" i="7"/>
  <c r="NYO28" i="7"/>
  <c r="NYQ28" i="7"/>
  <c r="NYS28" i="7"/>
  <c r="NYU28" i="7"/>
  <c r="NYW28" i="7"/>
  <c r="NYY28" i="7"/>
  <c r="NZA28" i="7"/>
  <c r="NZC28" i="7"/>
  <c r="NZE28" i="7"/>
  <c r="NZG28" i="7"/>
  <c r="NZI28" i="7"/>
  <c r="NZK28" i="7"/>
  <c r="NZM28" i="7"/>
  <c r="NZO28" i="7"/>
  <c r="NZQ28" i="7"/>
  <c r="NZS28" i="7"/>
  <c r="NZU28" i="7"/>
  <c r="NZW28" i="7"/>
  <c r="NZY28" i="7"/>
  <c r="OAA28" i="7"/>
  <c r="OAC28" i="7"/>
  <c r="OAE28" i="7"/>
  <c r="OAG28" i="7"/>
  <c r="OAI28" i="7"/>
  <c r="OAK28" i="7"/>
  <c r="OAM28" i="7"/>
  <c r="OAO28" i="7"/>
  <c r="OAQ28" i="7"/>
  <c r="OAS28" i="7"/>
  <c r="OAU28" i="7"/>
  <c r="OAW28" i="7"/>
  <c r="OAY28" i="7"/>
  <c r="OBA28" i="7"/>
  <c r="OBC28" i="7"/>
  <c r="OBE28" i="7"/>
  <c r="OBG28" i="7"/>
  <c r="OBI28" i="7"/>
  <c r="OBK28" i="7"/>
  <c r="OBM28" i="7"/>
  <c r="OBO28" i="7"/>
  <c r="OBQ28" i="7"/>
  <c r="OBS28" i="7"/>
  <c r="OBU28" i="7"/>
  <c r="OBW28" i="7"/>
  <c r="OBY28" i="7"/>
  <c r="OCA28" i="7"/>
  <c r="OCC28" i="7"/>
  <c r="OCE28" i="7"/>
  <c r="OCG28" i="7"/>
  <c r="OCI28" i="7"/>
  <c r="OCK28" i="7"/>
  <c r="OCM28" i="7"/>
  <c r="OCO28" i="7"/>
  <c r="OCQ28" i="7"/>
  <c r="OCS28" i="7"/>
  <c r="OCU28" i="7"/>
  <c r="OCW28" i="7"/>
  <c r="OCY28" i="7"/>
  <c r="ODA28" i="7"/>
  <c r="ODC28" i="7"/>
  <c r="ODE28" i="7"/>
  <c r="ODG28" i="7"/>
  <c r="ODI28" i="7"/>
  <c r="ODK28" i="7"/>
  <c r="ODM28" i="7"/>
  <c r="ODO28" i="7"/>
  <c r="ODQ28" i="7"/>
  <c r="ODS28" i="7"/>
  <c r="ODU28" i="7"/>
  <c r="ODW28" i="7"/>
  <c r="ODY28" i="7"/>
  <c r="OEA28" i="7"/>
  <c r="OEC28" i="7"/>
  <c r="OEE28" i="7"/>
  <c r="OEG28" i="7"/>
  <c r="OEI28" i="7"/>
  <c r="OEK28" i="7"/>
  <c r="OEM28" i="7"/>
  <c r="OEO28" i="7"/>
  <c r="OEQ28" i="7"/>
  <c r="OES28" i="7"/>
  <c r="OEU28" i="7"/>
  <c r="OEW28" i="7"/>
  <c r="OEY28" i="7"/>
  <c r="OFA28" i="7"/>
  <c r="OFC28" i="7"/>
  <c r="OFE28" i="7"/>
  <c r="OFG28" i="7"/>
  <c r="OFI28" i="7"/>
  <c r="OFK28" i="7"/>
  <c r="OFM28" i="7"/>
  <c r="OFO28" i="7"/>
  <c r="OFQ28" i="7"/>
  <c r="OFS28" i="7"/>
  <c r="OFU28" i="7"/>
  <c r="OFW28" i="7"/>
  <c r="OFY28" i="7"/>
  <c r="OGA28" i="7"/>
  <c r="OGC28" i="7"/>
  <c r="OGE28" i="7"/>
  <c r="OGG28" i="7"/>
  <c r="OGI28" i="7"/>
  <c r="OGK28" i="7"/>
  <c r="OGM28" i="7"/>
  <c r="OGO28" i="7"/>
  <c r="OGQ28" i="7"/>
  <c r="OGS28" i="7"/>
  <c r="OGU28" i="7"/>
  <c r="OGW28" i="7"/>
  <c r="OGY28" i="7"/>
  <c r="OHA28" i="7"/>
  <c r="OHC28" i="7"/>
  <c r="OHE28" i="7"/>
  <c r="OHG28" i="7"/>
  <c r="OHI28" i="7"/>
  <c r="OHK28" i="7"/>
  <c r="OHM28" i="7"/>
  <c r="OHO28" i="7"/>
  <c r="OHQ28" i="7"/>
  <c r="OHS28" i="7"/>
  <c r="OHU28" i="7"/>
  <c r="OHW28" i="7"/>
  <c r="OHY28" i="7"/>
  <c r="OIA28" i="7"/>
  <c r="OIC28" i="7"/>
  <c r="OIE28" i="7"/>
  <c r="OIG28" i="7"/>
  <c r="OII28" i="7"/>
  <c r="OIK28" i="7"/>
  <c r="OIM28" i="7"/>
  <c r="OIO28" i="7"/>
  <c r="OIQ28" i="7"/>
  <c r="OIS28" i="7"/>
  <c r="OIU28" i="7"/>
  <c r="OIW28" i="7"/>
  <c r="OIY28" i="7"/>
  <c r="OJA28" i="7"/>
  <c r="OJC28" i="7"/>
  <c r="OJE28" i="7"/>
  <c r="OJG28" i="7"/>
  <c r="OJI28" i="7"/>
  <c r="OJK28" i="7"/>
  <c r="OJM28" i="7"/>
  <c r="OJO28" i="7"/>
  <c r="OJQ28" i="7"/>
  <c r="OJS28" i="7"/>
  <c r="OJU28" i="7"/>
  <c r="OJW28" i="7"/>
  <c r="OJY28" i="7"/>
  <c r="OKA28" i="7"/>
  <c r="OKC28" i="7"/>
  <c r="OKE28" i="7"/>
  <c r="OKG28" i="7"/>
  <c r="OKI28" i="7"/>
  <c r="OKK28" i="7"/>
  <c r="OKM28" i="7"/>
  <c r="OKO28" i="7"/>
  <c r="OKQ28" i="7"/>
  <c r="OKS28" i="7"/>
  <c r="OKU28" i="7"/>
  <c r="OKW28" i="7"/>
  <c r="OKY28" i="7"/>
  <c r="OLA28" i="7"/>
  <c r="OLC28" i="7"/>
  <c r="OLE28" i="7"/>
  <c r="OLG28" i="7"/>
  <c r="OLI28" i="7"/>
  <c r="OLK28" i="7"/>
  <c r="OLM28" i="7"/>
  <c r="OLO28" i="7"/>
  <c r="OLQ28" i="7"/>
  <c r="OLS28" i="7"/>
  <c r="OLU28" i="7"/>
  <c r="OLW28" i="7"/>
  <c r="OLY28" i="7"/>
  <c r="OMA28" i="7"/>
  <c r="OMC28" i="7"/>
  <c r="OME28" i="7"/>
  <c r="OMG28" i="7"/>
  <c r="OMI28" i="7"/>
  <c r="OMK28" i="7"/>
  <c r="OMM28" i="7"/>
  <c r="OMO28" i="7"/>
  <c r="OMQ28" i="7"/>
  <c r="OMS28" i="7"/>
  <c r="OMU28" i="7"/>
  <c r="OMW28" i="7"/>
  <c r="OMY28" i="7"/>
  <c r="ONA28" i="7"/>
  <c r="ONC28" i="7"/>
  <c r="ONE28" i="7"/>
  <c r="ONG28" i="7"/>
  <c r="ONI28" i="7"/>
  <c r="ONK28" i="7"/>
  <c r="ONM28" i="7"/>
  <c r="ONO28" i="7"/>
  <c r="ONQ28" i="7"/>
  <c r="ONS28" i="7"/>
  <c r="ONU28" i="7"/>
  <c r="ONW28" i="7"/>
  <c r="ONY28" i="7"/>
  <c r="OOA28" i="7"/>
  <c r="OOC28" i="7"/>
  <c r="OOE28" i="7"/>
  <c r="OOG28" i="7"/>
  <c r="OOI28" i="7"/>
  <c r="OOK28" i="7"/>
  <c r="OOM28" i="7"/>
  <c r="OOO28" i="7"/>
  <c r="OOQ28" i="7"/>
  <c r="OOS28" i="7"/>
  <c r="OOU28" i="7"/>
  <c r="OOW28" i="7"/>
  <c r="OOY28" i="7"/>
  <c r="OPA28" i="7"/>
  <c r="OPC28" i="7"/>
  <c r="OPE28" i="7"/>
  <c r="OPG28" i="7"/>
  <c r="OPI28" i="7"/>
  <c r="OPK28" i="7"/>
  <c r="OPM28" i="7"/>
  <c r="OPO28" i="7"/>
  <c r="OPQ28" i="7"/>
  <c r="OPS28" i="7"/>
  <c r="OPU28" i="7"/>
  <c r="OPW28" i="7"/>
  <c r="OPY28" i="7"/>
  <c r="OQA28" i="7"/>
  <c r="OQC28" i="7"/>
  <c r="OQE28" i="7"/>
  <c r="OQG28" i="7"/>
  <c r="OQI28" i="7"/>
  <c r="OQK28" i="7"/>
  <c r="OQM28" i="7"/>
  <c r="OQO28" i="7"/>
  <c r="OQQ28" i="7"/>
  <c r="OQS28" i="7"/>
  <c r="OQU28" i="7"/>
  <c r="OQW28" i="7"/>
  <c r="OQY28" i="7"/>
  <c r="ORA28" i="7"/>
  <c r="ORC28" i="7"/>
  <c r="ORE28" i="7"/>
  <c r="ORG28" i="7"/>
  <c r="ORI28" i="7"/>
  <c r="ORK28" i="7"/>
  <c r="ORM28" i="7"/>
  <c r="ORO28" i="7"/>
  <c r="ORQ28" i="7"/>
  <c r="ORS28" i="7"/>
  <c r="ORU28" i="7"/>
  <c r="ORW28" i="7"/>
  <c r="ORY28" i="7"/>
  <c r="OSA28" i="7"/>
  <c r="OSC28" i="7"/>
  <c r="OSE28" i="7"/>
  <c r="OSG28" i="7"/>
  <c r="OSI28" i="7"/>
  <c r="OSK28" i="7"/>
  <c r="OSM28" i="7"/>
  <c r="OSO28" i="7"/>
  <c r="OSQ28" i="7"/>
  <c r="OSS28" i="7"/>
  <c r="OSU28" i="7"/>
  <c r="OSW28" i="7"/>
  <c r="OSY28" i="7"/>
  <c r="OTA28" i="7"/>
  <c r="OTC28" i="7"/>
  <c r="OTE28" i="7"/>
  <c r="OTG28" i="7"/>
  <c r="OTI28" i="7"/>
  <c r="OTK28" i="7"/>
  <c r="OTM28" i="7"/>
  <c r="OTO28" i="7"/>
  <c r="OTQ28" i="7"/>
  <c r="OTS28" i="7"/>
  <c r="OTU28" i="7"/>
  <c r="OTW28" i="7"/>
  <c r="OTY28" i="7"/>
  <c r="OUA28" i="7"/>
  <c r="OUC28" i="7"/>
  <c r="OUE28" i="7"/>
  <c r="OUG28" i="7"/>
  <c r="OUI28" i="7"/>
  <c r="OUK28" i="7"/>
  <c r="OUM28" i="7"/>
  <c r="OUO28" i="7"/>
  <c r="OUQ28" i="7"/>
  <c r="OUS28" i="7"/>
  <c r="OUU28" i="7"/>
  <c r="OUW28" i="7"/>
  <c r="OUY28" i="7"/>
  <c r="OVA28" i="7"/>
  <c r="OVC28" i="7"/>
  <c r="OVE28" i="7"/>
  <c r="OVG28" i="7"/>
  <c r="OVI28" i="7"/>
  <c r="OVK28" i="7"/>
  <c r="OVM28" i="7"/>
  <c r="OVO28" i="7"/>
  <c r="OVQ28" i="7"/>
  <c r="OVS28" i="7"/>
  <c r="OVU28" i="7"/>
  <c r="OVW28" i="7"/>
  <c r="OVY28" i="7"/>
  <c r="OWA28" i="7"/>
  <c r="OWC28" i="7"/>
  <c r="OWE28" i="7"/>
  <c r="OWG28" i="7"/>
  <c r="OWI28" i="7"/>
  <c r="OWK28" i="7"/>
  <c r="OWM28" i="7"/>
  <c r="OWO28" i="7"/>
  <c r="OWQ28" i="7"/>
  <c r="OWS28" i="7"/>
  <c r="OWU28" i="7"/>
  <c r="OWW28" i="7"/>
  <c r="OWY28" i="7"/>
  <c r="OXA28" i="7"/>
  <c r="OXC28" i="7"/>
  <c r="OXE28" i="7"/>
  <c r="OXG28" i="7"/>
  <c r="OXI28" i="7"/>
  <c r="OXK28" i="7"/>
  <c r="OXM28" i="7"/>
  <c r="OXO28" i="7"/>
  <c r="OXQ28" i="7"/>
  <c r="OXS28" i="7"/>
  <c r="OXU28" i="7"/>
  <c r="OXW28" i="7"/>
  <c r="OXY28" i="7"/>
  <c r="OYA28" i="7"/>
  <c r="OYC28" i="7"/>
  <c r="OYE28" i="7"/>
  <c r="OYG28" i="7"/>
  <c r="OYI28" i="7"/>
  <c r="OYK28" i="7"/>
  <c r="OYM28" i="7"/>
  <c r="OYO28" i="7"/>
  <c r="OYQ28" i="7"/>
  <c r="OYS28" i="7"/>
  <c r="OYU28" i="7"/>
  <c r="OYW28" i="7"/>
  <c r="OYY28" i="7"/>
  <c r="OZA28" i="7"/>
  <c r="OZC28" i="7"/>
  <c r="OZE28" i="7"/>
  <c r="OZG28" i="7"/>
  <c r="OZI28" i="7"/>
  <c r="OZK28" i="7"/>
  <c r="OZM28" i="7"/>
  <c r="OZO28" i="7"/>
  <c r="OZQ28" i="7"/>
  <c r="OZS28" i="7"/>
  <c r="OZU28" i="7"/>
  <c r="OZW28" i="7"/>
  <c r="OZY28" i="7"/>
  <c r="PAA28" i="7"/>
  <c r="PAC28" i="7"/>
  <c r="PAE28" i="7"/>
  <c r="PAG28" i="7"/>
  <c r="PAI28" i="7"/>
  <c r="PAK28" i="7"/>
  <c r="PAM28" i="7"/>
  <c r="PAO28" i="7"/>
  <c r="PAQ28" i="7"/>
  <c r="PAS28" i="7"/>
  <c r="PAU28" i="7"/>
  <c r="PAW28" i="7"/>
  <c r="PAY28" i="7"/>
  <c r="PBA28" i="7"/>
  <c r="PBC28" i="7"/>
  <c r="PBE28" i="7"/>
  <c r="PBG28" i="7"/>
  <c r="PBI28" i="7"/>
  <c r="PBK28" i="7"/>
  <c r="PBM28" i="7"/>
  <c r="PBO28" i="7"/>
  <c r="PBQ28" i="7"/>
  <c r="PBS28" i="7"/>
  <c r="PBU28" i="7"/>
  <c r="PBW28" i="7"/>
  <c r="PBY28" i="7"/>
  <c r="PCA28" i="7"/>
  <c r="PCC28" i="7"/>
  <c r="PCE28" i="7"/>
  <c r="PCG28" i="7"/>
  <c r="PCI28" i="7"/>
  <c r="PCK28" i="7"/>
  <c r="PCM28" i="7"/>
  <c r="PCO28" i="7"/>
  <c r="PCQ28" i="7"/>
  <c r="PCS28" i="7"/>
  <c r="PCU28" i="7"/>
  <c r="PCW28" i="7"/>
  <c r="PCY28" i="7"/>
  <c r="PDA28" i="7"/>
  <c r="PDC28" i="7"/>
  <c r="PDE28" i="7"/>
  <c r="PDG28" i="7"/>
  <c r="PDI28" i="7"/>
  <c r="PDK28" i="7"/>
  <c r="PDM28" i="7"/>
  <c r="PDO28" i="7"/>
  <c r="PDQ28" i="7"/>
  <c r="PDS28" i="7"/>
  <c r="PDU28" i="7"/>
  <c r="PDW28" i="7"/>
  <c r="PDY28" i="7"/>
  <c r="PEA28" i="7"/>
  <c r="PEC28" i="7"/>
  <c r="PEE28" i="7"/>
  <c r="PEG28" i="7"/>
  <c r="PEI28" i="7"/>
  <c r="PEK28" i="7"/>
  <c r="PEM28" i="7"/>
  <c r="PEO28" i="7"/>
  <c r="PEQ28" i="7"/>
  <c r="PES28" i="7"/>
  <c r="PEU28" i="7"/>
  <c r="PEW28" i="7"/>
  <c r="PEY28" i="7"/>
  <c r="PFA28" i="7"/>
  <c r="PFC28" i="7"/>
  <c r="PFE28" i="7"/>
  <c r="PFG28" i="7"/>
  <c r="PFI28" i="7"/>
  <c r="PFK28" i="7"/>
  <c r="PFM28" i="7"/>
  <c r="PFO28" i="7"/>
  <c r="PFQ28" i="7"/>
  <c r="PFS28" i="7"/>
  <c r="PFU28" i="7"/>
  <c r="PFW28" i="7"/>
  <c r="PFY28" i="7"/>
  <c r="PGA28" i="7"/>
  <c r="PGC28" i="7"/>
  <c r="PGE28" i="7"/>
  <c r="PGG28" i="7"/>
  <c r="PGI28" i="7"/>
  <c r="PGK28" i="7"/>
  <c r="PGM28" i="7"/>
  <c r="PGO28" i="7"/>
  <c r="PGQ28" i="7"/>
  <c r="PGS28" i="7"/>
  <c r="PGU28" i="7"/>
  <c r="PGW28" i="7"/>
  <c r="PGY28" i="7"/>
  <c r="PHA28" i="7"/>
  <c r="PHC28" i="7"/>
  <c r="PHE28" i="7"/>
  <c r="PHG28" i="7"/>
  <c r="PHI28" i="7"/>
  <c r="PHK28" i="7"/>
  <c r="PHM28" i="7"/>
  <c r="PHO28" i="7"/>
  <c r="PHQ28" i="7"/>
  <c r="PHS28" i="7"/>
  <c r="PHU28" i="7"/>
  <c r="PHW28" i="7"/>
  <c r="PHY28" i="7"/>
  <c r="PIA28" i="7"/>
  <c r="PIC28" i="7"/>
  <c r="PIE28" i="7"/>
  <c r="PIG28" i="7"/>
  <c r="PII28" i="7"/>
  <c r="PIK28" i="7"/>
  <c r="PIM28" i="7"/>
  <c r="PIO28" i="7"/>
  <c r="PIQ28" i="7"/>
  <c r="PIS28" i="7"/>
  <c r="PIU28" i="7"/>
  <c r="PIW28" i="7"/>
  <c r="PIY28" i="7"/>
  <c r="PJA28" i="7"/>
  <c r="PJC28" i="7"/>
  <c r="PJE28" i="7"/>
  <c r="PJG28" i="7"/>
  <c r="PJI28" i="7"/>
  <c r="PJK28" i="7"/>
  <c r="PJM28" i="7"/>
  <c r="PJO28" i="7"/>
  <c r="PJQ28" i="7"/>
  <c r="PJS28" i="7"/>
  <c r="PJU28" i="7"/>
  <c r="PJW28" i="7"/>
  <c r="PJY28" i="7"/>
  <c r="PKA28" i="7"/>
  <c r="PKC28" i="7"/>
  <c r="PKE28" i="7"/>
  <c r="PKG28" i="7"/>
  <c r="PKI28" i="7"/>
  <c r="PKK28" i="7"/>
  <c r="PKM28" i="7"/>
  <c r="PKO28" i="7"/>
  <c r="PKQ28" i="7"/>
  <c r="PKS28" i="7"/>
  <c r="PKU28" i="7"/>
  <c r="PKW28" i="7"/>
  <c r="PKY28" i="7"/>
  <c r="PLA28" i="7"/>
  <c r="PLC28" i="7"/>
  <c r="PLE28" i="7"/>
  <c r="PLG28" i="7"/>
  <c r="PLI28" i="7"/>
  <c r="PLK28" i="7"/>
  <c r="PLM28" i="7"/>
  <c r="PLO28" i="7"/>
  <c r="PLQ28" i="7"/>
  <c r="PLS28" i="7"/>
  <c r="PLU28" i="7"/>
  <c r="PLW28" i="7"/>
  <c r="PLY28" i="7"/>
  <c r="PMA28" i="7"/>
  <c r="PMC28" i="7"/>
  <c r="PME28" i="7"/>
  <c r="PMG28" i="7"/>
  <c r="PMI28" i="7"/>
  <c r="PMK28" i="7"/>
  <c r="PMM28" i="7"/>
  <c r="PMO28" i="7"/>
  <c r="PMQ28" i="7"/>
  <c r="PMS28" i="7"/>
  <c r="PMU28" i="7"/>
  <c r="PMW28" i="7"/>
  <c r="PMY28" i="7"/>
  <c r="PNA28" i="7"/>
  <c r="PNC28" i="7"/>
  <c r="PNE28" i="7"/>
  <c r="PNG28" i="7"/>
  <c r="PNI28" i="7"/>
  <c r="PNK28" i="7"/>
  <c r="PNM28" i="7"/>
  <c r="PNO28" i="7"/>
  <c r="PNQ28" i="7"/>
  <c r="PNS28" i="7"/>
  <c r="PNU28" i="7"/>
  <c r="PNW28" i="7"/>
  <c r="PNY28" i="7"/>
  <c r="POA28" i="7"/>
  <c r="POC28" i="7"/>
  <c r="POE28" i="7"/>
  <c r="POG28" i="7"/>
  <c r="POI28" i="7"/>
  <c r="POK28" i="7"/>
  <c r="POM28" i="7"/>
  <c r="POO28" i="7"/>
  <c r="POQ28" i="7"/>
  <c r="POS28" i="7"/>
  <c r="POU28" i="7"/>
  <c r="POW28" i="7"/>
  <c r="POY28" i="7"/>
  <c r="PPA28" i="7"/>
  <c r="PPC28" i="7"/>
  <c r="PPE28" i="7"/>
  <c r="PPG28" i="7"/>
  <c r="PPI28" i="7"/>
  <c r="PPK28" i="7"/>
  <c r="PPM28" i="7"/>
  <c r="PPO28" i="7"/>
  <c r="PPQ28" i="7"/>
  <c r="PPS28" i="7"/>
  <c r="PPU28" i="7"/>
  <c r="PPW28" i="7"/>
  <c r="PPY28" i="7"/>
  <c r="PQA28" i="7"/>
  <c r="PQC28" i="7"/>
  <c r="PQE28" i="7"/>
  <c r="PQG28" i="7"/>
  <c r="PQI28" i="7"/>
  <c r="PQK28" i="7"/>
  <c r="PQM28" i="7"/>
  <c r="PQO28" i="7"/>
  <c r="PQQ28" i="7"/>
  <c r="PQS28" i="7"/>
  <c r="PQU28" i="7"/>
  <c r="PQW28" i="7"/>
  <c r="PQY28" i="7"/>
  <c r="PRA28" i="7"/>
  <c r="PRC28" i="7"/>
  <c r="PRE28" i="7"/>
  <c r="PRG28" i="7"/>
  <c r="PRI28" i="7"/>
  <c r="PRK28" i="7"/>
  <c r="PRM28" i="7"/>
  <c r="PRO28" i="7"/>
  <c r="PRQ28" i="7"/>
  <c r="PRS28" i="7"/>
  <c r="PRU28" i="7"/>
  <c r="PRW28" i="7"/>
  <c r="PRY28" i="7"/>
  <c r="PSA28" i="7"/>
  <c r="PSC28" i="7"/>
  <c r="PSE28" i="7"/>
  <c r="PSG28" i="7"/>
  <c r="PSI28" i="7"/>
  <c r="PSK28" i="7"/>
  <c r="PSM28" i="7"/>
  <c r="PSO28" i="7"/>
  <c r="PSQ28" i="7"/>
  <c r="PSS28" i="7"/>
  <c r="PSU28" i="7"/>
  <c r="PSW28" i="7"/>
  <c r="PSY28" i="7"/>
  <c r="PTA28" i="7"/>
  <c r="PTC28" i="7"/>
  <c r="PTE28" i="7"/>
  <c r="PTG28" i="7"/>
  <c r="PTI28" i="7"/>
  <c r="PTK28" i="7"/>
  <c r="PTM28" i="7"/>
  <c r="PTO28" i="7"/>
  <c r="PTQ28" i="7"/>
  <c r="PTS28" i="7"/>
  <c r="PTU28" i="7"/>
  <c r="PTW28" i="7"/>
  <c r="PTY28" i="7"/>
  <c r="PUA28" i="7"/>
  <c r="PUC28" i="7"/>
  <c r="PUE28" i="7"/>
  <c r="PUG28" i="7"/>
  <c r="PUI28" i="7"/>
  <c r="PUK28" i="7"/>
  <c r="PUM28" i="7"/>
  <c r="PUO28" i="7"/>
  <c r="PUQ28" i="7"/>
  <c r="PUS28" i="7"/>
  <c r="PUU28" i="7"/>
  <c r="PUW28" i="7"/>
  <c r="PUY28" i="7"/>
  <c r="PVA28" i="7"/>
  <c r="PVC28" i="7"/>
  <c r="PVE28" i="7"/>
  <c r="PVG28" i="7"/>
  <c r="PVI28" i="7"/>
  <c r="PVK28" i="7"/>
  <c r="PVM28" i="7"/>
  <c r="PVO28" i="7"/>
  <c r="PVQ28" i="7"/>
  <c r="PVS28" i="7"/>
  <c r="PVU28" i="7"/>
  <c r="PVW28" i="7"/>
  <c r="PVY28" i="7"/>
  <c r="PWA28" i="7"/>
  <c r="PWC28" i="7"/>
  <c r="PWE28" i="7"/>
  <c r="PWG28" i="7"/>
  <c r="PWI28" i="7"/>
  <c r="PWK28" i="7"/>
  <c r="PWM28" i="7"/>
  <c r="PWO28" i="7"/>
  <c r="PWQ28" i="7"/>
  <c r="PWS28" i="7"/>
  <c r="PWU28" i="7"/>
  <c r="PWW28" i="7"/>
  <c r="PWY28" i="7"/>
  <c r="PXA28" i="7"/>
  <c r="PXC28" i="7"/>
  <c r="PXE28" i="7"/>
  <c r="PXG28" i="7"/>
  <c r="PXI28" i="7"/>
  <c r="PXK28" i="7"/>
  <c r="PXM28" i="7"/>
  <c r="PXO28" i="7"/>
  <c r="PXQ28" i="7"/>
  <c r="PXS28" i="7"/>
  <c r="PXU28" i="7"/>
  <c r="PXW28" i="7"/>
  <c r="PXY28" i="7"/>
  <c r="PYA28" i="7"/>
  <c r="PYC28" i="7"/>
  <c r="PYE28" i="7"/>
  <c r="PYG28" i="7"/>
  <c r="PYI28" i="7"/>
  <c r="PYK28" i="7"/>
  <c r="PYM28" i="7"/>
  <c r="PYO28" i="7"/>
  <c r="PYQ28" i="7"/>
  <c r="PYS28" i="7"/>
  <c r="PYU28" i="7"/>
  <c r="PYW28" i="7"/>
  <c r="PYY28" i="7"/>
  <c r="PZA28" i="7"/>
  <c r="PZC28" i="7"/>
  <c r="PZE28" i="7"/>
  <c r="PZG28" i="7"/>
  <c r="PZI28" i="7"/>
  <c r="PZK28" i="7"/>
  <c r="PZM28" i="7"/>
  <c r="PZO28" i="7"/>
  <c r="PZQ28" i="7"/>
  <c r="PZS28" i="7"/>
  <c r="PZU28" i="7"/>
  <c r="PZW28" i="7"/>
  <c r="PZY28" i="7"/>
  <c r="QAA28" i="7"/>
  <c r="QAC28" i="7"/>
  <c r="QAE28" i="7"/>
  <c r="QAG28" i="7"/>
  <c r="QAI28" i="7"/>
  <c r="QAK28" i="7"/>
  <c r="QAM28" i="7"/>
  <c r="QAO28" i="7"/>
  <c r="QAQ28" i="7"/>
  <c r="QAS28" i="7"/>
  <c r="QAU28" i="7"/>
  <c r="QAW28" i="7"/>
  <c r="QAY28" i="7"/>
  <c r="QBA28" i="7"/>
  <c r="QBC28" i="7"/>
  <c r="QBE28" i="7"/>
  <c r="QBG28" i="7"/>
  <c r="QBI28" i="7"/>
  <c r="QBK28" i="7"/>
  <c r="QBM28" i="7"/>
  <c r="QBO28" i="7"/>
  <c r="QBQ28" i="7"/>
  <c r="QBS28" i="7"/>
  <c r="QBU28" i="7"/>
  <c r="QBW28" i="7"/>
  <c r="QBY28" i="7"/>
  <c r="QCA28" i="7"/>
  <c r="QCC28" i="7"/>
  <c r="QCE28" i="7"/>
  <c r="QCG28" i="7"/>
  <c r="QCI28" i="7"/>
  <c r="QCK28" i="7"/>
  <c r="QCM28" i="7"/>
  <c r="QCO28" i="7"/>
  <c r="QCQ28" i="7"/>
  <c r="QCS28" i="7"/>
  <c r="QCU28" i="7"/>
  <c r="QCW28" i="7"/>
  <c r="QCY28" i="7"/>
  <c r="QDA28" i="7"/>
  <c r="QDC28" i="7"/>
  <c r="QDE28" i="7"/>
  <c r="QDG28" i="7"/>
  <c r="QDI28" i="7"/>
  <c r="QDK28" i="7"/>
  <c r="QDM28" i="7"/>
  <c r="QDO28" i="7"/>
  <c r="QDQ28" i="7"/>
  <c r="QDS28" i="7"/>
  <c r="QDU28" i="7"/>
  <c r="QDW28" i="7"/>
  <c r="QDY28" i="7"/>
  <c r="QEA28" i="7"/>
  <c r="QEC28" i="7"/>
  <c r="QEE28" i="7"/>
  <c r="QEG28" i="7"/>
  <c r="QEI28" i="7"/>
  <c r="QEK28" i="7"/>
  <c r="QEM28" i="7"/>
  <c r="QEO28" i="7"/>
  <c r="QEQ28" i="7"/>
  <c r="QES28" i="7"/>
  <c r="QEU28" i="7"/>
  <c r="QEW28" i="7"/>
  <c r="QEY28" i="7"/>
  <c r="QFA28" i="7"/>
  <c r="QFC28" i="7"/>
  <c r="QFE28" i="7"/>
  <c r="QFG28" i="7"/>
  <c r="QFI28" i="7"/>
  <c r="QFK28" i="7"/>
  <c r="QFM28" i="7"/>
  <c r="QFO28" i="7"/>
  <c r="QFQ28" i="7"/>
  <c r="QFS28" i="7"/>
  <c r="QFU28" i="7"/>
  <c r="QFW28" i="7"/>
  <c r="QFY28" i="7"/>
  <c r="QGA28" i="7"/>
  <c r="QGC28" i="7"/>
  <c r="QGE28" i="7"/>
  <c r="QGG28" i="7"/>
  <c r="QGI28" i="7"/>
  <c r="QGK28" i="7"/>
  <c r="QGM28" i="7"/>
  <c r="QGO28" i="7"/>
  <c r="QGQ28" i="7"/>
  <c r="QGS28" i="7"/>
  <c r="QGU28" i="7"/>
  <c r="QGW28" i="7"/>
  <c r="QGY28" i="7"/>
  <c r="QHA28" i="7"/>
  <c r="QHC28" i="7"/>
  <c r="QHE28" i="7"/>
  <c r="QHG28" i="7"/>
  <c r="QHI28" i="7"/>
  <c r="QHK28" i="7"/>
  <c r="QHM28" i="7"/>
  <c r="QHO28" i="7"/>
  <c r="QHQ28" i="7"/>
  <c r="QHS28" i="7"/>
  <c r="QHU28" i="7"/>
  <c r="QHW28" i="7"/>
  <c r="QHY28" i="7"/>
  <c r="QIA28" i="7"/>
  <c r="QIC28" i="7"/>
  <c r="QIE28" i="7"/>
  <c r="QIG28" i="7"/>
  <c r="QII28" i="7"/>
  <c r="QIK28" i="7"/>
  <c r="QIM28" i="7"/>
  <c r="QIO28" i="7"/>
  <c r="QIQ28" i="7"/>
  <c r="QIS28" i="7"/>
  <c r="QIU28" i="7"/>
  <c r="QIW28" i="7"/>
  <c r="QIY28" i="7"/>
  <c r="QJA28" i="7"/>
  <c r="QJC28" i="7"/>
  <c r="QJE28" i="7"/>
  <c r="QJG28" i="7"/>
  <c r="QJI28" i="7"/>
  <c r="QJK28" i="7"/>
  <c r="QJM28" i="7"/>
  <c r="QJO28" i="7"/>
  <c r="QJQ28" i="7"/>
  <c r="QJS28" i="7"/>
  <c r="QJU28" i="7"/>
  <c r="QJW28" i="7"/>
  <c r="QJY28" i="7"/>
  <c r="QKA28" i="7"/>
  <c r="QKC28" i="7"/>
  <c r="QKE28" i="7"/>
  <c r="QKG28" i="7"/>
  <c r="QKI28" i="7"/>
  <c r="QKK28" i="7"/>
  <c r="QKM28" i="7"/>
  <c r="QKO28" i="7"/>
  <c r="QKQ28" i="7"/>
  <c r="QKS28" i="7"/>
  <c r="QKU28" i="7"/>
  <c r="QKW28" i="7"/>
  <c r="QKY28" i="7"/>
  <c r="QLA28" i="7"/>
  <c r="QLC28" i="7"/>
  <c r="QLE28" i="7"/>
  <c r="QLG28" i="7"/>
  <c r="QLI28" i="7"/>
  <c r="QLK28" i="7"/>
  <c r="QLM28" i="7"/>
  <c r="QLO28" i="7"/>
  <c r="QLQ28" i="7"/>
  <c r="QLS28" i="7"/>
  <c r="QLU28" i="7"/>
  <c r="QLW28" i="7"/>
  <c r="QLY28" i="7"/>
  <c r="QMA28" i="7"/>
  <c r="QMC28" i="7"/>
  <c r="QME28" i="7"/>
  <c r="QMG28" i="7"/>
  <c r="QMI28" i="7"/>
  <c r="QMK28" i="7"/>
  <c r="QMM28" i="7"/>
  <c r="QMO28" i="7"/>
  <c r="QMQ28" i="7"/>
  <c r="QMS28" i="7"/>
  <c r="QMU28" i="7"/>
  <c r="QMW28" i="7"/>
  <c r="QMY28" i="7"/>
  <c r="QNA28" i="7"/>
  <c r="QNC28" i="7"/>
  <c r="QNE28" i="7"/>
  <c r="QNG28" i="7"/>
  <c r="QNI28" i="7"/>
  <c r="QNK28" i="7"/>
  <c r="QNM28" i="7"/>
  <c r="QNO28" i="7"/>
  <c r="QNQ28" i="7"/>
  <c r="QNS28" i="7"/>
  <c r="QNU28" i="7"/>
  <c r="QNW28" i="7"/>
  <c r="QNY28" i="7"/>
  <c r="QOA28" i="7"/>
  <c r="QOC28" i="7"/>
  <c r="QOE28" i="7"/>
  <c r="QOG28" i="7"/>
  <c r="QOI28" i="7"/>
  <c r="QOK28" i="7"/>
  <c r="QOM28" i="7"/>
  <c r="QOO28" i="7"/>
  <c r="QOQ28" i="7"/>
  <c r="QOS28" i="7"/>
  <c r="QOU28" i="7"/>
  <c r="QOW28" i="7"/>
  <c r="QOY28" i="7"/>
  <c r="QPA28" i="7"/>
  <c r="QPC28" i="7"/>
  <c r="QPE28" i="7"/>
  <c r="QPG28" i="7"/>
  <c r="QPI28" i="7"/>
  <c r="QPK28" i="7"/>
  <c r="QPM28" i="7"/>
  <c r="QPO28" i="7"/>
  <c r="QPQ28" i="7"/>
  <c r="QPS28" i="7"/>
  <c r="QPU28" i="7"/>
  <c r="QPW28" i="7"/>
  <c r="QPY28" i="7"/>
  <c r="QQA28" i="7"/>
  <c r="QQC28" i="7"/>
  <c r="QQE28" i="7"/>
  <c r="QQG28" i="7"/>
  <c r="QQI28" i="7"/>
  <c r="QQK28" i="7"/>
  <c r="QQM28" i="7"/>
  <c r="QQO28" i="7"/>
  <c r="QQQ28" i="7"/>
  <c r="QQS28" i="7"/>
  <c r="QQU28" i="7"/>
  <c r="QQW28" i="7"/>
  <c r="QQY28" i="7"/>
  <c r="QRA28" i="7"/>
  <c r="QRC28" i="7"/>
  <c r="QRE28" i="7"/>
  <c r="QRG28" i="7"/>
  <c r="QRI28" i="7"/>
  <c r="QRK28" i="7"/>
  <c r="QRM28" i="7"/>
  <c r="QRO28" i="7"/>
  <c r="QRQ28" i="7"/>
  <c r="QRS28" i="7"/>
  <c r="QRU28" i="7"/>
  <c r="QRW28" i="7"/>
  <c r="QRY28" i="7"/>
  <c r="QSA28" i="7"/>
  <c r="QSC28" i="7"/>
  <c r="QSE28" i="7"/>
  <c r="QSG28" i="7"/>
  <c r="QSI28" i="7"/>
  <c r="QSK28" i="7"/>
  <c r="QSM28" i="7"/>
  <c r="QSO28" i="7"/>
  <c r="QSQ28" i="7"/>
  <c r="QSS28" i="7"/>
  <c r="QSU28" i="7"/>
  <c r="QSW28" i="7"/>
  <c r="QSY28" i="7"/>
  <c r="QTA28" i="7"/>
  <c r="QTC28" i="7"/>
  <c r="QTE28" i="7"/>
  <c r="QTG28" i="7"/>
  <c r="QTI28" i="7"/>
  <c r="QTK28" i="7"/>
  <c r="QTM28" i="7"/>
  <c r="QTO28" i="7"/>
  <c r="QTQ28" i="7"/>
  <c r="QTS28" i="7"/>
  <c r="QTU28" i="7"/>
  <c r="QTW28" i="7"/>
  <c r="QTY28" i="7"/>
  <c r="QUA28" i="7"/>
  <c r="QUC28" i="7"/>
  <c r="QUE28" i="7"/>
  <c r="QUG28" i="7"/>
  <c r="QUI28" i="7"/>
  <c r="QUK28" i="7"/>
  <c r="QUM28" i="7"/>
  <c r="QUO28" i="7"/>
  <c r="QUQ28" i="7"/>
  <c r="QUS28" i="7"/>
  <c r="QUU28" i="7"/>
  <c r="QUW28" i="7"/>
  <c r="QUY28" i="7"/>
  <c r="QVA28" i="7"/>
  <c r="QVC28" i="7"/>
  <c r="QVE28" i="7"/>
  <c r="QVG28" i="7"/>
  <c r="QVI28" i="7"/>
  <c r="QVK28" i="7"/>
  <c r="QVM28" i="7"/>
  <c r="QVO28" i="7"/>
  <c r="QVQ28" i="7"/>
  <c r="QVS28" i="7"/>
  <c r="QVU28" i="7"/>
  <c r="QVW28" i="7"/>
  <c r="QVY28" i="7"/>
  <c r="QWA28" i="7"/>
  <c r="QWC28" i="7"/>
  <c r="QWE28" i="7"/>
  <c r="QWG28" i="7"/>
  <c r="QWI28" i="7"/>
  <c r="QWK28" i="7"/>
  <c r="QWM28" i="7"/>
  <c r="QWO28" i="7"/>
  <c r="QWQ28" i="7"/>
  <c r="QWS28" i="7"/>
  <c r="QWU28" i="7"/>
  <c r="QWW28" i="7"/>
  <c r="QWY28" i="7"/>
  <c r="QXA28" i="7"/>
  <c r="QXC28" i="7"/>
  <c r="QXE28" i="7"/>
  <c r="QXG28" i="7"/>
  <c r="QXI28" i="7"/>
  <c r="QXK28" i="7"/>
  <c r="QXM28" i="7"/>
  <c r="QXO28" i="7"/>
  <c r="QXQ28" i="7"/>
  <c r="QXS28" i="7"/>
  <c r="QXU28" i="7"/>
  <c r="QXW28" i="7"/>
  <c r="QXY28" i="7"/>
  <c r="QYA28" i="7"/>
  <c r="QYC28" i="7"/>
  <c r="QYE28" i="7"/>
  <c r="QYG28" i="7"/>
  <c r="QYI28" i="7"/>
  <c r="QYK28" i="7"/>
  <c r="QYM28" i="7"/>
  <c r="QYO28" i="7"/>
  <c r="QYQ28" i="7"/>
  <c r="QYS28" i="7"/>
  <c r="QYU28" i="7"/>
  <c r="QYW28" i="7"/>
  <c r="QYY28" i="7"/>
  <c r="QZA28" i="7"/>
  <c r="QZC28" i="7"/>
  <c r="QZE28" i="7"/>
  <c r="QZG28" i="7"/>
  <c r="QZI28" i="7"/>
  <c r="QZK28" i="7"/>
  <c r="QZM28" i="7"/>
  <c r="QZO28" i="7"/>
  <c r="QZQ28" i="7"/>
  <c r="QZS28" i="7"/>
  <c r="QZU28" i="7"/>
  <c r="QZW28" i="7"/>
  <c r="QZY28" i="7"/>
  <c r="RAA28" i="7"/>
  <c r="RAC28" i="7"/>
  <c r="RAE28" i="7"/>
  <c r="RAG28" i="7"/>
  <c r="RAI28" i="7"/>
  <c r="RAK28" i="7"/>
  <c r="RAM28" i="7"/>
  <c r="RAO28" i="7"/>
  <c r="RAQ28" i="7"/>
  <c r="RAS28" i="7"/>
  <c r="RAU28" i="7"/>
  <c r="RAW28" i="7"/>
  <c r="RAY28" i="7"/>
  <c r="RBA28" i="7"/>
  <c r="RBC28" i="7"/>
  <c r="RBE28" i="7"/>
  <c r="RBG28" i="7"/>
  <c r="RBI28" i="7"/>
  <c r="RBK28" i="7"/>
  <c r="RBM28" i="7"/>
  <c r="RBO28" i="7"/>
  <c r="RBQ28" i="7"/>
  <c r="RBS28" i="7"/>
  <c r="RBU28" i="7"/>
  <c r="RBW28" i="7"/>
  <c r="RBY28" i="7"/>
  <c r="RCA28" i="7"/>
  <c r="RCC28" i="7"/>
  <c r="RCE28" i="7"/>
  <c r="RCG28" i="7"/>
  <c r="RCI28" i="7"/>
  <c r="RCK28" i="7"/>
  <c r="RCM28" i="7"/>
  <c r="RCO28" i="7"/>
  <c r="RCQ28" i="7"/>
  <c r="RCS28" i="7"/>
  <c r="RCU28" i="7"/>
  <c r="RCW28" i="7"/>
  <c r="RCY28" i="7"/>
  <c r="RDA28" i="7"/>
  <c r="RDC28" i="7"/>
  <c r="RDE28" i="7"/>
  <c r="RDG28" i="7"/>
  <c r="RDI28" i="7"/>
  <c r="RDK28" i="7"/>
  <c r="RDM28" i="7"/>
  <c r="RDO28" i="7"/>
  <c r="RDQ28" i="7"/>
  <c r="RDS28" i="7"/>
  <c r="RDU28" i="7"/>
  <c r="RDW28" i="7"/>
  <c r="RDY28" i="7"/>
  <c r="REA28" i="7"/>
  <c r="REC28" i="7"/>
  <c r="REE28" i="7"/>
  <c r="REG28" i="7"/>
  <c r="REI28" i="7"/>
  <c r="REK28" i="7"/>
  <c r="REM28" i="7"/>
  <c r="REO28" i="7"/>
  <c r="REQ28" i="7"/>
  <c r="RES28" i="7"/>
  <c r="REU28" i="7"/>
  <c r="REW28" i="7"/>
  <c r="REY28" i="7"/>
  <c r="RFA28" i="7"/>
  <c r="RFC28" i="7"/>
  <c r="RFE28" i="7"/>
  <c r="RFG28" i="7"/>
  <c r="RFI28" i="7"/>
  <c r="RFK28" i="7"/>
  <c r="RFM28" i="7"/>
  <c r="RFO28" i="7"/>
  <c r="RFQ28" i="7"/>
  <c r="RFS28" i="7"/>
  <c r="RFU28" i="7"/>
  <c r="RFW28" i="7"/>
  <c r="RFY28" i="7"/>
  <c r="RGA28" i="7"/>
  <c r="RGC28" i="7"/>
  <c r="RGE28" i="7"/>
  <c r="RGG28" i="7"/>
  <c r="RGI28" i="7"/>
  <c r="RGK28" i="7"/>
  <c r="RGM28" i="7"/>
  <c r="RGO28" i="7"/>
  <c r="RGQ28" i="7"/>
  <c r="RGS28" i="7"/>
  <c r="RGU28" i="7"/>
  <c r="RGW28" i="7"/>
  <c r="RGY28" i="7"/>
  <c r="RHA28" i="7"/>
  <c r="RHC28" i="7"/>
  <c r="RHE28" i="7"/>
  <c r="RHG28" i="7"/>
  <c r="RHI28" i="7"/>
  <c r="RHK28" i="7"/>
  <c r="RHM28" i="7"/>
  <c r="RHO28" i="7"/>
  <c r="RHQ28" i="7"/>
  <c r="RHS28" i="7"/>
  <c r="RHU28" i="7"/>
  <c r="RHW28" i="7"/>
  <c r="RHY28" i="7"/>
  <c r="RIA28" i="7"/>
  <c r="RIC28" i="7"/>
  <c r="RIE28" i="7"/>
  <c r="RIG28" i="7"/>
  <c r="RII28" i="7"/>
  <c r="RIK28" i="7"/>
  <c r="RIM28" i="7"/>
  <c r="RIO28" i="7"/>
  <c r="RIQ28" i="7"/>
  <c r="RIS28" i="7"/>
  <c r="RIU28" i="7"/>
  <c r="RIW28" i="7"/>
  <c r="RIY28" i="7"/>
  <c r="RJA28" i="7"/>
  <c r="RJC28" i="7"/>
  <c r="RJE28" i="7"/>
  <c r="RJG28" i="7"/>
  <c r="RJI28" i="7"/>
  <c r="RJK28" i="7"/>
  <c r="RJM28" i="7"/>
  <c r="RJO28" i="7"/>
  <c r="RJQ28" i="7"/>
  <c r="RJS28" i="7"/>
  <c r="RJU28" i="7"/>
  <c r="RJW28" i="7"/>
  <c r="RJY28" i="7"/>
  <c r="RKA28" i="7"/>
  <c r="RKC28" i="7"/>
  <c r="RKE28" i="7"/>
  <c r="RKG28" i="7"/>
  <c r="RKI28" i="7"/>
  <c r="RKK28" i="7"/>
  <c r="RKM28" i="7"/>
  <c r="RKO28" i="7"/>
  <c r="RKQ28" i="7"/>
  <c r="RKS28" i="7"/>
  <c r="RKU28" i="7"/>
  <c r="RKW28" i="7"/>
  <c r="RKY28" i="7"/>
  <c r="RLA28" i="7"/>
  <c r="RLC28" i="7"/>
  <c r="RLE28" i="7"/>
  <c r="RLG28" i="7"/>
  <c r="RLI28" i="7"/>
  <c r="RLK28" i="7"/>
  <c r="RLM28" i="7"/>
  <c r="RLO28" i="7"/>
  <c r="RLQ28" i="7"/>
  <c r="RLS28" i="7"/>
  <c r="RLU28" i="7"/>
  <c r="RLW28" i="7"/>
  <c r="RLY28" i="7"/>
  <c r="RMA28" i="7"/>
  <c r="RMC28" i="7"/>
  <c r="RME28" i="7"/>
  <c r="RMG28" i="7"/>
  <c r="RMI28" i="7"/>
  <c r="RMK28" i="7"/>
  <c r="RMM28" i="7"/>
  <c r="RMO28" i="7"/>
  <c r="RMQ28" i="7"/>
  <c r="RMS28" i="7"/>
  <c r="RMU28" i="7"/>
  <c r="RMW28" i="7"/>
  <c r="RMY28" i="7"/>
  <c r="RNA28" i="7"/>
  <c r="RNC28" i="7"/>
  <c r="RNE28" i="7"/>
  <c r="RNG28" i="7"/>
  <c r="RNI28" i="7"/>
  <c r="RNK28" i="7"/>
  <c r="RNM28" i="7"/>
  <c r="RNO28" i="7"/>
  <c r="RNQ28" i="7"/>
  <c r="RNS28" i="7"/>
  <c r="RNU28" i="7"/>
  <c r="RNW28" i="7"/>
  <c r="RNY28" i="7"/>
  <c r="ROA28" i="7"/>
  <c r="ROC28" i="7"/>
  <c r="ROE28" i="7"/>
  <c r="ROG28" i="7"/>
  <c r="ROI28" i="7"/>
  <c r="ROK28" i="7"/>
  <c r="ROM28" i="7"/>
  <c r="ROO28" i="7"/>
  <c r="ROQ28" i="7"/>
  <c r="ROS28" i="7"/>
  <c r="ROU28" i="7"/>
  <c r="ROW28" i="7"/>
  <c r="ROY28" i="7"/>
  <c r="RPA28" i="7"/>
  <c r="RPC28" i="7"/>
  <c r="RPE28" i="7"/>
  <c r="RPG28" i="7"/>
  <c r="RPI28" i="7"/>
  <c r="RPK28" i="7"/>
  <c r="RPM28" i="7"/>
  <c r="RPO28" i="7"/>
  <c r="RPQ28" i="7"/>
  <c r="RPS28" i="7"/>
  <c r="RPU28" i="7"/>
  <c r="RPW28" i="7"/>
  <c r="RPY28" i="7"/>
  <c r="RQA28" i="7"/>
  <c r="RQC28" i="7"/>
  <c r="RQE28" i="7"/>
  <c r="RQG28" i="7"/>
  <c r="RQI28" i="7"/>
  <c r="RQK28" i="7"/>
  <c r="RQM28" i="7"/>
  <c r="RQO28" i="7"/>
  <c r="RQQ28" i="7"/>
  <c r="RQS28" i="7"/>
  <c r="RQU28" i="7"/>
  <c r="RQW28" i="7"/>
  <c r="RQY28" i="7"/>
  <c r="RRA28" i="7"/>
  <c r="RRC28" i="7"/>
  <c r="RRE28" i="7"/>
  <c r="RRG28" i="7"/>
  <c r="RRI28" i="7"/>
  <c r="RRK28" i="7"/>
  <c r="RRM28" i="7"/>
  <c r="RRO28" i="7"/>
  <c r="RRQ28" i="7"/>
  <c r="RRS28" i="7"/>
  <c r="RRU28" i="7"/>
  <c r="RRW28" i="7"/>
  <c r="RRY28" i="7"/>
  <c r="RSA28" i="7"/>
  <c r="RSC28" i="7"/>
  <c r="RSE28" i="7"/>
  <c r="RSG28" i="7"/>
  <c r="RSI28" i="7"/>
  <c r="RSK28" i="7"/>
  <c r="RSM28" i="7"/>
  <c r="RSO28" i="7"/>
  <c r="RSQ28" i="7"/>
  <c r="RSS28" i="7"/>
  <c r="RSU28" i="7"/>
  <c r="RSW28" i="7"/>
  <c r="RSY28" i="7"/>
  <c r="RTA28" i="7"/>
  <c r="RTC28" i="7"/>
  <c r="RTE28" i="7"/>
  <c r="RTG28" i="7"/>
  <c r="RTI28" i="7"/>
  <c r="RTK28" i="7"/>
  <c r="RTM28" i="7"/>
  <c r="RTO28" i="7"/>
  <c r="RTQ28" i="7"/>
  <c r="RTS28" i="7"/>
  <c r="RTU28" i="7"/>
  <c r="RTW28" i="7"/>
  <c r="RTY28" i="7"/>
  <c r="RUA28" i="7"/>
  <c r="RUC28" i="7"/>
  <c r="RUE28" i="7"/>
  <c r="RUG28" i="7"/>
  <c r="RUI28" i="7"/>
  <c r="RUK28" i="7"/>
  <c r="RUM28" i="7"/>
  <c r="RUO28" i="7"/>
  <c r="RUQ28" i="7"/>
  <c r="RUS28" i="7"/>
  <c r="RUU28" i="7"/>
  <c r="RUW28" i="7"/>
  <c r="RUY28" i="7"/>
  <c r="RVA28" i="7"/>
  <c r="RVC28" i="7"/>
  <c r="RVE28" i="7"/>
  <c r="RVG28" i="7"/>
  <c r="RVI28" i="7"/>
  <c r="RVK28" i="7"/>
  <c r="RVM28" i="7"/>
  <c r="RVO28" i="7"/>
  <c r="RVQ28" i="7"/>
  <c r="RVS28" i="7"/>
  <c r="RVU28" i="7"/>
  <c r="RVW28" i="7"/>
  <c r="RVY28" i="7"/>
  <c r="RWA28" i="7"/>
  <c r="RWC28" i="7"/>
  <c r="RWE28" i="7"/>
  <c r="RWG28" i="7"/>
  <c r="RWI28" i="7"/>
  <c r="RWK28" i="7"/>
  <c r="RWM28" i="7"/>
  <c r="RWO28" i="7"/>
  <c r="RWQ28" i="7"/>
  <c r="RWS28" i="7"/>
  <c r="RWU28" i="7"/>
  <c r="RWW28" i="7"/>
  <c r="RWY28" i="7"/>
  <c r="RXA28" i="7"/>
  <c r="RXC28" i="7"/>
  <c r="RXE28" i="7"/>
  <c r="RXG28" i="7"/>
  <c r="RXI28" i="7"/>
  <c r="RXK28" i="7"/>
  <c r="RXM28" i="7"/>
  <c r="RXO28" i="7"/>
  <c r="RXQ28" i="7"/>
  <c r="RXS28" i="7"/>
  <c r="RXU28" i="7"/>
  <c r="RXW28" i="7"/>
  <c r="RXY28" i="7"/>
  <c r="RYA28" i="7"/>
  <c r="RYC28" i="7"/>
  <c r="RYE28" i="7"/>
  <c r="RYG28" i="7"/>
  <c r="RYI28" i="7"/>
  <c r="RYK28" i="7"/>
  <c r="RYM28" i="7"/>
  <c r="RYO28" i="7"/>
  <c r="RYQ28" i="7"/>
  <c r="RYS28" i="7"/>
  <c r="RYU28" i="7"/>
  <c r="RYW28" i="7"/>
  <c r="RYY28" i="7"/>
  <c r="RZA28" i="7"/>
  <c r="RZC28" i="7"/>
  <c r="RZE28" i="7"/>
  <c r="RZG28" i="7"/>
  <c r="RZI28" i="7"/>
  <c r="RZK28" i="7"/>
  <c r="RZM28" i="7"/>
  <c r="RZO28" i="7"/>
  <c r="RZQ28" i="7"/>
  <c r="RZS28" i="7"/>
  <c r="RZU28" i="7"/>
  <c r="RZW28" i="7"/>
  <c r="RZY28" i="7"/>
  <c r="SAA28" i="7"/>
  <c r="SAC28" i="7"/>
  <c r="SAE28" i="7"/>
  <c r="SAG28" i="7"/>
  <c r="SAI28" i="7"/>
  <c r="SAK28" i="7"/>
  <c r="SAM28" i="7"/>
  <c r="SAO28" i="7"/>
  <c r="SAQ28" i="7"/>
  <c r="SAS28" i="7"/>
  <c r="SAU28" i="7"/>
  <c r="SAW28" i="7"/>
  <c r="SAY28" i="7"/>
  <c r="SBA28" i="7"/>
  <c r="SBC28" i="7"/>
  <c r="SBE28" i="7"/>
  <c r="SBG28" i="7"/>
  <c r="SBI28" i="7"/>
  <c r="SBK28" i="7"/>
  <c r="SBM28" i="7"/>
  <c r="SBO28" i="7"/>
  <c r="SBQ28" i="7"/>
  <c r="SBS28" i="7"/>
  <c r="SBU28" i="7"/>
  <c r="SBW28" i="7"/>
  <c r="SBY28" i="7"/>
  <c r="SCA28" i="7"/>
  <c r="SCC28" i="7"/>
  <c r="SCE28" i="7"/>
  <c r="SCG28" i="7"/>
  <c r="SCI28" i="7"/>
  <c r="SCK28" i="7"/>
  <c r="SCM28" i="7"/>
  <c r="SCO28" i="7"/>
  <c r="SCQ28" i="7"/>
  <c r="SCS28" i="7"/>
  <c r="SCU28" i="7"/>
  <c r="SCW28" i="7"/>
  <c r="SCY28" i="7"/>
  <c r="SDA28" i="7"/>
  <c r="SDC28" i="7"/>
  <c r="SDE28" i="7"/>
  <c r="SDG28" i="7"/>
  <c r="SDI28" i="7"/>
  <c r="SDK28" i="7"/>
  <c r="SDM28" i="7"/>
  <c r="SDO28" i="7"/>
  <c r="SDQ28" i="7"/>
  <c r="SDS28" i="7"/>
  <c r="SDU28" i="7"/>
  <c r="SDW28" i="7"/>
  <c r="SDY28" i="7"/>
  <c r="SEA28" i="7"/>
  <c r="SEC28" i="7"/>
  <c r="SEE28" i="7"/>
  <c r="SEG28" i="7"/>
  <c r="SEI28" i="7"/>
  <c r="SEK28" i="7"/>
  <c r="SEM28" i="7"/>
  <c r="SEO28" i="7"/>
  <c r="SEQ28" i="7"/>
  <c r="SES28" i="7"/>
  <c r="SEU28" i="7"/>
  <c r="SEW28" i="7"/>
  <c r="SEY28" i="7"/>
  <c r="SFA28" i="7"/>
  <c r="SFC28" i="7"/>
  <c r="SFE28" i="7"/>
  <c r="SFG28" i="7"/>
  <c r="SFI28" i="7"/>
  <c r="SFK28" i="7"/>
  <c r="SFM28" i="7"/>
  <c r="SFO28" i="7"/>
  <c r="SFQ28" i="7"/>
  <c r="SFS28" i="7"/>
  <c r="SFU28" i="7"/>
  <c r="SFW28" i="7"/>
  <c r="SFY28" i="7"/>
  <c r="SGA28" i="7"/>
  <c r="SGC28" i="7"/>
  <c r="SGE28" i="7"/>
  <c r="SGG28" i="7"/>
  <c r="SGI28" i="7"/>
  <c r="SGK28" i="7"/>
  <c r="SGM28" i="7"/>
  <c r="SGO28" i="7"/>
  <c r="SGQ28" i="7"/>
  <c r="SGS28" i="7"/>
  <c r="SGU28" i="7"/>
  <c r="SGW28" i="7"/>
  <c r="SGY28" i="7"/>
  <c r="SHA28" i="7"/>
  <c r="SHC28" i="7"/>
  <c r="SHE28" i="7"/>
  <c r="SHG28" i="7"/>
  <c r="SHI28" i="7"/>
  <c r="SHK28" i="7"/>
  <c r="SHM28" i="7"/>
  <c r="SHO28" i="7"/>
  <c r="SHQ28" i="7"/>
  <c r="SHS28" i="7"/>
  <c r="SHU28" i="7"/>
  <c r="SHW28" i="7"/>
  <c r="SHY28" i="7"/>
  <c r="SIA28" i="7"/>
  <c r="SIC28" i="7"/>
  <c r="SIE28" i="7"/>
  <c r="SIG28" i="7"/>
  <c r="SII28" i="7"/>
  <c r="SIK28" i="7"/>
  <c r="SIM28" i="7"/>
  <c r="SIO28" i="7"/>
  <c r="SIQ28" i="7"/>
  <c r="SIS28" i="7"/>
  <c r="SIU28" i="7"/>
  <c r="SIW28" i="7"/>
  <c r="SIY28" i="7"/>
  <c r="SJA28" i="7"/>
  <c r="SJC28" i="7"/>
  <c r="SJE28" i="7"/>
  <c r="SJG28" i="7"/>
  <c r="SJI28" i="7"/>
  <c r="SJK28" i="7"/>
  <c r="SJM28" i="7"/>
  <c r="SJO28" i="7"/>
  <c r="SJQ28" i="7"/>
  <c r="SJS28" i="7"/>
  <c r="SJU28" i="7"/>
  <c r="SJW28" i="7"/>
  <c r="SJY28" i="7"/>
  <c r="SKA28" i="7"/>
  <c r="SKC28" i="7"/>
  <c r="SKE28" i="7"/>
  <c r="SKG28" i="7"/>
  <c r="SKI28" i="7"/>
  <c r="SKK28" i="7"/>
  <c r="SKM28" i="7"/>
  <c r="SKO28" i="7"/>
  <c r="SKQ28" i="7"/>
  <c r="SKS28" i="7"/>
  <c r="SKU28" i="7"/>
  <c r="SKW28" i="7"/>
  <c r="SKY28" i="7"/>
  <c r="SLA28" i="7"/>
  <c r="SLC28" i="7"/>
  <c r="SLE28" i="7"/>
  <c r="SLG28" i="7"/>
  <c r="SLI28" i="7"/>
  <c r="SLK28" i="7"/>
  <c r="SLM28" i="7"/>
  <c r="SLO28" i="7"/>
  <c r="SLQ28" i="7"/>
  <c r="SLS28" i="7"/>
  <c r="SLU28" i="7"/>
  <c r="SLW28" i="7"/>
  <c r="SLY28" i="7"/>
  <c r="SMA28" i="7"/>
  <c r="SMC28" i="7"/>
  <c r="SME28" i="7"/>
  <c r="SMG28" i="7"/>
  <c r="SMI28" i="7"/>
  <c r="SMK28" i="7"/>
  <c r="SMM28" i="7"/>
  <c r="SMO28" i="7"/>
  <c r="SMQ28" i="7"/>
  <c r="SMS28" i="7"/>
  <c r="SMU28" i="7"/>
  <c r="SMW28" i="7"/>
  <c r="SMY28" i="7"/>
  <c r="SNA28" i="7"/>
  <c r="SNC28" i="7"/>
  <c r="SNE28" i="7"/>
  <c r="SNG28" i="7"/>
  <c r="SNI28" i="7"/>
  <c r="SNK28" i="7"/>
  <c r="SNM28" i="7"/>
  <c r="SNO28" i="7"/>
  <c r="SNQ28" i="7"/>
  <c r="SNS28" i="7"/>
  <c r="SNU28" i="7"/>
  <c r="SNW28" i="7"/>
  <c r="SNY28" i="7"/>
  <c r="SOA28" i="7"/>
  <c r="SOC28" i="7"/>
  <c r="SOE28" i="7"/>
  <c r="SOG28" i="7"/>
  <c r="SOI28" i="7"/>
  <c r="SOK28" i="7"/>
  <c r="SOM28" i="7"/>
  <c r="SOO28" i="7"/>
  <c r="SOQ28" i="7"/>
  <c r="SOS28" i="7"/>
  <c r="SOU28" i="7"/>
  <c r="SOW28" i="7"/>
  <c r="SOY28" i="7"/>
  <c r="SPA28" i="7"/>
  <c r="SPC28" i="7"/>
  <c r="SPE28" i="7"/>
  <c r="SPG28" i="7"/>
  <c r="SPI28" i="7"/>
  <c r="SPK28" i="7"/>
  <c r="SPM28" i="7"/>
  <c r="SPO28" i="7"/>
  <c r="SPQ28" i="7"/>
  <c r="SPS28" i="7"/>
  <c r="SPU28" i="7"/>
  <c r="SPW28" i="7"/>
  <c r="SPY28" i="7"/>
  <c r="SQA28" i="7"/>
  <c r="SQC28" i="7"/>
  <c r="SQE28" i="7"/>
  <c r="SQG28" i="7"/>
  <c r="SQI28" i="7"/>
  <c r="SQK28" i="7"/>
  <c r="SQM28" i="7"/>
  <c r="SQO28" i="7"/>
  <c r="SQQ28" i="7"/>
  <c r="SQS28" i="7"/>
  <c r="SQU28" i="7"/>
  <c r="SQW28" i="7"/>
  <c r="SQY28" i="7"/>
  <c r="SRA28" i="7"/>
  <c r="SRC28" i="7"/>
  <c r="SRE28" i="7"/>
  <c r="SRG28" i="7"/>
  <c r="SRI28" i="7"/>
  <c r="SRK28" i="7"/>
  <c r="SRM28" i="7"/>
  <c r="SRO28" i="7"/>
  <c r="SRQ28" i="7"/>
  <c r="SRS28" i="7"/>
  <c r="SRU28" i="7"/>
  <c r="SRW28" i="7"/>
  <c r="SRY28" i="7"/>
  <c r="SSA28" i="7"/>
  <c r="SSC28" i="7"/>
  <c r="SSE28" i="7"/>
  <c r="SSG28" i="7"/>
  <c r="SSI28" i="7"/>
  <c r="SSK28" i="7"/>
  <c r="SSM28" i="7"/>
  <c r="SSO28" i="7"/>
  <c r="SSQ28" i="7"/>
  <c r="SSS28" i="7"/>
  <c r="SSU28" i="7"/>
  <c r="SSW28" i="7"/>
  <c r="SSY28" i="7"/>
  <c r="STA28" i="7"/>
  <c r="STC28" i="7"/>
  <c r="STE28" i="7"/>
  <c r="STG28" i="7"/>
  <c r="STI28" i="7"/>
  <c r="STK28" i="7"/>
  <c r="STM28" i="7"/>
  <c r="STO28" i="7"/>
  <c r="STQ28" i="7"/>
  <c r="STS28" i="7"/>
  <c r="STU28" i="7"/>
  <c r="STW28" i="7"/>
  <c r="STY28" i="7"/>
  <c r="SUA28" i="7"/>
  <c r="SUC28" i="7"/>
  <c r="SUE28" i="7"/>
  <c r="SUG28" i="7"/>
  <c r="SUI28" i="7"/>
  <c r="SUK28" i="7"/>
  <c r="SUM28" i="7"/>
  <c r="SUO28" i="7"/>
  <c r="SUQ28" i="7"/>
  <c r="SUS28" i="7"/>
  <c r="SUU28" i="7"/>
  <c r="SUW28" i="7"/>
  <c r="SUY28" i="7"/>
  <c r="SVA28" i="7"/>
  <c r="SVC28" i="7"/>
  <c r="SVE28" i="7"/>
  <c r="SVG28" i="7"/>
  <c r="SVI28" i="7"/>
  <c r="SVK28" i="7"/>
  <c r="SVM28" i="7"/>
  <c r="SVO28" i="7"/>
  <c r="SVQ28" i="7"/>
  <c r="SVS28" i="7"/>
  <c r="SVU28" i="7"/>
  <c r="SVW28" i="7"/>
  <c r="SVY28" i="7"/>
  <c r="SWA28" i="7"/>
  <c r="SWC28" i="7"/>
  <c r="SWE28" i="7"/>
  <c r="SWG28" i="7"/>
  <c r="SWI28" i="7"/>
  <c r="SWK28" i="7"/>
  <c r="SWM28" i="7"/>
  <c r="SWO28" i="7"/>
  <c r="SWQ28" i="7"/>
  <c r="SWS28" i="7"/>
  <c r="SWU28" i="7"/>
  <c r="SWW28" i="7"/>
  <c r="SWY28" i="7"/>
  <c r="SXA28" i="7"/>
  <c r="SXC28" i="7"/>
  <c r="SXE28" i="7"/>
  <c r="SXG28" i="7"/>
  <c r="SXI28" i="7"/>
  <c r="SXK28" i="7"/>
  <c r="SXM28" i="7"/>
  <c r="SXO28" i="7"/>
  <c r="SXQ28" i="7"/>
  <c r="SXS28" i="7"/>
  <c r="SXU28" i="7"/>
  <c r="SXW28" i="7"/>
  <c r="SXY28" i="7"/>
  <c r="SYA28" i="7"/>
  <c r="SYC28" i="7"/>
  <c r="SYE28" i="7"/>
  <c r="SYG28" i="7"/>
  <c r="SYI28" i="7"/>
  <c r="SYK28" i="7"/>
  <c r="SYM28" i="7"/>
  <c r="SYO28" i="7"/>
  <c r="SYQ28" i="7"/>
  <c r="SYS28" i="7"/>
  <c r="SYU28" i="7"/>
  <c r="SYW28" i="7"/>
  <c r="SYY28" i="7"/>
  <c r="SZA28" i="7"/>
  <c r="SZC28" i="7"/>
  <c r="SZE28" i="7"/>
  <c r="SZG28" i="7"/>
  <c r="SZI28" i="7"/>
  <c r="SZK28" i="7"/>
  <c r="SZM28" i="7"/>
  <c r="SZO28" i="7"/>
  <c r="SZQ28" i="7"/>
  <c r="SZS28" i="7"/>
  <c r="SZU28" i="7"/>
  <c r="SZW28" i="7"/>
  <c r="SZY28" i="7"/>
  <c r="TAA28" i="7"/>
  <c r="TAC28" i="7"/>
  <c r="TAE28" i="7"/>
  <c r="TAG28" i="7"/>
  <c r="TAI28" i="7"/>
  <c r="TAK28" i="7"/>
  <c r="TAM28" i="7"/>
  <c r="TAO28" i="7"/>
  <c r="TAQ28" i="7"/>
  <c r="TAS28" i="7"/>
  <c r="TAU28" i="7"/>
  <c r="TAW28" i="7"/>
  <c r="TAY28" i="7"/>
  <c r="TBA28" i="7"/>
  <c r="TBC28" i="7"/>
  <c r="TBE28" i="7"/>
  <c r="TBG28" i="7"/>
  <c r="TBI28" i="7"/>
  <c r="TBK28" i="7"/>
  <c r="TBM28" i="7"/>
  <c r="TBO28" i="7"/>
  <c r="TBQ28" i="7"/>
  <c r="TBS28" i="7"/>
  <c r="TBU28" i="7"/>
  <c r="TBW28" i="7"/>
  <c r="TBY28" i="7"/>
  <c r="TCA28" i="7"/>
  <c r="TCC28" i="7"/>
  <c r="TCE28" i="7"/>
  <c r="TCG28" i="7"/>
  <c r="TCI28" i="7"/>
  <c r="TCK28" i="7"/>
  <c r="TCM28" i="7"/>
  <c r="TCO28" i="7"/>
  <c r="TCQ28" i="7"/>
  <c r="TCS28" i="7"/>
  <c r="TCU28" i="7"/>
  <c r="TCW28" i="7"/>
  <c r="TCY28" i="7"/>
  <c r="TDA28" i="7"/>
  <c r="TDC28" i="7"/>
  <c r="TDE28" i="7"/>
  <c r="TDG28" i="7"/>
  <c r="TDI28" i="7"/>
  <c r="TDK28" i="7"/>
  <c r="TDM28" i="7"/>
  <c r="TDO28" i="7"/>
  <c r="TDQ28" i="7"/>
  <c r="TDS28" i="7"/>
  <c r="TDU28" i="7"/>
  <c r="TDW28" i="7"/>
  <c r="TDY28" i="7"/>
  <c r="TEA28" i="7"/>
  <c r="TEC28" i="7"/>
  <c r="TEE28" i="7"/>
  <c r="TEG28" i="7"/>
  <c r="TEI28" i="7"/>
  <c r="TEK28" i="7"/>
  <c r="TEM28" i="7"/>
  <c r="TEO28" i="7"/>
  <c r="TEQ28" i="7"/>
  <c r="TES28" i="7"/>
  <c r="TEU28" i="7"/>
  <c r="TEW28" i="7"/>
  <c r="TEY28" i="7"/>
  <c r="TFA28" i="7"/>
  <c r="TFC28" i="7"/>
  <c r="TFE28" i="7"/>
  <c r="TFG28" i="7"/>
  <c r="TFI28" i="7"/>
  <c r="TFK28" i="7"/>
  <c r="TFM28" i="7"/>
  <c r="TFO28" i="7"/>
  <c r="TFQ28" i="7"/>
  <c r="TFS28" i="7"/>
  <c r="TFU28" i="7"/>
  <c r="TFW28" i="7"/>
  <c r="TFY28" i="7"/>
  <c r="TGA28" i="7"/>
  <c r="TGC28" i="7"/>
  <c r="TGE28" i="7"/>
  <c r="TGG28" i="7"/>
  <c r="TGI28" i="7"/>
  <c r="TGK28" i="7"/>
  <c r="TGM28" i="7"/>
  <c r="TGO28" i="7"/>
  <c r="TGQ28" i="7"/>
  <c r="TGS28" i="7"/>
  <c r="TGU28" i="7"/>
  <c r="TGW28" i="7"/>
  <c r="TGY28" i="7"/>
  <c r="THA28" i="7"/>
  <c r="THC28" i="7"/>
  <c r="THE28" i="7"/>
  <c r="THG28" i="7"/>
  <c r="THI28" i="7"/>
  <c r="THK28" i="7"/>
  <c r="THM28" i="7"/>
  <c r="THO28" i="7"/>
  <c r="THQ28" i="7"/>
  <c r="THS28" i="7"/>
  <c r="THU28" i="7"/>
  <c r="THW28" i="7"/>
  <c r="THY28" i="7"/>
  <c r="TIA28" i="7"/>
  <c r="TIC28" i="7"/>
  <c r="TIE28" i="7"/>
  <c r="TIG28" i="7"/>
  <c r="TII28" i="7"/>
  <c r="TIK28" i="7"/>
  <c r="TIM28" i="7"/>
  <c r="TIO28" i="7"/>
  <c r="TIQ28" i="7"/>
  <c r="TIS28" i="7"/>
  <c r="TIU28" i="7"/>
  <c r="TIW28" i="7"/>
  <c r="TIY28" i="7"/>
  <c r="TJA28" i="7"/>
  <c r="TJC28" i="7"/>
  <c r="TJE28" i="7"/>
  <c r="TJG28" i="7"/>
  <c r="TJI28" i="7"/>
  <c r="TJK28" i="7"/>
  <c r="TJM28" i="7"/>
  <c r="TJO28" i="7"/>
  <c r="TJQ28" i="7"/>
  <c r="TJS28" i="7"/>
  <c r="TJU28" i="7"/>
  <c r="TJW28" i="7"/>
  <c r="TJY28" i="7"/>
  <c r="TKA28" i="7"/>
  <c r="TKC28" i="7"/>
  <c r="TKE28" i="7"/>
  <c r="TKG28" i="7"/>
  <c r="TKI28" i="7"/>
  <c r="TKK28" i="7"/>
  <c r="TKM28" i="7"/>
  <c r="TKO28" i="7"/>
  <c r="TKQ28" i="7"/>
  <c r="TKS28" i="7"/>
  <c r="TKU28" i="7"/>
  <c r="TKW28" i="7"/>
  <c r="TKY28" i="7"/>
  <c r="TLA28" i="7"/>
  <c r="TLC28" i="7"/>
  <c r="TLE28" i="7"/>
  <c r="TLG28" i="7"/>
  <c r="TLI28" i="7"/>
  <c r="TLK28" i="7"/>
  <c r="TLM28" i="7"/>
  <c r="TLO28" i="7"/>
  <c r="TLQ28" i="7"/>
  <c r="TLS28" i="7"/>
  <c r="TLU28" i="7"/>
  <c r="TLW28" i="7"/>
  <c r="TLY28" i="7"/>
  <c r="TMA28" i="7"/>
  <c r="TMC28" i="7"/>
  <c r="TME28" i="7"/>
  <c r="TMG28" i="7"/>
  <c r="TMI28" i="7"/>
  <c r="TMK28" i="7"/>
  <c r="TMM28" i="7"/>
  <c r="TMO28" i="7"/>
  <c r="TMQ28" i="7"/>
  <c r="TMS28" i="7"/>
  <c r="TMU28" i="7"/>
  <c r="TMW28" i="7"/>
  <c r="TMY28" i="7"/>
  <c r="TNA28" i="7"/>
  <c r="TNC28" i="7"/>
  <c r="TNE28" i="7"/>
  <c r="TNG28" i="7"/>
  <c r="TNI28" i="7"/>
  <c r="TNK28" i="7"/>
  <c r="TNM28" i="7"/>
  <c r="TNO28" i="7"/>
  <c r="TNQ28" i="7"/>
  <c r="TNS28" i="7"/>
  <c r="TNU28" i="7"/>
  <c r="TNW28" i="7"/>
  <c r="TNY28" i="7"/>
  <c r="TOA28" i="7"/>
  <c r="TOC28" i="7"/>
  <c r="TOE28" i="7"/>
  <c r="TOG28" i="7"/>
  <c r="TOI28" i="7"/>
  <c r="TOK28" i="7"/>
  <c r="TOM28" i="7"/>
  <c r="TOO28" i="7"/>
  <c r="TOQ28" i="7"/>
  <c r="TOS28" i="7"/>
  <c r="TOU28" i="7"/>
  <c r="TOW28" i="7"/>
  <c r="TOY28" i="7"/>
  <c r="TPA28" i="7"/>
  <c r="TPC28" i="7"/>
  <c r="TPE28" i="7"/>
  <c r="TPG28" i="7"/>
  <c r="TPI28" i="7"/>
  <c r="TPK28" i="7"/>
  <c r="TPM28" i="7"/>
  <c r="TPO28" i="7"/>
  <c r="TPQ28" i="7"/>
  <c r="TPS28" i="7"/>
  <c r="TPU28" i="7"/>
  <c r="TPW28" i="7"/>
  <c r="TPY28" i="7"/>
  <c r="TQA28" i="7"/>
  <c r="TQC28" i="7"/>
  <c r="TQE28" i="7"/>
  <c r="TQG28" i="7"/>
  <c r="TQI28" i="7"/>
  <c r="TQK28" i="7"/>
  <c r="TQM28" i="7"/>
  <c r="TQO28" i="7"/>
  <c r="TQQ28" i="7"/>
  <c r="TQS28" i="7"/>
  <c r="TQU28" i="7"/>
  <c r="TQW28" i="7"/>
  <c r="TQY28" i="7"/>
  <c r="TRA28" i="7"/>
  <c r="TRC28" i="7"/>
  <c r="TRE28" i="7"/>
  <c r="TRG28" i="7"/>
  <c r="TRI28" i="7"/>
  <c r="TRK28" i="7"/>
  <c r="TRM28" i="7"/>
  <c r="TRO28" i="7"/>
  <c r="TRQ28" i="7"/>
  <c r="TRS28" i="7"/>
  <c r="TRU28" i="7"/>
  <c r="TRW28" i="7"/>
  <c r="TRY28" i="7"/>
  <c r="TSA28" i="7"/>
  <c r="TSC28" i="7"/>
  <c r="TSE28" i="7"/>
  <c r="TSG28" i="7"/>
  <c r="TSI28" i="7"/>
  <c r="TSK28" i="7"/>
  <c r="TSM28" i="7"/>
  <c r="TSO28" i="7"/>
  <c r="TSQ28" i="7"/>
  <c r="TSS28" i="7"/>
  <c r="TSU28" i="7"/>
  <c r="TSW28" i="7"/>
  <c r="TSY28" i="7"/>
  <c r="TTA28" i="7"/>
  <c r="TTC28" i="7"/>
  <c r="TTE28" i="7"/>
  <c r="TTG28" i="7"/>
  <c r="TTI28" i="7"/>
  <c r="TTK28" i="7"/>
  <c r="TTM28" i="7"/>
  <c r="TTO28" i="7"/>
  <c r="TTQ28" i="7"/>
  <c r="TTS28" i="7"/>
  <c r="TTU28" i="7"/>
  <c r="TTW28" i="7"/>
  <c r="TTY28" i="7"/>
  <c r="TUA28" i="7"/>
  <c r="TUC28" i="7"/>
  <c r="TUE28" i="7"/>
  <c r="TUG28" i="7"/>
  <c r="TUI28" i="7"/>
  <c r="TUK28" i="7"/>
  <c r="TUM28" i="7"/>
  <c r="TUO28" i="7"/>
  <c r="TUQ28" i="7"/>
  <c r="TUS28" i="7"/>
  <c r="TUU28" i="7"/>
  <c r="TUW28" i="7"/>
  <c r="TUY28" i="7"/>
  <c r="TVA28" i="7"/>
  <c r="TVC28" i="7"/>
  <c r="TVE28" i="7"/>
  <c r="TVG28" i="7"/>
  <c r="TVI28" i="7"/>
  <c r="TVK28" i="7"/>
  <c r="TVM28" i="7"/>
  <c r="TVO28" i="7"/>
  <c r="TVQ28" i="7"/>
  <c r="TVS28" i="7"/>
  <c r="TVU28" i="7"/>
  <c r="TVW28" i="7"/>
  <c r="TVY28" i="7"/>
  <c r="TWA28" i="7"/>
  <c r="TWC28" i="7"/>
  <c r="TWE28" i="7"/>
  <c r="TWG28" i="7"/>
  <c r="TWI28" i="7"/>
  <c r="TWK28" i="7"/>
  <c r="TWM28" i="7"/>
  <c r="TWO28" i="7"/>
  <c r="TWQ28" i="7"/>
  <c r="TWS28" i="7"/>
  <c r="TWU28" i="7"/>
  <c r="TWW28" i="7"/>
  <c r="TWY28" i="7"/>
  <c r="TXA28" i="7"/>
  <c r="TXC28" i="7"/>
  <c r="TXE28" i="7"/>
  <c r="TXG28" i="7"/>
  <c r="TXI28" i="7"/>
  <c r="TXK28" i="7"/>
  <c r="TXM28" i="7"/>
  <c r="TXO28" i="7"/>
  <c r="TXQ28" i="7"/>
  <c r="TXS28" i="7"/>
  <c r="TXU28" i="7"/>
  <c r="TXW28" i="7"/>
  <c r="TXY28" i="7"/>
  <c r="TYA28" i="7"/>
  <c r="TYC28" i="7"/>
  <c r="TYE28" i="7"/>
  <c r="TYG28" i="7"/>
  <c r="TYI28" i="7"/>
  <c r="TYK28" i="7"/>
  <c r="TYM28" i="7"/>
  <c r="TYO28" i="7"/>
  <c r="TYQ28" i="7"/>
  <c r="TYS28" i="7"/>
  <c r="TYU28" i="7"/>
  <c r="TYW28" i="7"/>
  <c r="TYY28" i="7"/>
  <c r="TZA28" i="7"/>
  <c r="TZC28" i="7"/>
  <c r="TZE28" i="7"/>
  <c r="TZG28" i="7"/>
  <c r="TZI28" i="7"/>
  <c r="TZK28" i="7"/>
  <c r="TZM28" i="7"/>
  <c r="TZO28" i="7"/>
  <c r="TZQ28" i="7"/>
  <c r="TZS28" i="7"/>
  <c r="TZU28" i="7"/>
  <c r="TZW28" i="7"/>
  <c r="TZY28" i="7"/>
  <c r="UAA28" i="7"/>
  <c r="UAC28" i="7"/>
  <c r="UAE28" i="7"/>
  <c r="UAG28" i="7"/>
  <c r="UAI28" i="7"/>
  <c r="UAK28" i="7"/>
  <c r="UAM28" i="7"/>
  <c r="UAO28" i="7"/>
  <c r="UAQ28" i="7"/>
  <c r="UAS28" i="7"/>
  <c r="UAU28" i="7"/>
  <c r="UAW28" i="7"/>
  <c r="UAY28" i="7"/>
  <c r="UBA28" i="7"/>
  <c r="UBC28" i="7"/>
  <c r="UBE28" i="7"/>
  <c r="UBG28" i="7"/>
  <c r="UBI28" i="7"/>
  <c r="UBK28" i="7"/>
  <c r="UBM28" i="7"/>
  <c r="UBO28" i="7"/>
  <c r="UBQ28" i="7"/>
  <c r="UBS28" i="7"/>
  <c r="UBU28" i="7"/>
  <c r="UBW28" i="7"/>
  <c r="UBY28" i="7"/>
  <c r="UCA28" i="7"/>
  <c r="UCC28" i="7"/>
  <c r="UCE28" i="7"/>
  <c r="UCG28" i="7"/>
  <c r="UCI28" i="7"/>
  <c r="UCK28" i="7"/>
  <c r="UCM28" i="7"/>
  <c r="UCO28" i="7"/>
  <c r="UCQ28" i="7"/>
  <c r="UCS28" i="7"/>
  <c r="UCU28" i="7"/>
  <c r="UCW28" i="7"/>
  <c r="UCY28" i="7"/>
  <c r="UDA28" i="7"/>
  <c r="UDC28" i="7"/>
  <c r="UDE28" i="7"/>
  <c r="UDG28" i="7"/>
  <c r="UDI28" i="7"/>
  <c r="UDK28" i="7"/>
  <c r="UDM28" i="7"/>
  <c r="UDO28" i="7"/>
  <c r="UDQ28" i="7"/>
  <c r="UDS28" i="7"/>
  <c r="UDU28" i="7"/>
  <c r="UDW28" i="7"/>
  <c r="UDY28" i="7"/>
  <c r="UEA28" i="7"/>
  <c r="UEC28" i="7"/>
  <c r="UEE28" i="7"/>
  <c r="UEG28" i="7"/>
  <c r="UEI28" i="7"/>
  <c r="UEK28" i="7"/>
  <c r="UEM28" i="7"/>
  <c r="UEO28" i="7"/>
  <c r="UEQ28" i="7"/>
  <c r="UES28" i="7"/>
  <c r="UEU28" i="7"/>
  <c r="UEW28" i="7"/>
  <c r="UEY28" i="7"/>
  <c r="UFA28" i="7"/>
  <c r="UFC28" i="7"/>
  <c r="UFE28" i="7"/>
  <c r="UFG28" i="7"/>
  <c r="UFI28" i="7"/>
  <c r="UFK28" i="7"/>
  <c r="UFM28" i="7"/>
  <c r="UFO28" i="7"/>
  <c r="UFQ28" i="7"/>
  <c r="UFS28" i="7"/>
  <c r="UFU28" i="7"/>
  <c r="UFW28" i="7"/>
  <c r="UFY28" i="7"/>
  <c r="UGA28" i="7"/>
  <c r="UGC28" i="7"/>
  <c r="UGE28" i="7"/>
  <c r="UGG28" i="7"/>
  <c r="UGI28" i="7"/>
  <c r="UGK28" i="7"/>
  <c r="UGM28" i="7"/>
  <c r="UGO28" i="7"/>
  <c r="UGQ28" i="7"/>
  <c r="UGS28" i="7"/>
  <c r="UGU28" i="7"/>
  <c r="UGW28" i="7"/>
  <c r="UGY28" i="7"/>
  <c r="UHA28" i="7"/>
  <c r="UHC28" i="7"/>
  <c r="UHE28" i="7"/>
  <c r="UHG28" i="7"/>
  <c r="UHI28" i="7"/>
  <c r="UHK28" i="7"/>
  <c r="UHM28" i="7"/>
  <c r="UHO28" i="7"/>
  <c r="UHQ28" i="7"/>
  <c r="UHS28" i="7"/>
  <c r="UHU28" i="7"/>
  <c r="UHW28" i="7"/>
  <c r="UHY28" i="7"/>
  <c r="UIA28" i="7"/>
  <c r="UIC28" i="7"/>
  <c r="UIE28" i="7"/>
  <c r="UIG28" i="7"/>
  <c r="UII28" i="7"/>
  <c r="UIK28" i="7"/>
  <c r="UIM28" i="7"/>
  <c r="UIO28" i="7"/>
  <c r="UIQ28" i="7"/>
  <c r="UIS28" i="7"/>
  <c r="UIU28" i="7"/>
  <c r="UIW28" i="7"/>
  <c r="UIY28" i="7"/>
  <c r="UJA28" i="7"/>
  <c r="UJC28" i="7"/>
  <c r="UJE28" i="7"/>
  <c r="UJG28" i="7"/>
  <c r="UJI28" i="7"/>
  <c r="UJK28" i="7"/>
  <c r="UJM28" i="7"/>
  <c r="UJO28" i="7"/>
  <c r="UJQ28" i="7"/>
  <c r="UJS28" i="7"/>
  <c r="UJU28" i="7"/>
  <c r="UJW28" i="7"/>
  <c r="UJY28" i="7"/>
  <c r="UKA28" i="7"/>
  <c r="UKC28" i="7"/>
  <c r="UKE28" i="7"/>
  <c r="UKG28" i="7"/>
  <c r="UKI28" i="7"/>
  <c r="UKK28" i="7"/>
  <c r="UKM28" i="7"/>
  <c r="UKO28" i="7"/>
  <c r="UKQ28" i="7"/>
  <c r="UKS28" i="7"/>
  <c r="UKU28" i="7"/>
  <c r="UKW28" i="7"/>
  <c r="UKY28" i="7"/>
  <c r="ULA28" i="7"/>
  <c r="ULC28" i="7"/>
  <c r="ULE28" i="7"/>
  <c r="ULG28" i="7"/>
  <c r="ULI28" i="7"/>
  <c r="ULK28" i="7"/>
  <c r="ULM28" i="7"/>
  <c r="ULO28" i="7"/>
  <c r="ULQ28" i="7"/>
  <c r="ULS28" i="7"/>
  <c r="ULU28" i="7"/>
  <c r="ULW28" i="7"/>
  <c r="ULY28" i="7"/>
  <c r="UMA28" i="7"/>
  <c r="UMC28" i="7"/>
  <c r="UME28" i="7"/>
  <c r="UMG28" i="7"/>
  <c r="UMI28" i="7"/>
  <c r="UMK28" i="7"/>
  <c r="UMM28" i="7"/>
  <c r="UMO28" i="7"/>
  <c r="UMQ28" i="7"/>
  <c r="UMS28" i="7"/>
  <c r="UMU28" i="7"/>
  <c r="UMW28" i="7"/>
  <c r="UMY28" i="7"/>
  <c r="UNA28" i="7"/>
  <c r="UNC28" i="7"/>
  <c r="UNE28" i="7"/>
  <c r="UNG28" i="7"/>
  <c r="UNI28" i="7"/>
  <c r="UNK28" i="7"/>
  <c r="UNM28" i="7"/>
  <c r="UNO28" i="7"/>
  <c r="UNQ28" i="7"/>
  <c r="UNS28" i="7"/>
  <c r="UNU28" i="7"/>
  <c r="UNW28" i="7"/>
  <c r="UNY28" i="7"/>
  <c r="UOA28" i="7"/>
  <c r="UOC28" i="7"/>
  <c r="UOE28" i="7"/>
  <c r="UOG28" i="7"/>
  <c r="UOI28" i="7"/>
  <c r="UOK28" i="7"/>
  <c r="UOM28" i="7"/>
  <c r="UOO28" i="7"/>
  <c r="UOQ28" i="7"/>
  <c r="UOS28" i="7"/>
  <c r="UOU28" i="7"/>
  <c r="UOW28" i="7"/>
  <c r="UOY28" i="7"/>
  <c r="UPA28" i="7"/>
  <c r="UPC28" i="7"/>
  <c r="UPE28" i="7"/>
  <c r="UPG28" i="7"/>
  <c r="UPI28" i="7"/>
  <c r="UPK28" i="7"/>
  <c r="UPM28" i="7"/>
  <c r="UPO28" i="7"/>
  <c r="UPQ28" i="7"/>
  <c r="UPS28" i="7"/>
  <c r="UPU28" i="7"/>
  <c r="UPW28" i="7"/>
  <c r="UPY28" i="7"/>
  <c r="UQA28" i="7"/>
  <c r="UQC28" i="7"/>
  <c r="UQE28" i="7"/>
  <c r="UQG28" i="7"/>
  <c r="UQI28" i="7"/>
  <c r="UQK28" i="7"/>
  <c r="UQM28" i="7"/>
  <c r="UQO28" i="7"/>
  <c r="UQQ28" i="7"/>
  <c r="UQS28" i="7"/>
  <c r="UQU28" i="7"/>
  <c r="UQW28" i="7"/>
  <c r="UQY28" i="7"/>
  <c r="URA28" i="7"/>
  <c r="URC28" i="7"/>
  <c r="URE28" i="7"/>
  <c r="URG28" i="7"/>
  <c r="URI28" i="7"/>
  <c r="URK28" i="7"/>
  <c r="URM28" i="7"/>
  <c r="URO28" i="7"/>
  <c r="URQ28" i="7"/>
  <c r="URS28" i="7"/>
  <c r="URU28" i="7"/>
  <c r="URW28" i="7"/>
  <c r="URY28" i="7"/>
  <c r="USA28" i="7"/>
  <c r="USC28" i="7"/>
  <c r="USE28" i="7"/>
  <c r="USG28" i="7"/>
  <c r="USI28" i="7"/>
  <c r="USK28" i="7"/>
  <c r="USM28" i="7"/>
  <c r="USO28" i="7"/>
  <c r="USQ28" i="7"/>
  <c r="USS28" i="7"/>
  <c r="USU28" i="7"/>
  <c r="USW28" i="7"/>
  <c r="USY28" i="7"/>
  <c r="UTA28" i="7"/>
  <c r="UTC28" i="7"/>
  <c r="UTE28" i="7"/>
  <c r="UTG28" i="7"/>
  <c r="UTI28" i="7"/>
  <c r="UTK28" i="7"/>
  <c r="UTM28" i="7"/>
  <c r="UTO28" i="7"/>
  <c r="UTQ28" i="7"/>
  <c r="UTS28" i="7"/>
  <c r="UTU28" i="7"/>
  <c r="UTW28" i="7"/>
  <c r="UTY28" i="7"/>
  <c r="UUA28" i="7"/>
  <c r="UUC28" i="7"/>
  <c r="UUE28" i="7"/>
  <c r="UUG28" i="7"/>
  <c r="UUI28" i="7"/>
  <c r="UUK28" i="7"/>
  <c r="UUM28" i="7"/>
  <c r="UUO28" i="7"/>
  <c r="UUQ28" i="7"/>
  <c r="UUS28" i="7"/>
  <c r="UUU28" i="7"/>
  <c r="UUW28" i="7"/>
  <c r="UUY28" i="7"/>
  <c r="UVA28" i="7"/>
  <c r="UVC28" i="7"/>
  <c r="UVE28" i="7"/>
  <c r="UVG28" i="7"/>
  <c r="UVI28" i="7"/>
  <c r="UVK28" i="7"/>
  <c r="UVM28" i="7"/>
  <c r="UVO28" i="7"/>
  <c r="UVQ28" i="7"/>
  <c r="UVS28" i="7"/>
  <c r="UVU28" i="7"/>
  <c r="UVW28" i="7"/>
  <c r="UVY28" i="7"/>
  <c r="UWA28" i="7"/>
  <c r="UWC28" i="7"/>
  <c r="UWE28" i="7"/>
  <c r="UWG28" i="7"/>
  <c r="UWI28" i="7"/>
  <c r="UWK28" i="7"/>
  <c r="UWM28" i="7"/>
  <c r="UWO28" i="7"/>
  <c r="UWQ28" i="7"/>
  <c r="UWS28" i="7"/>
  <c r="UWU28" i="7"/>
  <c r="UWW28" i="7"/>
  <c r="UWY28" i="7"/>
  <c r="UXA28" i="7"/>
  <c r="UXC28" i="7"/>
  <c r="UXE28" i="7"/>
  <c r="UXG28" i="7"/>
  <c r="UXI28" i="7"/>
  <c r="UXK28" i="7"/>
  <c r="UXM28" i="7"/>
  <c r="UXO28" i="7"/>
  <c r="UXQ28" i="7"/>
  <c r="UXS28" i="7"/>
  <c r="UXU28" i="7"/>
  <c r="UXW28" i="7"/>
  <c r="UXY28" i="7"/>
  <c r="UYA28" i="7"/>
  <c r="UYC28" i="7"/>
  <c r="UYE28" i="7"/>
  <c r="UYG28" i="7"/>
  <c r="UYI28" i="7"/>
  <c r="UYK28" i="7"/>
  <c r="UYM28" i="7"/>
  <c r="UYO28" i="7"/>
  <c r="UYQ28" i="7"/>
  <c r="UYS28" i="7"/>
  <c r="UYU28" i="7"/>
  <c r="UYW28" i="7"/>
  <c r="UYY28" i="7"/>
  <c r="UZA28" i="7"/>
  <c r="UZC28" i="7"/>
  <c r="UZE28" i="7"/>
  <c r="UZG28" i="7"/>
  <c r="UZI28" i="7"/>
  <c r="UZK28" i="7"/>
  <c r="UZM28" i="7"/>
  <c r="UZO28" i="7"/>
  <c r="UZQ28" i="7"/>
  <c r="UZS28" i="7"/>
  <c r="UZU28" i="7"/>
  <c r="UZW28" i="7"/>
  <c r="UZY28" i="7"/>
  <c r="VAA28" i="7"/>
  <c r="VAC28" i="7"/>
  <c r="VAE28" i="7"/>
  <c r="VAG28" i="7"/>
  <c r="VAI28" i="7"/>
  <c r="VAK28" i="7"/>
  <c r="VAM28" i="7"/>
  <c r="VAO28" i="7"/>
  <c r="VAQ28" i="7"/>
  <c r="VAS28" i="7"/>
  <c r="VAU28" i="7"/>
  <c r="VAW28" i="7"/>
  <c r="VAY28" i="7"/>
  <c r="VBA28" i="7"/>
  <c r="VBC28" i="7"/>
  <c r="VBE28" i="7"/>
  <c r="VBG28" i="7"/>
  <c r="VBI28" i="7"/>
  <c r="VBK28" i="7"/>
  <c r="VBM28" i="7"/>
  <c r="VBO28" i="7"/>
  <c r="VBQ28" i="7"/>
  <c r="VBS28" i="7"/>
  <c r="VBU28" i="7"/>
  <c r="VBW28" i="7"/>
  <c r="VBY28" i="7"/>
  <c r="VCA28" i="7"/>
  <c r="VCC28" i="7"/>
  <c r="VCE28" i="7"/>
  <c r="VCG28" i="7"/>
  <c r="VCI28" i="7"/>
  <c r="VCK28" i="7"/>
  <c r="VCM28" i="7"/>
  <c r="VCO28" i="7"/>
  <c r="VCQ28" i="7"/>
  <c r="VCS28" i="7"/>
  <c r="VCU28" i="7"/>
  <c r="VCW28" i="7"/>
  <c r="VCY28" i="7"/>
  <c r="VDA28" i="7"/>
  <c r="VDC28" i="7"/>
  <c r="VDE28" i="7"/>
  <c r="VDG28" i="7"/>
  <c r="VDI28" i="7"/>
  <c r="VDK28" i="7"/>
  <c r="VDM28" i="7"/>
  <c r="VDO28" i="7"/>
  <c r="VDQ28" i="7"/>
  <c r="VDS28" i="7"/>
  <c r="VDU28" i="7"/>
  <c r="VDW28" i="7"/>
  <c r="VDY28" i="7"/>
  <c r="VEA28" i="7"/>
  <c r="VEC28" i="7"/>
  <c r="VEE28" i="7"/>
  <c r="VEG28" i="7"/>
  <c r="VEI28" i="7"/>
  <c r="VEK28" i="7"/>
  <c r="VEM28" i="7"/>
  <c r="VEO28" i="7"/>
  <c r="VEQ28" i="7"/>
  <c r="VES28" i="7"/>
  <c r="VEU28" i="7"/>
  <c r="VEW28" i="7"/>
  <c r="VEY28" i="7"/>
  <c r="VFA28" i="7"/>
  <c r="VFC28" i="7"/>
  <c r="VFE28" i="7"/>
  <c r="VFG28" i="7"/>
  <c r="VFI28" i="7"/>
  <c r="VFK28" i="7"/>
  <c r="VFM28" i="7"/>
  <c r="VFO28" i="7"/>
  <c r="VFQ28" i="7"/>
  <c r="VFS28" i="7"/>
  <c r="VFU28" i="7"/>
  <c r="VFW28" i="7"/>
  <c r="VFY28" i="7"/>
  <c r="VGA28" i="7"/>
  <c r="VGC28" i="7"/>
  <c r="VGE28" i="7"/>
  <c r="VGG28" i="7"/>
  <c r="VGI28" i="7"/>
  <c r="VGK28" i="7"/>
  <c r="VGM28" i="7"/>
  <c r="VGO28" i="7"/>
  <c r="VGQ28" i="7"/>
  <c r="VGS28" i="7"/>
  <c r="VGU28" i="7"/>
  <c r="VGW28" i="7"/>
  <c r="VGY28" i="7"/>
  <c r="VHA28" i="7"/>
  <c r="VHC28" i="7"/>
  <c r="VHE28" i="7"/>
  <c r="VHG28" i="7"/>
  <c r="VHI28" i="7"/>
  <c r="VHK28" i="7"/>
  <c r="VHM28" i="7"/>
  <c r="VHO28" i="7"/>
  <c r="VHQ28" i="7"/>
  <c r="VHS28" i="7"/>
  <c r="VHU28" i="7"/>
  <c r="VHW28" i="7"/>
  <c r="VHY28" i="7"/>
  <c r="VIA28" i="7"/>
  <c r="VIC28" i="7"/>
  <c r="VIE28" i="7"/>
  <c r="VIG28" i="7"/>
  <c r="VII28" i="7"/>
  <c r="VIK28" i="7"/>
  <c r="VIM28" i="7"/>
  <c r="VIO28" i="7"/>
  <c r="VIQ28" i="7"/>
  <c r="VIS28" i="7"/>
  <c r="VIU28" i="7"/>
  <c r="VIW28" i="7"/>
  <c r="VIY28" i="7"/>
  <c r="VJA28" i="7"/>
  <c r="VJC28" i="7"/>
  <c r="VJE28" i="7"/>
  <c r="VJG28" i="7"/>
  <c r="VJI28" i="7"/>
  <c r="VJK28" i="7"/>
  <c r="VJM28" i="7"/>
  <c r="VJO28" i="7"/>
  <c r="VJQ28" i="7"/>
  <c r="VJS28" i="7"/>
  <c r="VJU28" i="7"/>
  <c r="VJW28" i="7"/>
  <c r="VJY28" i="7"/>
  <c r="VKA28" i="7"/>
  <c r="VKC28" i="7"/>
  <c r="VKE28" i="7"/>
  <c r="VKG28" i="7"/>
  <c r="VKI28" i="7"/>
  <c r="VKK28" i="7"/>
  <c r="VKM28" i="7"/>
  <c r="VKO28" i="7"/>
  <c r="VKQ28" i="7"/>
  <c r="VKS28" i="7"/>
  <c r="VKU28" i="7"/>
  <c r="VKW28" i="7"/>
  <c r="VKY28" i="7"/>
  <c r="VLA28" i="7"/>
  <c r="VLC28" i="7"/>
  <c r="VLE28" i="7"/>
  <c r="VLG28" i="7"/>
  <c r="VLI28" i="7"/>
  <c r="VLK28" i="7"/>
  <c r="VLM28" i="7"/>
  <c r="VLO28" i="7"/>
  <c r="VLQ28" i="7"/>
  <c r="VLS28" i="7"/>
  <c r="VLU28" i="7"/>
  <c r="VLW28" i="7"/>
  <c r="VLY28" i="7"/>
  <c r="VMA28" i="7"/>
  <c r="VMC28" i="7"/>
  <c r="VME28" i="7"/>
  <c r="VMG28" i="7"/>
  <c r="VMI28" i="7"/>
  <c r="VMK28" i="7"/>
  <c r="VMM28" i="7"/>
  <c r="VMO28" i="7"/>
  <c r="VMQ28" i="7"/>
  <c r="VMS28" i="7"/>
  <c r="VMU28" i="7"/>
  <c r="VMW28" i="7"/>
  <c r="VMY28" i="7"/>
  <c r="VNA28" i="7"/>
  <c r="VNC28" i="7"/>
  <c r="VNE28" i="7"/>
  <c r="VNG28" i="7"/>
  <c r="VNI28" i="7"/>
  <c r="VNK28" i="7"/>
  <c r="VNM28" i="7"/>
  <c r="VNO28" i="7"/>
  <c r="VNQ28" i="7"/>
  <c r="VNS28" i="7"/>
  <c r="VNU28" i="7"/>
  <c r="VNW28" i="7"/>
  <c r="VNY28" i="7"/>
  <c r="VOA28" i="7"/>
  <c r="VOC28" i="7"/>
  <c r="VOE28" i="7"/>
  <c r="VOG28" i="7"/>
  <c r="VOI28" i="7"/>
  <c r="VOK28" i="7"/>
  <c r="VOM28" i="7"/>
  <c r="VOO28" i="7"/>
  <c r="VOQ28" i="7"/>
  <c r="VOS28" i="7"/>
  <c r="VOU28" i="7"/>
  <c r="VOW28" i="7"/>
  <c r="VOY28" i="7"/>
  <c r="VPA28" i="7"/>
  <c r="VPC28" i="7"/>
  <c r="VPE28" i="7"/>
  <c r="VPG28" i="7"/>
  <c r="VPI28" i="7"/>
  <c r="VPK28" i="7"/>
  <c r="VPM28" i="7"/>
  <c r="VPO28" i="7"/>
  <c r="VPQ28" i="7"/>
  <c r="VPS28" i="7"/>
  <c r="VPU28" i="7"/>
  <c r="VPW28" i="7"/>
  <c r="VPY28" i="7"/>
  <c r="VQA28" i="7"/>
  <c r="VQC28" i="7"/>
  <c r="VQE28" i="7"/>
  <c r="VQG28" i="7"/>
  <c r="VQI28" i="7"/>
  <c r="VQK28" i="7"/>
  <c r="VQM28" i="7"/>
  <c r="VQO28" i="7"/>
  <c r="VQQ28" i="7"/>
  <c r="VQS28" i="7"/>
  <c r="VQU28" i="7"/>
  <c r="VQW28" i="7"/>
  <c r="VQY28" i="7"/>
  <c r="VRA28" i="7"/>
  <c r="VRC28" i="7"/>
  <c r="VRE28" i="7"/>
  <c r="VRG28" i="7"/>
  <c r="VRI28" i="7"/>
  <c r="VRK28" i="7"/>
  <c r="VRM28" i="7"/>
  <c r="VRO28" i="7"/>
  <c r="VRQ28" i="7"/>
  <c r="VRS28" i="7"/>
  <c r="VRU28" i="7"/>
  <c r="VRW28" i="7"/>
  <c r="VRY28" i="7"/>
  <c r="VSA28" i="7"/>
  <c r="VSC28" i="7"/>
  <c r="VSE28" i="7"/>
  <c r="VSG28" i="7"/>
  <c r="VSI28" i="7"/>
  <c r="VSK28" i="7"/>
  <c r="VSM28" i="7"/>
  <c r="VSO28" i="7"/>
  <c r="VSQ28" i="7"/>
  <c r="VSS28" i="7"/>
  <c r="VSU28" i="7"/>
  <c r="VSW28" i="7"/>
  <c r="VSY28" i="7"/>
  <c r="VTA28" i="7"/>
  <c r="VTC28" i="7"/>
  <c r="VTE28" i="7"/>
  <c r="VTG28" i="7"/>
  <c r="VTI28" i="7"/>
  <c r="VTK28" i="7"/>
  <c r="VTM28" i="7"/>
  <c r="VTO28" i="7"/>
  <c r="VTQ28" i="7"/>
  <c r="VTS28" i="7"/>
  <c r="VTU28" i="7"/>
  <c r="VTW28" i="7"/>
  <c r="VTY28" i="7"/>
  <c r="VUA28" i="7"/>
  <c r="VUC28" i="7"/>
  <c r="VUE28" i="7"/>
  <c r="VUG28" i="7"/>
  <c r="VUI28" i="7"/>
  <c r="VUK28" i="7"/>
  <c r="VUM28" i="7"/>
  <c r="VUO28" i="7"/>
  <c r="VUQ28" i="7"/>
  <c r="VUS28" i="7"/>
  <c r="VUU28" i="7"/>
  <c r="VUW28" i="7"/>
  <c r="VUY28" i="7"/>
  <c r="VVA28" i="7"/>
  <c r="VVC28" i="7"/>
  <c r="VVE28" i="7"/>
  <c r="VVG28" i="7"/>
  <c r="VVI28" i="7"/>
  <c r="VVK28" i="7"/>
  <c r="VVM28" i="7"/>
  <c r="VVO28" i="7"/>
  <c r="VVQ28" i="7"/>
  <c r="VVS28" i="7"/>
  <c r="VVU28" i="7"/>
  <c r="VVW28" i="7"/>
  <c r="VVY28" i="7"/>
  <c r="VWA28" i="7"/>
  <c r="VWC28" i="7"/>
  <c r="VWE28" i="7"/>
  <c r="VWG28" i="7"/>
  <c r="VWI28" i="7"/>
  <c r="VWK28" i="7"/>
  <c r="VWM28" i="7"/>
  <c r="VWO28" i="7"/>
  <c r="VWQ28" i="7"/>
  <c r="VWS28" i="7"/>
  <c r="VWU28" i="7"/>
  <c r="VWW28" i="7"/>
  <c r="VWY28" i="7"/>
  <c r="VXA28" i="7"/>
  <c r="VXC28" i="7"/>
  <c r="VXE28" i="7"/>
  <c r="VXG28" i="7"/>
  <c r="VXI28" i="7"/>
  <c r="VXK28" i="7"/>
  <c r="VXM28" i="7"/>
  <c r="VXO28" i="7"/>
  <c r="VXQ28" i="7"/>
  <c r="VXS28" i="7"/>
  <c r="VXU28" i="7"/>
  <c r="VXW28" i="7"/>
  <c r="VXY28" i="7"/>
  <c r="VYA28" i="7"/>
  <c r="VYC28" i="7"/>
  <c r="VYE28" i="7"/>
  <c r="VYG28" i="7"/>
  <c r="VYI28" i="7"/>
  <c r="VYK28" i="7"/>
  <c r="VYM28" i="7"/>
  <c r="VYO28" i="7"/>
  <c r="VYQ28" i="7"/>
  <c r="VYS28" i="7"/>
  <c r="VYU28" i="7"/>
  <c r="VYW28" i="7"/>
  <c r="VYY28" i="7"/>
  <c r="VZA28" i="7"/>
  <c r="VZC28" i="7"/>
  <c r="VZE28" i="7"/>
  <c r="VZG28" i="7"/>
  <c r="VZI28" i="7"/>
  <c r="VZK28" i="7"/>
  <c r="VZM28" i="7"/>
  <c r="VZO28" i="7"/>
  <c r="VZQ28" i="7"/>
  <c r="VZS28" i="7"/>
  <c r="VZU28" i="7"/>
  <c r="VZW28" i="7"/>
  <c r="VZY28" i="7"/>
  <c r="WAA28" i="7"/>
  <c r="WAC28" i="7"/>
  <c r="WAE28" i="7"/>
  <c r="WAG28" i="7"/>
  <c r="WAI28" i="7"/>
  <c r="WAK28" i="7"/>
  <c r="WAM28" i="7"/>
  <c r="WAO28" i="7"/>
  <c r="WAQ28" i="7"/>
  <c r="WAS28" i="7"/>
  <c r="WAU28" i="7"/>
  <c r="WAW28" i="7"/>
  <c r="WAY28" i="7"/>
  <c r="WBA28" i="7"/>
  <c r="WBC28" i="7"/>
  <c r="WBE28" i="7"/>
  <c r="WBG28" i="7"/>
  <c r="WBI28" i="7"/>
  <c r="WBK28" i="7"/>
  <c r="WBM28" i="7"/>
  <c r="WBO28" i="7"/>
  <c r="WBQ28" i="7"/>
  <c r="WBS28" i="7"/>
  <c r="WBU28" i="7"/>
  <c r="WBW28" i="7"/>
  <c r="WBY28" i="7"/>
  <c r="WCA28" i="7"/>
  <c r="WCC28" i="7"/>
  <c r="WCE28" i="7"/>
  <c r="WCG28" i="7"/>
  <c r="WCI28" i="7"/>
  <c r="WCK28" i="7"/>
  <c r="WCM28" i="7"/>
  <c r="WCO28" i="7"/>
  <c r="WCQ28" i="7"/>
  <c r="WCS28" i="7"/>
  <c r="WCU28" i="7"/>
  <c r="WCW28" i="7"/>
  <c r="WCY28" i="7"/>
  <c r="WDA28" i="7"/>
  <c r="WDC28" i="7"/>
  <c r="WDE28" i="7"/>
  <c r="WDG28" i="7"/>
  <c r="WDI28" i="7"/>
  <c r="WDK28" i="7"/>
  <c r="WDM28" i="7"/>
  <c r="WDO28" i="7"/>
  <c r="WDQ28" i="7"/>
  <c r="WDS28" i="7"/>
  <c r="WDU28" i="7"/>
  <c r="WDW28" i="7"/>
  <c r="WDY28" i="7"/>
  <c r="WEA28" i="7"/>
  <c r="WEC28" i="7"/>
  <c r="WEE28" i="7"/>
  <c r="WEG28" i="7"/>
  <c r="WEI28" i="7"/>
  <c r="WEK28" i="7"/>
  <c r="WEM28" i="7"/>
  <c r="WEO28" i="7"/>
  <c r="WEQ28" i="7"/>
  <c r="WES28" i="7"/>
  <c r="WEU28" i="7"/>
  <c r="WEW28" i="7"/>
  <c r="WEY28" i="7"/>
  <c r="WFA28" i="7"/>
  <c r="WFC28" i="7"/>
  <c r="WFE28" i="7"/>
  <c r="WFG28" i="7"/>
  <c r="WFI28" i="7"/>
  <c r="WFK28" i="7"/>
  <c r="WFM28" i="7"/>
  <c r="WFO28" i="7"/>
  <c r="WFQ28" i="7"/>
  <c r="WFS28" i="7"/>
  <c r="WFU28" i="7"/>
  <c r="WFW28" i="7"/>
  <c r="WFY28" i="7"/>
  <c r="WGA28" i="7"/>
  <c r="WGC28" i="7"/>
  <c r="WGE28" i="7"/>
  <c r="WGG28" i="7"/>
  <c r="WGI28" i="7"/>
  <c r="WGK28" i="7"/>
  <c r="WGM28" i="7"/>
  <c r="WGO28" i="7"/>
  <c r="WGQ28" i="7"/>
  <c r="WGS28" i="7"/>
  <c r="WGU28" i="7"/>
  <c r="WGW28" i="7"/>
  <c r="WGY28" i="7"/>
  <c r="WHA28" i="7"/>
  <c r="WHC28" i="7"/>
  <c r="WHE28" i="7"/>
  <c r="WHG28" i="7"/>
  <c r="WHI28" i="7"/>
  <c r="WHK28" i="7"/>
  <c r="WHM28" i="7"/>
  <c r="WHO28" i="7"/>
  <c r="WHQ28" i="7"/>
  <c r="WHS28" i="7"/>
  <c r="WHU28" i="7"/>
  <c r="WHW28" i="7"/>
  <c r="WHY28" i="7"/>
  <c r="WIA28" i="7"/>
  <c r="WIC28" i="7"/>
  <c r="WIE28" i="7"/>
  <c r="WIG28" i="7"/>
  <c r="WII28" i="7"/>
  <c r="WIK28" i="7"/>
  <c r="WIM28" i="7"/>
  <c r="WIO28" i="7"/>
  <c r="WIQ28" i="7"/>
  <c r="WIS28" i="7"/>
  <c r="WIU28" i="7"/>
  <c r="WIW28" i="7"/>
  <c r="WIY28" i="7"/>
  <c r="WJA28" i="7"/>
  <c r="WJC28" i="7"/>
  <c r="WJE28" i="7"/>
  <c r="WJG28" i="7"/>
  <c r="WJI28" i="7"/>
  <c r="WJK28" i="7"/>
  <c r="WJM28" i="7"/>
  <c r="WJO28" i="7"/>
  <c r="WJQ28" i="7"/>
  <c r="WJS28" i="7"/>
  <c r="WJU28" i="7"/>
  <c r="WJW28" i="7"/>
  <c r="WJY28" i="7"/>
  <c r="WKA28" i="7"/>
  <c r="WKC28" i="7"/>
  <c r="WKE28" i="7"/>
  <c r="WKG28" i="7"/>
  <c r="WKI28" i="7"/>
  <c r="WKK28" i="7"/>
  <c r="WKM28" i="7"/>
  <c r="WKO28" i="7"/>
  <c r="WKQ28" i="7"/>
  <c r="WKS28" i="7"/>
  <c r="WKU28" i="7"/>
  <c r="WKW28" i="7"/>
  <c r="WKY28" i="7"/>
  <c r="WLA28" i="7"/>
  <c r="WLC28" i="7"/>
  <c r="WLE28" i="7"/>
  <c r="WLG28" i="7"/>
  <c r="WLI28" i="7"/>
  <c r="WLK28" i="7"/>
  <c r="WLM28" i="7"/>
  <c r="WLO28" i="7"/>
  <c r="WLQ28" i="7"/>
  <c r="WLS28" i="7"/>
  <c r="WLU28" i="7"/>
  <c r="WLW28" i="7"/>
  <c r="WLY28" i="7"/>
  <c r="WMA28" i="7"/>
  <c r="WMC28" i="7"/>
  <c r="WME28" i="7"/>
  <c r="WMG28" i="7"/>
  <c r="WMI28" i="7"/>
  <c r="WMK28" i="7"/>
  <c r="WMM28" i="7"/>
  <c r="WMO28" i="7"/>
  <c r="WMQ28" i="7"/>
  <c r="WMS28" i="7"/>
  <c r="WMU28" i="7"/>
  <c r="WMW28" i="7"/>
  <c r="WMY28" i="7"/>
  <c r="WNA28" i="7"/>
  <c r="WNC28" i="7"/>
  <c r="WNE28" i="7"/>
  <c r="WNG28" i="7"/>
  <c r="WNI28" i="7"/>
  <c r="WNK28" i="7"/>
  <c r="WNM28" i="7"/>
  <c r="WNO28" i="7"/>
  <c r="WNQ28" i="7"/>
  <c r="WNS28" i="7"/>
  <c r="WNU28" i="7"/>
  <c r="WNW28" i="7"/>
  <c r="WNY28" i="7"/>
  <c r="WOA28" i="7"/>
  <c r="WOC28" i="7"/>
  <c r="WOE28" i="7"/>
  <c r="WOG28" i="7"/>
  <c r="WOI28" i="7"/>
  <c r="WOK28" i="7"/>
  <c r="WOM28" i="7"/>
  <c r="WOO28" i="7"/>
  <c r="WOQ28" i="7"/>
  <c r="WOS28" i="7"/>
  <c r="WOU28" i="7"/>
  <c r="WOW28" i="7"/>
  <c r="WOY28" i="7"/>
  <c r="WPA28" i="7"/>
  <c r="WPC28" i="7"/>
  <c r="WPE28" i="7"/>
  <c r="WPG28" i="7"/>
  <c r="WPI28" i="7"/>
  <c r="WPK28" i="7"/>
  <c r="WPM28" i="7"/>
  <c r="WPO28" i="7"/>
  <c r="WPQ28" i="7"/>
  <c r="WPS28" i="7"/>
  <c r="WPU28" i="7"/>
  <c r="WPW28" i="7"/>
  <c r="WPY28" i="7"/>
  <c r="WQA28" i="7"/>
  <c r="WQC28" i="7"/>
  <c r="WQE28" i="7"/>
  <c r="WQG28" i="7"/>
  <c r="WQI28" i="7"/>
  <c r="WQK28" i="7"/>
  <c r="WQM28" i="7"/>
  <c r="WQO28" i="7"/>
  <c r="WQQ28" i="7"/>
  <c r="WQS28" i="7"/>
  <c r="WQU28" i="7"/>
  <c r="WQW28" i="7"/>
  <c r="WQY28" i="7"/>
  <c r="WRA28" i="7"/>
  <c r="WRC28" i="7"/>
  <c r="WRE28" i="7"/>
  <c r="WRG28" i="7"/>
  <c r="WRI28" i="7"/>
  <c r="WRK28" i="7"/>
  <c r="WRM28" i="7"/>
  <c r="WRO28" i="7"/>
  <c r="WRQ28" i="7"/>
  <c r="WRS28" i="7"/>
  <c r="WRU28" i="7"/>
  <c r="WRW28" i="7"/>
  <c r="WRY28" i="7"/>
  <c r="WSA28" i="7"/>
  <c r="WSC28" i="7"/>
  <c r="WSE28" i="7"/>
  <c r="WSG28" i="7"/>
  <c r="WSI28" i="7"/>
  <c r="WSK28" i="7"/>
  <c r="WSM28" i="7"/>
  <c r="WSO28" i="7"/>
  <c r="WSQ28" i="7"/>
  <c r="WSS28" i="7"/>
  <c r="WSU28" i="7"/>
  <c r="WSW28" i="7"/>
  <c r="WSY28" i="7"/>
  <c r="WTA28" i="7"/>
  <c r="WTC28" i="7"/>
  <c r="WTE28" i="7"/>
  <c r="WTG28" i="7"/>
  <c r="WTI28" i="7"/>
  <c r="WTK28" i="7"/>
  <c r="WTM28" i="7"/>
  <c r="WTO28" i="7"/>
  <c r="WTQ28" i="7"/>
  <c r="WTS28" i="7"/>
  <c r="WTU28" i="7"/>
  <c r="WTW28" i="7"/>
  <c r="WTY28" i="7"/>
  <c r="WUA28" i="7"/>
  <c r="WUC28" i="7"/>
  <c r="WUE28" i="7"/>
  <c r="WUG28" i="7"/>
  <c r="WUI28" i="7"/>
  <c r="WUK28" i="7"/>
  <c r="WUM28" i="7"/>
  <c r="WUO28" i="7"/>
  <c r="WUQ28" i="7"/>
  <c r="WUS28" i="7"/>
  <c r="WUU28" i="7"/>
  <c r="WUW28" i="7"/>
  <c r="WUY28" i="7"/>
  <c r="WVA28" i="7"/>
  <c r="WVC28" i="7"/>
  <c r="WVE28" i="7"/>
  <c r="WVG28" i="7"/>
  <c r="WVI28" i="7"/>
  <c r="WVK28" i="7"/>
  <c r="WVM28" i="7"/>
  <c r="WVO28" i="7"/>
  <c r="WVQ28" i="7"/>
  <c r="WVS28" i="7"/>
  <c r="WVU28" i="7"/>
  <c r="WVW28" i="7"/>
  <c r="WVY28" i="7"/>
  <c r="WWA28" i="7"/>
  <c r="WWC28" i="7"/>
  <c r="WWE28" i="7"/>
  <c r="WWG28" i="7"/>
  <c r="WWI28" i="7"/>
  <c r="WWK28" i="7"/>
  <c r="WWM28" i="7"/>
  <c r="WWO28" i="7"/>
  <c r="WWQ28" i="7"/>
  <c r="WWS28" i="7"/>
  <c r="WWU28" i="7"/>
  <c r="WWW28" i="7"/>
  <c r="WWY28" i="7"/>
  <c r="WXA28" i="7"/>
  <c r="WXC28" i="7"/>
  <c r="WXE28" i="7"/>
  <c r="WXG28" i="7"/>
  <c r="WXI28" i="7"/>
  <c r="WXK28" i="7"/>
  <c r="WXM28" i="7"/>
  <c r="WXO28" i="7"/>
  <c r="WXQ28" i="7"/>
  <c r="WXS28" i="7"/>
  <c r="WXU28" i="7"/>
  <c r="WXW28" i="7"/>
  <c r="WXY28" i="7"/>
  <c r="WYA28" i="7"/>
  <c r="WYC28" i="7"/>
  <c r="WYE28" i="7"/>
  <c r="WYG28" i="7"/>
  <c r="WYI28" i="7"/>
  <c r="WYK28" i="7"/>
  <c r="WYM28" i="7"/>
  <c r="WYO28" i="7"/>
  <c r="WYQ28" i="7"/>
  <c r="WYS28" i="7"/>
  <c r="WYU28" i="7"/>
  <c r="WYW28" i="7"/>
  <c r="WYY28" i="7"/>
  <c r="WZA28" i="7"/>
  <c r="WZC28" i="7"/>
  <c r="WZE28" i="7"/>
  <c r="WZG28" i="7"/>
  <c r="WZI28" i="7"/>
  <c r="WZK28" i="7"/>
  <c r="WZM28" i="7"/>
  <c r="WZO28" i="7"/>
  <c r="WZQ28" i="7"/>
  <c r="WZS28" i="7"/>
  <c r="WZU28" i="7"/>
  <c r="WZW28" i="7"/>
  <c r="WZY28" i="7"/>
  <c r="XAA28" i="7"/>
  <c r="XAC28" i="7"/>
  <c r="XAE28" i="7"/>
  <c r="XAG28" i="7"/>
  <c r="XAI28" i="7"/>
  <c r="XAK28" i="7"/>
  <c r="XAM28" i="7"/>
  <c r="XAO28" i="7"/>
  <c r="XAQ28" i="7"/>
  <c r="XAS28" i="7"/>
  <c r="XAU28" i="7"/>
  <c r="XAW28" i="7"/>
  <c r="XAY28" i="7"/>
  <c r="XBA28" i="7"/>
  <c r="XBC28" i="7"/>
  <c r="XBE28" i="7"/>
  <c r="XBG28" i="7"/>
  <c r="XBI28" i="7"/>
  <c r="XBK28" i="7"/>
  <c r="XBM28" i="7"/>
  <c r="XBO28" i="7"/>
  <c r="XBQ28" i="7"/>
  <c r="XBS28" i="7"/>
  <c r="XBU28" i="7"/>
  <c r="XBW28" i="7"/>
  <c r="XBY28" i="7"/>
  <c r="XCA28" i="7"/>
  <c r="XCC28" i="7"/>
  <c r="XCE28" i="7"/>
  <c r="XCG28" i="7"/>
  <c r="XCI28" i="7"/>
  <c r="XCK28" i="7"/>
  <c r="XCM28" i="7"/>
  <c r="XCO28" i="7"/>
  <c r="XCQ28" i="7"/>
  <c r="XCS28" i="7"/>
  <c r="XCU28" i="7"/>
  <c r="XCW28" i="7"/>
  <c r="XCY28" i="7"/>
  <c r="XDA28" i="7"/>
  <c r="XDC28" i="7"/>
  <c r="XDE28" i="7"/>
  <c r="XDG28" i="7"/>
  <c r="XDI28" i="7"/>
  <c r="XDK28" i="7"/>
  <c r="XDM28" i="7"/>
  <c r="XDO28" i="7"/>
  <c r="XDQ28" i="7"/>
  <c r="XDS28" i="7"/>
  <c r="XDU28" i="7"/>
  <c r="XDW28" i="7"/>
  <c r="XDY28" i="7"/>
  <c r="XEA28" i="7"/>
  <c r="XEC28" i="7"/>
  <c r="XEE28" i="7"/>
  <c r="XEG28" i="7"/>
  <c r="XEI28" i="7"/>
  <c r="XEK28" i="7"/>
  <c r="XEM28" i="7"/>
  <c r="XEO28" i="7"/>
  <c r="XEQ28" i="7"/>
  <c r="XES28" i="7"/>
  <c r="XEU28" i="7"/>
  <c r="XEW28" i="7"/>
  <c r="XEY28" i="7"/>
  <c r="XFA28" i="7"/>
  <c r="XFC28" i="7"/>
  <c r="AA949" i="3"/>
  <c r="I949" i="3"/>
  <c r="AA948" i="3"/>
  <c r="I948" i="3"/>
  <c r="AG448" i="3"/>
  <c r="T214" i="20"/>
  <c r="T213" i="20"/>
  <c r="AB215" i="20"/>
  <c r="AA918" i="3"/>
  <c r="AA917" i="3"/>
  <c r="W857" i="3"/>
  <c r="B33" i="4"/>
  <c r="R33" i="4"/>
  <c r="E32" i="13"/>
  <c r="E31" i="13"/>
  <c r="C76" i="11"/>
  <c r="C84" i="11"/>
  <c r="Q629" i="3"/>
  <c r="W863" i="3"/>
  <c r="Q627" i="3"/>
  <c r="T721" i="3"/>
  <c r="T720" i="3"/>
  <c r="T719" i="3"/>
  <c r="T718" i="3"/>
  <c r="X718" i="3"/>
  <c r="AH718" i="3"/>
  <c r="W871" i="3"/>
  <c r="W846" i="3"/>
  <c r="T627" i="3"/>
  <c r="AF627" i="3"/>
  <c r="AB214" i="20"/>
  <c r="AB213" i="20"/>
  <c r="F30" i="4"/>
  <c r="H30" i="4"/>
  <c r="G30" i="4"/>
  <c r="C67" i="4"/>
  <c r="E67" i="13"/>
  <c r="E33" i="13"/>
  <c r="E35" i="13"/>
  <c r="W862" i="3"/>
  <c r="W855" i="3"/>
  <c r="E17" i="7"/>
  <c r="G17" i="7"/>
  <c r="I17" i="7"/>
  <c r="K17" i="7"/>
  <c r="M17" i="7"/>
  <c r="O17" i="7"/>
  <c r="Q17" i="7"/>
  <c r="S17" i="7"/>
  <c r="U17" i="7"/>
  <c r="W17" i="7"/>
  <c r="Y17" i="7"/>
  <c r="AA17" i="7"/>
  <c r="AC17" i="7"/>
  <c r="AE17" i="7"/>
  <c r="AG17" i="7"/>
  <c r="W872" i="3"/>
  <c r="AC883" i="3"/>
  <c r="E20" i="7"/>
  <c r="G20" i="7"/>
  <c r="I20" i="7"/>
  <c r="K20" i="7"/>
  <c r="M20" i="7"/>
  <c r="O20" i="7"/>
  <c r="Q20" i="7"/>
  <c r="S20" i="7"/>
  <c r="U20" i="7"/>
  <c r="W20" i="7"/>
  <c r="Y20" i="7"/>
  <c r="AA20" i="7"/>
  <c r="AC20" i="7"/>
  <c r="AE20" i="7"/>
  <c r="AG20" i="7"/>
  <c r="I108" i="4"/>
  <c r="I99" i="4"/>
  <c r="H108" i="4"/>
  <c r="G108" i="4"/>
  <c r="F108" i="4"/>
  <c r="E108" i="4"/>
  <c r="AG450" i="3"/>
  <c r="I13" i="21"/>
  <c r="Y67" i="15"/>
  <c r="C167" i="20"/>
  <c r="U363" i="20"/>
  <c r="AJ700" i="20"/>
  <c r="AK783" i="20" s="1"/>
  <c r="T808" i="20" s="1"/>
  <c r="AF808" i="20" s="1"/>
  <c r="L65" i="21"/>
  <c r="BQ98" i="27"/>
  <c r="BQ97" i="27"/>
  <c r="BQ96" i="27"/>
  <c r="X752" i="3"/>
  <c r="AH752" i="3"/>
  <c r="BG701" i="3"/>
  <c r="BT701" i="3"/>
  <c r="BT702" i="3"/>
  <c r="BA700" i="3"/>
  <c r="BA701" i="3"/>
  <c r="AJ1019" i="3"/>
  <c r="P18" i="21"/>
  <c r="S26" i="4"/>
  <c r="E26" i="13"/>
  <c r="S70" i="4"/>
  <c r="E70" i="13"/>
  <c r="S81" i="4"/>
  <c r="E81" i="13"/>
  <c r="S104" i="4"/>
  <c r="T11" i="4"/>
  <c r="T26" i="4"/>
  <c r="T38" i="4"/>
  <c r="T42" i="4"/>
  <c r="T54" i="4"/>
  <c r="T63" i="4"/>
  <c r="T70" i="4"/>
  <c r="T81" i="4"/>
  <c r="T96" i="4"/>
  <c r="T97" i="4"/>
  <c r="T104" i="4"/>
  <c r="T105" i="4"/>
  <c r="T107" i="4"/>
  <c r="C8" i="4"/>
  <c r="C12" i="4"/>
  <c r="B12" i="13"/>
  <c r="C54" i="4"/>
  <c r="C42" i="4"/>
  <c r="B42" i="4"/>
  <c r="C62" i="4"/>
  <c r="B62" i="13"/>
  <c r="C11" i="4"/>
  <c r="C26" i="4"/>
  <c r="B26" i="4"/>
  <c r="C81" i="4"/>
  <c r="B81" i="13"/>
  <c r="C70" i="4"/>
  <c r="B70" i="13"/>
  <c r="C77" i="4"/>
  <c r="B77" i="4"/>
  <c r="C104" i="4"/>
  <c r="D8" i="4"/>
  <c r="D11" i="4"/>
  <c r="D26" i="4"/>
  <c r="D42" i="4"/>
  <c r="D54" i="4"/>
  <c r="D62" i="4"/>
  <c r="D70" i="4"/>
  <c r="D77" i="4"/>
  <c r="D81" i="4"/>
  <c r="D96" i="4"/>
  <c r="D104" i="4"/>
  <c r="P20" i="27"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c r="AU185" i="27"/>
  <c r="B8" i="4"/>
  <c r="B12" i="4"/>
  <c r="N187" i="27"/>
  <c r="B85" i="4"/>
  <c r="E85" i="4"/>
  <c r="B86" i="4"/>
  <c r="E86" i="4"/>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BG690" i="3"/>
  <c r="AH751" i="3"/>
  <c r="AH742" i="3"/>
  <c r="AY1022" i="3"/>
  <c r="G753" i="3"/>
  <c r="AY1002" i="3" s="1"/>
  <c r="AX678" i="20"/>
  <c r="AJ714" i="20"/>
  <c r="AJ610" i="20"/>
  <c r="AO586" i="20"/>
  <c r="AP572" i="20"/>
  <c r="BE597" i="3"/>
  <c r="BG597" i="3"/>
  <c r="BE598" i="3"/>
  <c r="BG598" i="3"/>
  <c r="BE599" i="3"/>
  <c r="BG599" i="3"/>
  <c r="BE600" i="3"/>
  <c r="BG600" i="3"/>
  <c r="BI597" i="3"/>
  <c r="BK597" i="3"/>
  <c r="BI598" i="3"/>
  <c r="BK598" i="3"/>
  <c r="BI599" i="3"/>
  <c r="BK599" i="3"/>
  <c r="BK632" i="3" s="1"/>
  <c r="X1051" i="3" s="1"/>
  <c r="AG1048" i="3" s="1"/>
  <c r="BI600" i="3"/>
  <c r="BK600" i="3"/>
  <c r="BN598" i="3"/>
  <c r="DX598" i="3" s="1"/>
  <c r="BN599" i="3"/>
  <c r="DX599" i="3" s="1"/>
  <c r="BN597" i="3"/>
  <c r="DX597" i="3"/>
  <c r="BN600" i="3"/>
  <c r="BS598" i="3"/>
  <c r="EC598" i="3" s="1"/>
  <c r="BS599" i="3"/>
  <c r="EC599" i="3" s="1"/>
  <c r="BS597" i="3"/>
  <c r="BS600" i="3"/>
  <c r="BX598" i="3"/>
  <c r="EH598" i="3" s="1"/>
  <c r="BX599" i="3"/>
  <c r="EH599" i="3" s="1"/>
  <c r="BX597" i="3"/>
  <c r="BX600" i="3"/>
  <c r="EH600" i="3"/>
  <c r="CC598" i="3"/>
  <c r="CC599" i="3"/>
  <c r="CC597" i="3"/>
  <c r="CC600" i="3"/>
  <c r="CM598" i="3"/>
  <c r="CM599" i="3"/>
  <c r="EW599" i="3" s="1"/>
  <c r="CM597" i="3"/>
  <c r="EW597" i="3"/>
  <c r="CM600" i="3"/>
  <c r="EW600" i="3"/>
  <c r="CH598" i="3"/>
  <c r="ER598" i="3" s="1"/>
  <c r="CH599" i="3"/>
  <c r="ER599" i="3" s="1"/>
  <c r="ER632" i="3" s="1"/>
  <c r="CH597" i="3"/>
  <c r="ER597" i="3"/>
  <c r="CH600" i="3"/>
  <c r="AJ1000" i="3"/>
  <c r="AJ1006" i="3"/>
  <c r="AJ1010" i="3"/>
  <c r="AJ1012" i="3"/>
  <c r="AJ1015" i="3"/>
  <c r="AJ1031" i="3"/>
  <c r="AJ1035" i="3" s="1"/>
  <c r="AJ1040" i="3"/>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I7" i="8"/>
  <c r="I6" i="8"/>
  <c r="I5"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X721" i="3"/>
  <c r="AH721" i="3"/>
  <c r="X720" i="3"/>
  <c r="X719" i="3"/>
  <c r="BA66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AJ155" i="20"/>
  <c r="AP282" i="20"/>
  <c r="AP284" i="20"/>
  <c r="AK327"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c r="C5" i="7"/>
  <c r="E40" i="7"/>
  <c r="A40" i="7"/>
  <c r="E33" i="7"/>
  <c r="E32" i="7"/>
  <c r="E31" i="7"/>
  <c r="E30" i="7"/>
  <c r="E29" i="7"/>
  <c r="E28" i="7"/>
  <c r="E27" i="7"/>
  <c r="E26" i="7"/>
  <c r="W847" i="3"/>
  <c r="E15" i="7"/>
  <c r="E16" i="7"/>
  <c r="E18" i="7"/>
  <c r="G18" i="7"/>
  <c r="I18" i="7"/>
  <c r="K18" i="7"/>
  <c r="M18" i="7"/>
  <c r="O18" i="7"/>
  <c r="Q18" i="7"/>
  <c r="S18" i="7"/>
  <c r="U18" i="7"/>
  <c r="W18" i="7"/>
  <c r="Y18" i="7"/>
  <c r="AA18" i="7"/>
  <c r="AC18" i="7"/>
  <c r="AE18" i="7"/>
  <c r="AG18" i="7"/>
  <c r="E19" i="7"/>
  <c r="G19" i="7"/>
  <c r="W879" i="3"/>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CB796" i="3"/>
  <c r="R988" i="3"/>
  <c r="DX600" i="3"/>
  <c r="BN601" i="3"/>
  <c r="DX601" i="3"/>
  <c r="BN602" i="3"/>
  <c r="DX602" i="3"/>
  <c r="BN603" i="3"/>
  <c r="DX603" i="3"/>
  <c r="BN604"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EC600" i="3"/>
  <c r="BS601" i="3"/>
  <c r="EC601" i="3"/>
  <c r="BS602" i="3"/>
  <c r="EC602" i="3"/>
  <c r="BS603" i="3"/>
  <c r="EC603" i="3"/>
  <c r="BS604" i="3"/>
  <c r="EC604"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601" i="3"/>
  <c r="EH601" i="3"/>
  <c r="BX602" i="3"/>
  <c r="EH602" i="3"/>
  <c r="BX603" i="3"/>
  <c r="EH603" i="3"/>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EM598" i="3"/>
  <c r="EM599" i="3"/>
  <c r="EM600" i="3"/>
  <c r="CC601" i="3"/>
  <c r="EM601" i="3"/>
  <c r="CC602" i="3"/>
  <c r="EM602" i="3"/>
  <c r="CC603" i="3"/>
  <c r="EM603" i="3"/>
  <c r="CC604" i="3"/>
  <c r="EM604"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601" i="3"/>
  <c r="EW601" i="3"/>
  <c r="CM602" i="3"/>
  <c r="EW602" i="3"/>
  <c r="CM603" i="3"/>
  <c r="EW603" i="3"/>
  <c r="CM604"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ER600" i="3"/>
  <c r="CH601" i="3"/>
  <c r="ER601" i="3"/>
  <c r="CH602" i="3"/>
  <c r="ER602" i="3"/>
  <c r="CH603" i="3"/>
  <c r="ER603" i="3"/>
  <c r="CH604" i="3"/>
  <c r="ER604"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O639" i="3"/>
  <c r="B15" i="4"/>
  <c r="AB48" i="15"/>
  <c r="AD64" i="15"/>
  <c r="AD68" i="15"/>
  <c r="AD67" i="15"/>
  <c r="W700" i="3"/>
  <c r="BG226" i="3"/>
  <c r="BG227" i="3"/>
  <c r="BG228" i="3"/>
  <c r="BG229" i="3"/>
  <c r="BG230" i="3"/>
  <c r="BG232" i="3"/>
  <c r="BG233" i="3"/>
  <c r="BG234" i="3"/>
  <c r="BG236" i="3"/>
  <c r="BG237" i="3"/>
  <c r="BG238" i="3"/>
  <c r="BG239" i="3"/>
  <c r="BG240" i="3"/>
  <c r="BG241" i="3"/>
  <c r="M232"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O28" i="20"/>
  <c r="AO29" i="20"/>
  <c r="AO24" i="20"/>
  <c r="AO25" i="20"/>
  <c r="AO21" i="20"/>
  <c r="AO20" i="20"/>
  <c r="AO22" i="20"/>
  <c r="AO16" i="20"/>
  <c r="AO15" i="20"/>
  <c r="AO14" i="20"/>
  <c r="AO13" i="20"/>
  <c r="G122" i="21"/>
  <c r="G119" i="21"/>
  <c r="E121" i="21"/>
  <c r="I9" i="21"/>
  <c r="F26" i="13"/>
  <c r="F38" i="13"/>
  <c r="F42" i="13"/>
  <c r="F54" i="13"/>
  <c r="F63" i="13"/>
  <c r="F70" i="13"/>
  <c r="F81" i="13"/>
  <c r="F96" i="13"/>
  <c r="F97" i="13"/>
  <c r="F104" i="13"/>
  <c r="F105" i="13"/>
  <c r="F107" i="13"/>
  <c r="G90" i="21"/>
  <c r="G94" i="21"/>
  <c r="G77" i="21"/>
  <c r="M20" i="21"/>
  <c r="Q20" i="21" a="1"/>
  <c r="Q20" i="21" s="1"/>
  <c r="M21" i="21"/>
  <c r="S21" i="21"/>
  <c r="M22" i="21"/>
  <c r="S22" i="21" s="1"/>
  <c r="M23" i="21"/>
  <c r="S23" i="21"/>
  <c r="M24" i="21"/>
  <c r="T24" i="21"/>
  <c r="M25" i="21"/>
  <c r="S25" i="21"/>
  <c r="M26" i="21"/>
  <c r="R26" i="21"/>
  <c r="M27" i="21"/>
  <c r="S27" i="21"/>
  <c r="M28" i="21"/>
  <c r="T28" i="21"/>
  <c r="M29" i="21"/>
  <c r="O29" i="21"/>
  <c r="M30" i="21"/>
  <c r="Q30" i="21" a="1"/>
  <c r="Q30" i="21" s="1"/>
  <c r="M31" i="21"/>
  <c r="S31" i="21"/>
  <c r="M32" i="21"/>
  <c r="M33" i="21"/>
  <c r="T33" i="21"/>
  <c r="M34" i="21"/>
  <c r="S34" i="21"/>
  <c r="M35" i="21"/>
  <c r="S35" i="21"/>
  <c r="M36" i="21"/>
  <c r="R36" i="21"/>
  <c r="M37" i="21"/>
  <c r="O37" i="21"/>
  <c r="M38" i="21"/>
  <c r="O38" i="21"/>
  <c r="M39" i="21"/>
  <c r="S39" i="21"/>
  <c r="M40" i="21"/>
  <c r="S40" i="21"/>
  <c r="M41" i="21"/>
  <c r="Q41" i="21" a="1"/>
  <c r="Q41" i="21" s="1"/>
  <c r="M42" i="21"/>
  <c r="Q42" i="21" a="1"/>
  <c r="Q42" i="21" s="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J4" i="8"/>
  <c r="B5" i="8"/>
  <c r="G5" i="8" s="1"/>
  <c r="B6" i="8"/>
  <c r="G6" i="8" s="1"/>
  <c r="J6" i="8"/>
  <c r="G102" i="21"/>
  <c r="G88" i="21"/>
  <c r="G92" i="21"/>
  <c r="B10" i="8"/>
  <c r="G10" i="8"/>
  <c r="CS649" i="3"/>
  <c r="E104" i="21"/>
  <c r="E95" i="21"/>
  <c r="B85" i="21"/>
  <c r="B60" i="21"/>
  <c r="B51" i="21"/>
  <c r="B42" i="21"/>
  <c r="B33" i="21"/>
  <c r="B18" i="21"/>
  <c r="B7" i="8"/>
  <c r="J7" i="8"/>
  <c r="G7" i="8"/>
  <c r="AV775" i="3"/>
  <c r="AK274" i="20"/>
  <c r="T803" i="20"/>
  <c r="AF803" i="20"/>
  <c r="B24" i="4"/>
  <c r="B36" i="4"/>
  <c r="R36" i="4"/>
  <c r="B66" i="4"/>
  <c r="R66" i="4"/>
  <c r="B67" i="4"/>
  <c r="B68" i="4"/>
  <c r="B69"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D86" i="11"/>
  <c r="B87" i="11"/>
  <c r="B88" i="11"/>
  <c r="B89" i="11"/>
  <c r="B90" i="11"/>
  <c r="D90" i="11"/>
  <c r="B91" i="11"/>
  <c r="D91" i="11"/>
  <c r="B92" i="11"/>
  <c r="D92" i="11"/>
  <c r="B93" i="11"/>
  <c r="D93" i="11"/>
  <c r="B94" i="11"/>
  <c r="B95" i="11"/>
  <c r="B96" i="11"/>
  <c r="A70" i="11"/>
  <c r="C67" i="11"/>
  <c r="C68" i="11"/>
  <c r="C69" i="11"/>
  <c r="C70" i="11"/>
  <c r="B67" i="11"/>
  <c r="B68" i="11"/>
  <c r="B69" i="11"/>
  <c r="B70" i="11"/>
  <c r="A62" i="11"/>
  <c r="A54" i="11"/>
  <c r="A38" i="11"/>
  <c r="A26" i="11"/>
  <c r="C31" i="11"/>
  <c r="C32" i="11"/>
  <c r="C33" i="11"/>
  <c r="C35" i="11"/>
  <c r="C36" i="11"/>
  <c r="C37" i="11"/>
  <c r="C38" i="11"/>
  <c r="B31" i="11"/>
  <c r="B33" i="11"/>
  <c r="B35" i="11"/>
  <c r="B36" i="11"/>
  <c r="B37" i="11"/>
  <c r="B38" i="11"/>
  <c r="C24" i="11"/>
  <c r="D24" i="11"/>
  <c r="C25" i="11"/>
  <c r="C26" i="11"/>
  <c r="C18" i="11"/>
  <c r="D18" i="11"/>
  <c r="C19" i="11"/>
  <c r="C20" i="11"/>
  <c r="C21" i="11"/>
  <c r="C22" i="11"/>
  <c r="D22" i="11"/>
  <c r="C23" i="11"/>
  <c r="B25" i="11"/>
  <c r="B26" i="1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8" i="13"/>
  <c r="E69" i="13"/>
  <c r="B66" i="13"/>
  <c r="B67" i="13"/>
  <c r="B68" i="13"/>
  <c r="B69" i="13"/>
  <c r="A53" i="13"/>
  <c r="H36" i="13"/>
  <c r="E36" i="13"/>
  <c r="B36" i="13"/>
  <c r="H24" i="13"/>
  <c r="E24" i="13"/>
  <c r="B24" i="13"/>
  <c r="B99" i="4"/>
  <c r="E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c r="AB222" i="20"/>
  <c r="AB221" i="20"/>
  <c r="AB220" i="20"/>
  <c r="AB219" i="20"/>
  <c r="AB218" i="20"/>
  <c r="AB217" i="20"/>
  <c r="AB216"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O65" i="20"/>
  <c r="AK78" i="20"/>
  <c r="A3" i="15"/>
  <c r="AY1015" i="3"/>
  <c r="R10" i="4"/>
  <c r="B59" i="4"/>
  <c r="C80" i="11"/>
  <c r="C81" i="11"/>
  <c r="B80" i="11"/>
  <c r="B81" i="11"/>
  <c r="I96" i="13"/>
  <c r="J96" i="13"/>
  <c r="J81" i="13"/>
  <c r="I81" i="13"/>
  <c r="G81" i="13"/>
  <c r="D81" i="13"/>
  <c r="C81" i="13"/>
  <c r="H80" i="13"/>
  <c r="E80" i="13"/>
  <c r="B80" i="13"/>
  <c r="F81" i="4"/>
  <c r="G81" i="4"/>
  <c r="H81" i="4"/>
  <c r="I81" i="4"/>
  <c r="J81" i="4"/>
  <c r="K81" i="4"/>
  <c r="L81" i="4"/>
  <c r="M81" i="4"/>
  <c r="N81" i="4"/>
  <c r="O81" i="4"/>
  <c r="P81" i="4"/>
  <c r="Q81" i="4"/>
  <c r="H81" i="13"/>
  <c r="B80" i="4"/>
  <c r="E80" i="4"/>
  <c r="R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79" i="13"/>
  <c r="E65" i="13"/>
  <c r="E53" i="13"/>
  <c r="E52" i="13"/>
  <c r="E51" i="13"/>
  <c r="E50" i="13"/>
  <c r="E49" i="13"/>
  <c r="E48" i="13"/>
  <c r="E47" i="13"/>
  <c r="E46" i="13"/>
  <c r="E45" i="13"/>
  <c r="E43" i="13"/>
  <c r="E41" i="13"/>
  <c r="E37" i="13"/>
  <c r="E34" i="13"/>
  <c r="E30"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79" i="13"/>
  <c r="B76" i="13"/>
  <c r="B74" i="13"/>
  <c r="B73" i="13"/>
  <c r="B72" i="13"/>
  <c r="B65" i="13"/>
  <c r="B61" i="13"/>
  <c r="B60" i="13"/>
  <c r="B59" i="13"/>
  <c r="B58" i="13"/>
  <c r="B57" i="13"/>
  <c r="B56" i="13"/>
  <c r="B53" i="13"/>
  <c r="B52" i="13"/>
  <c r="B51" i="13"/>
  <c r="B50" i="13"/>
  <c r="B49" i="13"/>
  <c r="B48" i="13"/>
  <c r="B47" i="13"/>
  <c r="B46" i="13"/>
  <c r="B45" i="13"/>
  <c r="B43"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D104" i="13"/>
  <c r="C104" i="13"/>
  <c r="G96" i="13"/>
  <c r="D96" i="13"/>
  <c r="C96" i="13"/>
  <c r="D77" i="13"/>
  <c r="C77" i="13"/>
  <c r="J70" i="13"/>
  <c r="I70" i="13"/>
  <c r="G70" i="13"/>
  <c r="D70" i="13"/>
  <c r="C70" i="13"/>
  <c r="D62" i="13"/>
  <c r="C62" i="13"/>
  <c r="J54" i="13"/>
  <c r="I54" i="13"/>
  <c r="G54" i="13"/>
  <c r="D54" i="13"/>
  <c r="C54" i="13"/>
  <c r="J42" i="13"/>
  <c r="I42" i="13"/>
  <c r="G42" i="13"/>
  <c r="D42" i="13"/>
  <c r="C42" i="13"/>
  <c r="J38" i="13"/>
  <c r="I38" i="13"/>
  <c r="G38" i="13"/>
  <c r="D38" i="13"/>
  <c r="C38" i="13"/>
  <c r="J26" i="13"/>
  <c r="I26" i="13"/>
  <c r="I11" i="13"/>
  <c r="G26" i="13"/>
  <c r="D26" i="13"/>
  <c r="C26" i="13"/>
  <c r="J11" i="13"/>
  <c r="D11" i="13"/>
  <c r="C11" i="13"/>
  <c r="C8" i="13"/>
  <c r="D8" i="13"/>
  <c r="H104" i="13"/>
  <c r="R103" i="4"/>
  <c r="R102" i="4"/>
  <c r="R101" i="4"/>
  <c r="R99" i="4"/>
  <c r="R104" i="4"/>
  <c r="R95" i="4"/>
  <c r="R94" i="4"/>
  <c r="R87" i="4"/>
  <c r="R86" i="4"/>
  <c r="R85" i="4"/>
  <c r="R76" i="4"/>
  <c r="R72" i="4"/>
  <c r="R73" i="4"/>
  <c r="R74" i="4"/>
  <c r="R69" i="4"/>
  <c r="R61" i="4"/>
  <c r="R60" i="4"/>
  <c r="R59" i="4"/>
  <c r="R58" i="4"/>
  <c r="R57" i="4"/>
  <c r="R56" i="4"/>
  <c r="R53" i="4"/>
  <c r="R47" i="4"/>
  <c r="R41" i="4"/>
  <c r="R34" i="4"/>
  <c r="R27" i="4"/>
  <c r="R25" i="4"/>
  <c r="R23" i="4"/>
  <c r="R22" i="4"/>
  <c r="R21" i="4"/>
  <c r="R20" i="4"/>
  <c r="R19" i="4"/>
  <c r="R18" i="4"/>
  <c r="R17" i="4"/>
  <c r="R15" i="4"/>
  <c r="R14" i="4"/>
  <c r="R13" i="4"/>
  <c r="R9" i="4"/>
  <c r="R11" i="4"/>
  <c r="R7" i="4"/>
  <c r="R6" i="4"/>
  <c r="R5" i="4"/>
  <c r="R4" i="4"/>
  <c r="R8" i="4"/>
  <c r="B5" i="11"/>
  <c r="D5" i="11"/>
  <c r="C5" i="11"/>
  <c r="B6" i="11"/>
  <c r="C6" i="11"/>
  <c r="D6" i="11"/>
  <c r="B7" i="11"/>
  <c r="D7" i="11"/>
  <c r="C7" i="11"/>
  <c r="C8" i="11"/>
  <c r="B8" i="11"/>
  <c r="B10" i="11"/>
  <c r="B11" i="11"/>
  <c r="C10" i="11"/>
  <c r="C11" i="11"/>
  <c r="B14" i="11"/>
  <c r="C14" i="11"/>
  <c r="B15" i="11"/>
  <c r="C15" i="11"/>
  <c r="B16" i="11"/>
  <c r="C16" i="11"/>
  <c r="B18" i="11"/>
  <c r="B19" i="11"/>
  <c r="B20" i="11"/>
  <c r="D20" i="11"/>
  <c r="B21" i="11"/>
  <c r="B22" i="11"/>
  <c r="B23" i="11"/>
  <c r="B24" i="11"/>
  <c r="B28" i="11"/>
  <c r="C28" i="11"/>
  <c r="B30" i="11"/>
  <c r="C30" i="11"/>
  <c r="D30" i="11"/>
  <c r="B41" i="11"/>
  <c r="C41" i="11"/>
  <c r="C43" i="11"/>
  <c r="C42" i="11"/>
  <c r="B42" i="11"/>
  <c r="B44" i="11"/>
  <c r="C44" i="11"/>
  <c r="B46" i="11"/>
  <c r="C46" i="11"/>
  <c r="D46" i="11"/>
  <c r="B47" i="11"/>
  <c r="C47" i="11"/>
  <c r="B48" i="11"/>
  <c r="B49" i="11"/>
  <c r="B50" i="11"/>
  <c r="B51" i="11"/>
  <c r="C51" i="11"/>
  <c r="D51" i="11"/>
  <c r="B52" i="11"/>
  <c r="B53" i="11"/>
  <c r="C48" i="11"/>
  <c r="D48" i="11"/>
  <c r="C49" i="11"/>
  <c r="C50" i="11"/>
  <c r="D50" i="11"/>
  <c r="C52" i="11"/>
  <c r="C53" i="11"/>
  <c r="D53" i="11"/>
  <c r="B57" i="11"/>
  <c r="C57" i="11"/>
  <c r="B58" i="11"/>
  <c r="C58" i="11"/>
  <c r="C63" i="11"/>
  <c r="B59" i="11"/>
  <c r="B63" i="11"/>
  <c r="C59" i="11"/>
  <c r="B60" i="11"/>
  <c r="C60" i="11"/>
  <c r="B61" i="11"/>
  <c r="C61" i="11"/>
  <c r="B62" i="11"/>
  <c r="C62" i="11"/>
  <c r="B66" i="11"/>
  <c r="B71" i="11"/>
  <c r="C66" i="11"/>
  <c r="B73" i="11"/>
  <c r="C73" i="11"/>
  <c r="B74" i="11"/>
  <c r="C74" i="11"/>
  <c r="B75" i="11"/>
  <c r="C75" i="11"/>
  <c r="B76" i="11"/>
  <c r="B78" i="11"/>
  <c r="B77" i="11"/>
  <c r="C77" i="11"/>
  <c r="B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H26" i="13"/>
  <c r="H38" i="13"/>
  <c r="H42" i="13"/>
  <c r="H54" i="13"/>
  <c r="H70" i="13"/>
  <c r="H96" i="13"/>
  <c r="B104" i="13"/>
  <c r="B104" i="4"/>
  <c r="E104" i="13"/>
  <c r="F2" i="4"/>
  <c r="G2" i="4"/>
  <c r="H2" i="4"/>
  <c r="I2" i="4"/>
  <c r="J2" i="4"/>
  <c r="K2" i="4"/>
  <c r="L2" i="4"/>
  <c r="M2" i="4"/>
  <c r="N2" i="4"/>
  <c r="O2" i="4"/>
  <c r="P2" i="4"/>
  <c r="Q2" i="4"/>
  <c r="B4" i="4"/>
  <c r="B5" i="4"/>
  <c r="B6" i="4"/>
  <c r="B7" i="4"/>
  <c r="E8" i="4"/>
  <c r="E12"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c r="F97" i="4"/>
  <c r="F105" i="4"/>
  <c r="F42" i="4"/>
  <c r="F54" i="4"/>
  <c r="F62" i="4"/>
  <c r="N11" i="4"/>
  <c r="O11" i="4"/>
  <c r="B13" i="4"/>
  <c r="B14"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R30" i="4"/>
  <c r="B32" i="4"/>
  <c r="R32" i="4"/>
  <c r="B34" i="4"/>
  <c r="B35" i="4"/>
  <c r="R35" i="4"/>
  <c r="B37" i="4"/>
  <c r="R37" i="4"/>
  <c r="G38" i="4"/>
  <c r="G63" i="4"/>
  <c r="G97" i="4"/>
  <c r="G105" i="4"/>
  <c r="H38" i="4"/>
  <c r="K38" i="4"/>
  <c r="L38" i="4"/>
  <c r="O38" i="4"/>
  <c r="P38" i="4"/>
  <c r="P42" i="4"/>
  <c r="P54" i="4"/>
  <c r="P62" i="4"/>
  <c r="P70" i="4"/>
  <c r="P77" i="4"/>
  <c r="P96" i="4"/>
  <c r="P104" i="4"/>
  <c r="Q38" i="4"/>
  <c r="B40" i="4"/>
  <c r="E40" i="4"/>
  <c r="B41" i="4"/>
  <c r="G42" i="4"/>
  <c r="H42" i="4"/>
  <c r="K42" i="4"/>
  <c r="L42" i="4"/>
  <c r="O42" i="4"/>
  <c r="Q42" i="4"/>
  <c r="B43" i="4"/>
  <c r="R43" i="4"/>
  <c r="B45" i="4"/>
  <c r="E45" i="4"/>
  <c r="B46" i="4"/>
  <c r="B47" i="4"/>
  <c r="B48" i="4"/>
  <c r="B49" i="4"/>
  <c r="R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R65" i="4"/>
  <c r="F70" i="4"/>
  <c r="G70" i="4"/>
  <c r="H70" i="4"/>
  <c r="I70" i="4"/>
  <c r="K70" i="4"/>
  <c r="L70" i="4"/>
  <c r="Q70" i="4"/>
  <c r="B72" i="4"/>
  <c r="B73" i="4"/>
  <c r="B74" i="4"/>
  <c r="B76" i="4"/>
  <c r="F77" i="4"/>
  <c r="G77" i="4"/>
  <c r="H77" i="4"/>
  <c r="I77" i="4"/>
  <c r="K77" i="4"/>
  <c r="L77" i="4"/>
  <c r="Q77" i="4"/>
  <c r="B79" i="4"/>
  <c r="E79" i="4"/>
  <c r="B83" i="4"/>
  <c r="E83" i="4"/>
  <c r="B84" i="4"/>
  <c r="E84" i="4"/>
  <c r="R84" i="4"/>
  <c r="B87" i="4"/>
  <c r="B88" i="4"/>
  <c r="E88" i="4"/>
  <c r="R88" i="4"/>
  <c r="B89" i="4"/>
  <c r="E89" i="4"/>
  <c r="R89" i="4"/>
  <c r="B90" i="4"/>
  <c r="E90" i="4"/>
  <c r="R90" i="4"/>
  <c r="B91" i="4"/>
  <c r="E91" i="4"/>
  <c r="R91" i="4"/>
  <c r="B92" i="4"/>
  <c r="E92" i="4"/>
  <c r="R92" i="4"/>
  <c r="B93" i="4"/>
  <c r="E93" i="4"/>
  <c r="R93" i="4"/>
  <c r="B94" i="4"/>
  <c r="B95" i="4"/>
  <c r="F96" i="4"/>
  <c r="G96" i="4"/>
  <c r="H96" i="4"/>
  <c r="I96" i="4"/>
  <c r="K96" i="4"/>
  <c r="L96" i="4"/>
  <c r="Q96" i="4"/>
  <c r="B101" i="4"/>
  <c r="B102" i="4"/>
  <c r="B103" i="4"/>
  <c r="E104" i="4"/>
  <c r="F104" i="4"/>
  <c r="G104" i="4"/>
  <c r="H104" i="4"/>
  <c r="I104" i="4"/>
  <c r="K104" i="4"/>
  <c r="L104" i="4"/>
  <c r="Q104" i="4"/>
  <c r="J108" i="4"/>
  <c r="K108" i="4"/>
  <c r="L108" i="4"/>
  <c r="M108" i="4"/>
  <c r="N108" i="4"/>
  <c r="O108" i="4"/>
  <c r="P108" i="4"/>
  <c r="Q108" i="4"/>
  <c r="B131" i="4"/>
  <c r="I184" i="3"/>
  <c r="W418" i="3"/>
  <c r="AF418" i="3"/>
  <c r="AP571"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DR632" i="3" s="1"/>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8" i="3"/>
  <c r="AH719" i="3" s="1"/>
  <c r="BA669" i="3"/>
  <c r="AH720" i="3" s="1"/>
  <c r="BA670" i="3"/>
  <c r="G667" i="3"/>
  <c r="Z667" i="3"/>
  <c r="BA671" i="3"/>
  <c r="BA672" i="3"/>
  <c r="BA673" i="3"/>
  <c r="G675" i="3"/>
  <c r="Z675" i="3"/>
  <c r="BA679" i="3"/>
  <c r="BA680" i="3"/>
  <c r="BA681" i="3"/>
  <c r="BA682" i="3"/>
  <c r="BA683" i="3"/>
  <c r="BA684" i="3"/>
  <c r="BA685" i="3"/>
  <c r="BA686" i="3"/>
  <c r="G683" i="3"/>
  <c r="Z683" i="3"/>
  <c r="BA687" i="3"/>
  <c r="BA688" i="3"/>
  <c r="BA689" i="3"/>
  <c r="BA690"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D54" i="11"/>
  <c r="J63" i="13"/>
  <c r="J97" i="13"/>
  <c r="J105" i="13"/>
  <c r="J107" i="13"/>
  <c r="L12" i="4"/>
  <c r="D70" i="11"/>
  <c r="I12" i="4"/>
  <c r="G12" i="4"/>
  <c r="L63" i="4"/>
  <c r="L97" i="4"/>
  <c r="L105" i="4"/>
  <c r="Q12" i="4"/>
  <c r="B11" i="4"/>
  <c r="O63" i="4"/>
  <c r="O97" i="4"/>
  <c r="O105" i="4"/>
  <c r="D10" i="11"/>
  <c r="G63" i="13"/>
  <c r="G97" i="13"/>
  <c r="G105" i="13"/>
  <c r="G107" i="13"/>
  <c r="D61" i="11"/>
  <c r="D57" i="11"/>
  <c r="D8" i="11"/>
  <c r="D85" i="11"/>
  <c r="D102" i="11"/>
  <c r="K12" i="4"/>
  <c r="C12" i="13"/>
  <c r="J12" i="4"/>
  <c r="O12" i="4"/>
  <c r="I63" i="4"/>
  <c r="I97" i="4"/>
  <c r="I105" i="4"/>
  <c r="D25" i="11"/>
  <c r="B11" i="13"/>
  <c r="D12" i="4"/>
  <c r="H12" i="4"/>
  <c r="D23" i="11"/>
  <c r="D73" i="11"/>
  <c r="D15" i="11"/>
  <c r="D63" i="13"/>
  <c r="D97" i="13"/>
  <c r="D105" i="13"/>
  <c r="D14" i="11"/>
  <c r="Q63" i="4"/>
  <c r="Q97" i="4"/>
  <c r="Q105" i="4"/>
  <c r="C105" i="11"/>
  <c r="B105" i="11"/>
  <c r="D105" i="11"/>
  <c r="D87" i="11"/>
  <c r="N63" i="4"/>
  <c r="N97" i="4"/>
  <c r="N105" i="4"/>
  <c r="N12" i="4"/>
  <c r="H63" i="4"/>
  <c r="H97" i="4"/>
  <c r="H105" i="4"/>
  <c r="F12" i="4"/>
  <c r="D60" i="11"/>
  <c r="M12" i="4"/>
  <c r="D74" i="11"/>
  <c r="D59" i="11"/>
  <c r="P63" i="4"/>
  <c r="P97" i="4"/>
  <c r="P105" i="4"/>
  <c r="D12" i="13"/>
  <c r="D100" i="11"/>
  <c r="D62" i="11"/>
  <c r="D101" i="11"/>
  <c r="R62" i="4"/>
  <c r="C63" i="13"/>
  <c r="C97" i="13"/>
  <c r="C105" i="13"/>
  <c r="D75" i="11"/>
  <c r="D28" i="11"/>
  <c r="D103" i="11"/>
  <c r="D88" i="11"/>
  <c r="D42" i="11"/>
  <c r="D21" i="11"/>
  <c r="D16" i="11"/>
  <c r="B12" i="11"/>
  <c r="R26" i="4"/>
  <c r="AD199" i="20"/>
  <c r="D77" i="11"/>
  <c r="D47" i="11"/>
  <c r="M63" i="4"/>
  <c r="M97" i="4"/>
  <c r="M105" i="4"/>
  <c r="J63" i="4"/>
  <c r="J97" i="4"/>
  <c r="J105" i="4"/>
  <c r="C12" i="11"/>
  <c r="K63" i="4"/>
  <c r="K97" i="4"/>
  <c r="K105" i="4"/>
  <c r="D104" i="11"/>
  <c r="D11" i="11"/>
  <c r="D12" i="11"/>
  <c r="H63" i="13"/>
  <c r="H97" i="13"/>
  <c r="D96" i="11"/>
  <c r="H105" i="13"/>
  <c r="H107" i="13"/>
  <c r="AD11" i="15"/>
  <c r="G67" i="21"/>
  <c r="AD23" i="15"/>
  <c r="AD26" i="15"/>
  <c r="AA29" i="7"/>
  <c r="R44" i="21"/>
  <c r="O29" i="7"/>
  <c r="C798" i="3"/>
  <c r="G40" i="7"/>
  <c r="G43"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AY1010" i="3"/>
  <c r="AF1016" i="3"/>
  <c r="AP364" i="20"/>
  <c r="AQ364" i="20"/>
  <c r="AK524" i="20"/>
  <c r="T802" i="20"/>
  <c r="AF802" i="20"/>
  <c r="Y7" i="15"/>
  <c r="AI11" i="15"/>
  <c r="AI23" i="15"/>
  <c r="AI26" i="15"/>
  <c r="AI7" i="15"/>
  <c r="AG29" i="7"/>
  <c r="AO641" i="3"/>
  <c r="K29" i="7"/>
  <c r="S29" i="7"/>
  <c r="AG40" i="7"/>
  <c r="AG43" i="7"/>
  <c r="O30" i="21"/>
  <c r="S40" i="7"/>
  <c r="S43" i="7"/>
  <c r="AK172" i="20"/>
  <c r="AP355" i="20"/>
  <c r="AQ355" i="20"/>
  <c r="AS349" i="20"/>
  <c r="T805" i="20"/>
  <c r="AO17" i="20"/>
  <c r="AO36" i="20"/>
  <c r="AK56" i="20"/>
  <c r="T797" i="20"/>
  <c r="AF797" i="20"/>
  <c r="R30" i="21"/>
  <c r="T44" i="21"/>
  <c r="P44" i="21" a="1"/>
  <c r="P44" i="21" s="1"/>
  <c r="G32" i="7"/>
  <c r="I32" i="7"/>
  <c r="K32" i="7"/>
  <c r="M32" i="7"/>
  <c r="O32" i="7"/>
  <c r="Q32" i="7"/>
  <c r="S32" i="7"/>
  <c r="U32" i="7"/>
  <c r="W32" i="7"/>
  <c r="Y32" i="7"/>
  <c r="AA32" i="7"/>
  <c r="AC32" i="7"/>
  <c r="AE32" i="7"/>
  <c r="AG32" i="7"/>
  <c r="AC40" i="7"/>
  <c r="AC43" i="7"/>
  <c r="I40" i="7"/>
  <c r="I43" i="7"/>
  <c r="T30" i="21"/>
  <c r="P43" i="21" a="1"/>
  <c r="P43" i="21" s="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R28" i="21"/>
  <c r="I29" i="7"/>
  <c r="Q28" i="21" a="1"/>
  <c r="Q28" i="21" s="1"/>
  <c r="O28" i="21"/>
  <c r="AG445" i="3"/>
  <c r="AD27" i="15"/>
  <c r="AD28" i="15"/>
  <c r="P30" i="21" a="1"/>
  <c r="P30" i="21" s="1"/>
  <c r="S24" i="21"/>
  <c r="O27" i="21"/>
  <c r="P24" i="21" a="1"/>
  <c r="P24" i="21" s="1"/>
  <c r="O24" i="21"/>
  <c r="D26" i="11"/>
  <c r="S30" i="21"/>
  <c r="O40" i="21"/>
  <c r="T7" i="15"/>
  <c r="E43" i="7"/>
  <c r="AC29" i="7"/>
  <c r="M29" i="7"/>
  <c r="Q44" i="21" a="1"/>
  <c r="Q44" i="21" s="1"/>
  <c r="Q40" i="7"/>
  <c r="Q43" i="7"/>
  <c r="U40" i="7"/>
  <c r="U43" i="7"/>
  <c r="G29" i="7"/>
  <c r="Q29" i="7"/>
  <c r="O36" i="21"/>
  <c r="AA40" i="7"/>
  <c r="AA43" i="7"/>
  <c r="Y40" i="7"/>
  <c r="Y43" i="7"/>
  <c r="M40" i="7"/>
  <c r="M43" i="7"/>
  <c r="AE29" i="7"/>
  <c r="P36" i="21" a="1"/>
  <c r="P36" i="21" s="1"/>
  <c r="S28" i="21"/>
  <c r="AE40" i="7"/>
  <c r="AE43" i="7"/>
  <c r="W40" i="7"/>
  <c r="W43" i="7"/>
  <c r="W29" i="7"/>
  <c r="P40" i="21" a="1"/>
  <c r="P40" i="21" s="1"/>
  <c r="O40" i="7"/>
  <c r="O43" i="7"/>
  <c r="U29" i="7"/>
  <c r="P31" i="21" a="1"/>
  <c r="P31" i="21" s="1"/>
  <c r="Q25" i="21" a="1"/>
  <c r="Q25" i="21" s="1"/>
  <c r="S36" i="21"/>
  <c r="P27" i="21" a="1"/>
  <c r="P27" i="21"/>
  <c r="T38" i="21"/>
  <c r="S42" i="21"/>
  <c r="T27" i="21"/>
  <c r="BS641" i="3"/>
  <c r="BW642" i="3"/>
  <c r="S33" i="21"/>
  <c r="CM641" i="3"/>
  <c r="CQ642" i="3"/>
  <c r="BX641" i="3"/>
  <c r="CB642" i="3"/>
  <c r="CC641" i="3"/>
  <c r="CG642" i="3"/>
  <c r="Q39" i="21" a="1"/>
  <c r="Q39" i="21" s="1"/>
  <c r="R39" i="21"/>
  <c r="Q27" i="21" a="1"/>
  <c r="Q27" i="21" s="1"/>
  <c r="CH641" i="3"/>
  <c r="CL642" i="3"/>
  <c r="CM655" i="3"/>
  <c r="CQ656" i="3"/>
  <c r="AC797" i="3"/>
  <c r="CX655" i="3"/>
  <c r="Q35" i="21" a="1"/>
  <c r="Q35" i="21" s="1"/>
  <c r="Q43" i="21" a="1"/>
  <c r="Q43" i="21" s="1"/>
  <c r="O35" i="21"/>
  <c r="Q31" i="21" a="1"/>
  <c r="Q31" i="21" s="1"/>
  <c r="P28" i="21" a="1"/>
  <c r="P28" i="21" s="1"/>
  <c r="R987" i="3"/>
  <c r="G121" i="21"/>
  <c r="G123" i="21"/>
  <c r="I15" i="21"/>
  <c r="R986" i="3"/>
  <c r="R985" i="3"/>
  <c r="AC777" i="3"/>
  <c r="O34" i="21"/>
  <c r="S41" i="21"/>
  <c r="O44" i="21"/>
  <c r="R41" i="21"/>
  <c r="T41" i="21"/>
  <c r="Q23" i="21" a="1"/>
  <c r="Q23" i="21" s="1"/>
  <c r="Q40" i="21" a="1"/>
  <c r="Q40" i="21" s="1"/>
  <c r="O41" i="21"/>
  <c r="R40" i="21"/>
  <c r="T40" i="21"/>
  <c r="BG243" i="3"/>
  <c r="BO245" i="3"/>
  <c r="T267" i="3"/>
  <c r="P34" i="21" a="1"/>
  <c r="P34" i="21" s="1"/>
  <c r="P41" i="21" a="1"/>
  <c r="P41" i="21" s="1"/>
  <c r="Q29" i="21" a="1"/>
  <c r="Q29" i="21" s="1"/>
  <c r="Q34" i="21" a="1"/>
  <c r="Q34" i="21" s="1"/>
  <c r="R38" i="21"/>
  <c r="T35" i="21"/>
  <c r="T23" i="21"/>
  <c r="BN641" i="3"/>
  <c r="BR642" i="3"/>
  <c r="P35" i="21" a="1"/>
  <c r="P35" i="21" s="1"/>
  <c r="R35" i="21"/>
  <c r="R989" i="3"/>
  <c r="BX655" i="3"/>
  <c r="CB656" i="3"/>
  <c r="DC652" i="3"/>
  <c r="DC655" i="3"/>
  <c r="R32" i="21"/>
  <c r="Q32" i="21" a="1"/>
  <c r="Q32" i="21" s="1"/>
  <c r="O32" i="21"/>
  <c r="P32" i="21" a="1"/>
  <c r="P32" i="21" s="1"/>
  <c r="T32" i="21"/>
  <c r="S32" i="21"/>
  <c r="S26" i="21"/>
  <c r="T26" i="21"/>
  <c r="O26" i="21"/>
  <c r="P26" i="21" a="1"/>
  <c r="P26" i="21" s="1"/>
  <c r="Q26" i="21" a="1"/>
  <c r="Q26" i="21" s="1"/>
  <c r="BS655" i="3"/>
  <c r="BW656" i="3"/>
  <c r="T20" i="21"/>
  <c r="T37" i="21"/>
  <c r="Q37" i="21" a="1"/>
  <c r="Q37" i="21" s="1"/>
  <c r="P37" i="21" a="1"/>
  <c r="P37" i="21"/>
  <c r="R37" i="21"/>
  <c r="S37" i="21"/>
  <c r="DR655" i="3"/>
  <c r="CH655" i="3"/>
  <c r="CL656" i="3"/>
  <c r="DM645" i="3"/>
  <c r="DM655" i="3"/>
  <c r="DH655" i="3"/>
  <c r="CC655" i="3"/>
  <c r="CG656" i="3"/>
  <c r="CS648" i="3"/>
  <c r="CS655" i="3"/>
  <c r="BN655" i="3"/>
  <c r="P39" i="21" a="1"/>
  <c r="P39" i="21" s="1"/>
  <c r="O39" i="21"/>
  <c r="R31" i="21"/>
  <c r="T36" i="21"/>
  <c r="O31" i="21"/>
  <c r="T31" i="21"/>
  <c r="Q36" i="21" a="1"/>
  <c r="Q36" i="21" s="1"/>
  <c r="O42" i="21"/>
  <c r="O33" i="21"/>
  <c r="R27" i="21"/>
  <c r="R25" i="21"/>
  <c r="T39" i="21"/>
  <c r="R29" i="21"/>
  <c r="S38" i="21"/>
  <c r="S29" i="21"/>
  <c r="P38" i="21" a="1"/>
  <c r="P38" i="21" s="1"/>
  <c r="P29" i="21" a="1"/>
  <c r="P29" i="21" s="1"/>
  <c r="T29" i="21"/>
  <c r="Q38" i="21" a="1"/>
  <c r="Q38" i="21" s="1"/>
  <c r="R43" i="21"/>
  <c r="P25" i="21" a="1"/>
  <c r="P25" i="21" s="1"/>
  <c r="T43" i="21"/>
  <c r="P33" i="21" a="1"/>
  <c r="P33" i="21" s="1"/>
  <c r="P42" i="21" a="1"/>
  <c r="P42" i="21" s="1"/>
  <c r="R42" i="21"/>
  <c r="R34" i="21"/>
  <c r="O25" i="21"/>
  <c r="T42" i="21"/>
  <c r="T34" i="21"/>
  <c r="Q33" i="21" a="1"/>
  <c r="Q33" i="21" s="1"/>
  <c r="R33" i="21"/>
  <c r="R24" i="21"/>
  <c r="T25" i="21"/>
  <c r="O43" i="21"/>
  <c r="Q24" i="21" a="1"/>
  <c r="Q24" i="21" s="1"/>
  <c r="E25" i="21"/>
  <c r="E22" i="21"/>
  <c r="F22" i="21" s="1"/>
  <c r="E26" i="21"/>
  <c r="AS351" i="20"/>
  <c r="AS347" i="20"/>
  <c r="AK458" i="20"/>
  <c r="T806" i="20"/>
  <c r="AF806" i="20"/>
  <c r="T804" i="20"/>
  <c r="AF804" i="20"/>
  <c r="T793" i="20"/>
  <c r="AF793" i="20"/>
  <c r="T27" i="15"/>
  <c r="CS642" i="3"/>
  <c r="CS641" i="3"/>
  <c r="BR656" i="3"/>
  <c r="CS658" i="3"/>
  <c r="CS657" i="3"/>
  <c r="DR657" i="3"/>
  <c r="Y596" i="20"/>
  <c r="AP576" i="20"/>
  <c r="G15" i="7"/>
  <c r="G8" i="7"/>
  <c r="E9" i="7"/>
  <c r="O23" i="21"/>
  <c r="P23" i="21" s="1" a="1"/>
  <c r="P23" i="21" s="1"/>
  <c r="E24" i="21"/>
  <c r="DM632" i="3"/>
  <c r="BG703" i="3"/>
  <c r="BH676" i="3" s="1"/>
  <c r="BI676" i="3" s="1"/>
  <c r="BG632" i="3"/>
  <c r="X1047" i="3" s="1"/>
  <c r="S20" i="21"/>
  <c r="Y801" i="3"/>
  <c r="E4" i="7" s="1"/>
  <c r="E5" i="7" s="1"/>
  <c r="G53" i="21"/>
  <c r="G4" i="8"/>
  <c r="EH597" i="3"/>
  <c r="BS632" i="3"/>
  <c r="EC635" i="3" s="1"/>
  <c r="EC597" i="3"/>
  <c r="O20" i="21"/>
  <c r="P20" i="21" s="1" a="1"/>
  <c r="P20" i="21" s="1"/>
  <c r="EM597" i="3"/>
  <c r="D94" i="11"/>
  <c r="B82" i="11"/>
  <c r="D81" i="11"/>
  <c r="D44" i="11"/>
  <c r="E84" i="13"/>
  <c r="S96" i="4"/>
  <c r="E96" i="13"/>
  <c r="C71" i="11"/>
  <c r="D52" i="11"/>
  <c r="N186" i="27"/>
  <c r="B42" i="13"/>
  <c r="C34" i="11"/>
  <c r="D49" i="11"/>
  <c r="B55" i="11"/>
  <c r="D19" i="11"/>
  <c r="D33" i="11"/>
  <c r="D36" i="11"/>
  <c r="D35" i="11"/>
  <c r="C27" i="11"/>
  <c r="D27" i="11"/>
  <c r="B27" i="11"/>
  <c r="B26" i="13"/>
  <c r="C9" i="11"/>
  <c r="C13" i="11"/>
  <c r="B81" i="4"/>
  <c r="C82" i="11"/>
  <c r="D82" i="11"/>
  <c r="D80" i="11"/>
  <c r="D63" i="11"/>
  <c r="D58" i="11"/>
  <c r="B62" i="4"/>
  <c r="I15" i="7"/>
  <c r="G9" i="7"/>
  <c r="I8" i="7"/>
  <c r="K15" i="7"/>
  <c r="K8" i="7"/>
  <c r="I9" i="7"/>
  <c r="AP89" i="20"/>
  <c r="M15" i="7"/>
  <c r="K9" i="7"/>
  <c r="M8" i="7"/>
  <c r="O15" i="7"/>
  <c r="M9" i="7"/>
  <c r="O8" i="7"/>
  <c r="Q15" i="7"/>
  <c r="O9" i="7"/>
  <c r="Q8" i="7"/>
  <c r="S15" i="7"/>
  <c r="Q9" i="7"/>
  <c r="S8" i="7"/>
  <c r="U15" i="7"/>
  <c r="S9" i="7"/>
  <c r="U8" i="7"/>
  <c r="W15" i="7"/>
  <c r="U9" i="7"/>
  <c r="W8" i="7"/>
  <c r="Y15" i="7"/>
  <c r="Y8" i="7"/>
  <c r="W9" i="7"/>
  <c r="AA15" i="7"/>
  <c r="AA8" i="7"/>
  <c r="Y9" i="7"/>
  <c r="AC15" i="7"/>
  <c r="AA9" i="7"/>
  <c r="AC8" i="7"/>
  <c r="AE15" i="7"/>
  <c r="AC9" i="7"/>
  <c r="AE8" i="7"/>
  <c r="AG15" i="7"/>
  <c r="AE9" i="7"/>
  <c r="AG8" i="7"/>
  <c r="AG9" i="7"/>
  <c r="E52" i="4"/>
  <c r="R52" i="4"/>
  <c r="E51" i="4"/>
  <c r="R51" i="4"/>
  <c r="E50" i="4"/>
  <c r="R50" i="4"/>
  <c r="E48" i="4"/>
  <c r="R48" i="4"/>
  <c r="E46" i="4"/>
  <c r="R46" i="4"/>
  <c r="D95" i="11"/>
  <c r="D89" i="11"/>
  <c r="N193" i="27"/>
  <c r="D38" i="11"/>
  <c r="R79" i="4"/>
  <c r="R81" i="4"/>
  <c r="E81" i="4"/>
  <c r="B54" i="4"/>
  <c r="B31" i="4"/>
  <c r="R31" i="4"/>
  <c r="B32" i="11"/>
  <c r="D32" i="11"/>
  <c r="B70" i="4"/>
  <c r="C55" i="11"/>
  <c r="AK180" i="20"/>
  <c r="T800" i="20"/>
  <c r="AF800" i="20"/>
  <c r="T794" i="20"/>
  <c r="AF794" i="20"/>
  <c r="S42" i="4"/>
  <c r="E42" i="13"/>
  <c r="E40" i="13"/>
  <c r="K53" i="7"/>
  <c r="I58" i="7"/>
  <c r="D55" i="11"/>
  <c r="B97" i="11"/>
  <c r="C97" i="11"/>
  <c r="E70" i="4"/>
  <c r="R70" i="4"/>
  <c r="D71" i="11"/>
  <c r="D66" i="11"/>
  <c r="S54" i="4"/>
  <c r="E54" i="13"/>
  <c r="B54" i="13"/>
  <c r="E54" i="4"/>
  <c r="R45" i="4"/>
  <c r="R54" i="4"/>
  <c r="D41" i="11"/>
  <c r="R40" i="4"/>
  <c r="R42" i="4"/>
  <c r="E42" i="4"/>
  <c r="B43" i="11"/>
  <c r="D43" i="11"/>
  <c r="S38" i="4"/>
  <c r="E38" i="13"/>
  <c r="B34" i="11"/>
  <c r="D34" i="11"/>
  <c r="C38" i="4"/>
  <c r="C63" i="4"/>
  <c r="B63" i="13"/>
  <c r="D31" i="11"/>
  <c r="D38" i="4"/>
  <c r="D63" i="4"/>
  <c r="D97" i="4"/>
  <c r="D105" i="4"/>
  <c r="C39" i="11"/>
  <c r="R29" i="4"/>
  <c r="R38" i="4"/>
  <c r="E38" i="4"/>
  <c r="E29" i="13"/>
  <c r="C78" i="11"/>
  <c r="D78" i="11"/>
  <c r="D76" i="11"/>
  <c r="B75" i="4"/>
  <c r="E75" i="4"/>
  <c r="B75" i="13"/>
  <c r="B77" i="13"/>
  <c r="AC886" i="3"/>
  <c r="C96" i="4"/>
  <c r="B83" i="13"/>
  <c r="E96" i="4"/>
  <c r="R83" i="4"/>
  <c r="R96" i="4"/>
  <c r="D84" i="11"/>
  <c r="R12" i="4"/>
  <c r="B9" i="11"/>
  <c r="AI27" i="15"/>
  <c r="AI28" i="15"/>
  <c r="Y27" i="15"/>
  <c r="I19" i="7"/>
  <c r="G22" i="7"/>
  <c r="G35" i="7"/>
  <c r="E22" i="7"/>
  <c r="E35" i="7"/>
  <c r="D97" i="11"/>
  <c r="M53" i="7"/>
  <c r="K58" i="7"/>
  <c r="S63" i="4"/>
  <c r="E63" i="13"/>
  <c r="R63" i="4"/>
  <c r="E63" i="4"/>
  <c r="E97" i="4"/>
  <c r="E105" i="4"/>
  <c r="B38" i="4"/>
  <c r="B63" i="4"/>
  <c r="B38" i="13"/>
  <c r="B39" i="11"/>
  <c r="D39" i="11"/>
  <c r="C64" i="11"/>
  <c r="C98" i="11"/>
  <c r="C106" i="11"/>
  <c r="C97" i="4"/>
  <c r="B97" i="13"/>
  <c r="E77" i="4"/>
  <c r="R75" i="4"/>
  <c r="R77" i="4"/>
  <c r="B96" i="13"/>
  <c r="B96" i="4"/>
  <c r="D9" i="11"/>
  <c r="B64" i="11"/>
  <c r="B13" i="11"/>
  <c r="D13" i="11"/>
  <c r="I22" i="7"/>
  <c r="I35" i="7"/>
  <c r="K19" i="7"/>
  <c r="S97" i="4"/>
  <c r="S105" i="4"/>
  <c r="O53" i="7"/>
  <c r="M58" i="7"/>
  <c r="R97" i="4"/>
  <c r="R105" i="4"/>
  <c r="B97" i="4"/>
  <c r="C105" i="4"/>
  <c r="B98" i="11"/>
  <c r="D64" i="11"/>
  <c r="K22" i="7"/>
  <c r="K35" i="7"/>
  <c r="M19" i="7"/>
  <c r="E97" i="13"/>
  <c r="Q53" i="7"/>
  <c r="O58" i="7"/>
  <c r="AG258" i="20"/>
  <c r="B105" i="4"/>
  <c r="AC455" i="3"/>
  <c r="B105" i="13"/>
  <c r="S107" i="4"/>
  <c r="E105" i="13"/>
  <c r="B106" i="11"/>
  <c r="D106" i="11"/>
  <c r="D98" i="11"/>
  <c r="E70" i="7"/>
  <c r="M22" i="7"/>
  <c r="M35" i="7"/>
  <c r="O19" i="7"/>
  <c r="S53" i="7"/>
  <c r="Q58" i="7"/>
  <c r="AB255" i="20"/>
  <c r="AC454" i="3"/>
  <c r="F457" i="3"/>
  <c r="AB47" i="15"/>
  <c r="AB49" i="15"/>
  <c r="N183" i="27"/>
  <c r="AF540" i="20"/>
  <c r="E107" i="13"/>
  <c r="AC456" i="3"/>
  <c r="O22" i="7"/>
  <c r="O35" i="7"/>
  <c r="Q19" i="7"/>
  <c r="S58" i="7"/>
  <c r="U53" i="7"/>
  <c r="Y11" i="15"/>
  <c r="Y23" i="15"/>
  <c r="Y26" i="15"/>
  <c r="Y28" i="15"/>
  <c r="T11" i="15"/>
  <c r="T23" i="15"/>
  <c r="S19" i="7"/>
  <c r="Q22" i="7"/>
  <c r="Q35" i="7"/>
  <c r="Y64" i="15"/>
  <c r="Y68" i="15"/>
  <c r="W53" i="7"/>
  <c r="U58" i="7"/>
  <c r="T26" i="15"/>
  <c r="T28" i="15"/>
  <c r="T29" i="15"/>
  <c r="U19" i="7"/>
  <c r="S22" i="7"/>
  <c r="S35" i="7"/>
  <c r="Y53" i="7"/>
  <c r="W58" i="7"/>
  <c r="W19" i="7"/>
  <c r="U22" i="7"/>
  <c r="U35" i="7"/>
  <c r="AA53" i="7"/>
  <c r="Y58" i="7"/>
  <c r="Y19" i="7"/>
  <c r="W22" i="7"/>
  <c r="W35" i="7"/>
  <c r="AC53" i="7"/>
  <c r="AA58" i="7"/>
  <c r="Y22" i="7"/>
  <c r="Y35" i="7"/>
  <c r="AA19" i="7"/>
  <c r="AC58" i="7"/>
  <c r="AE53" i="7"/>
  <c r="AC19" i="7"/>
  <c r="AA22" i="7"/>
  <c r="AA35" i="7"/>
  <c r="AG53" i="7"/>
  <c r="AG58" i="7"/>
  <c r="AE58" i="7"/>
  <c r="AC22" i="7"/>
  <c r="AC35" i="7"/>
  <c r="AE19" i="7"/>
  <c r="AE22" i="7"/>
  <c r="AE35" i="7"/>
  <c r="AG19" i="7"/>
  <c r="AG22" i="7"/>
  <c r="AG35" i="7"/>
  <c r="DX632" i="3" l="1"/>
  <c r="Y800" i="3"/>
  <c r="BH673" i="3"/>
  <c r="BI673" i="3" s="1"/>
  <c r="EM632" i="3"/>
  <c r="T22" i="21"/>
  <c r="E99" i="20"/>
  <c r="DC632" i="3"/>
  <c r="E23" i="21"/>
  <c r="F23" i="21" s="1"/>
  <c r="G23" i="21" s="1"/>
  <c r="O22" i="21"/>
  <c r="P22" i="21" s="1" a="1"/>
  <c r="P22" i="21" s="1"/>
  <c r="CX632" i="3"/>
  <c r="Q22" i="21" a="1"/>
  <c r="Q22" i="21" s="1"/>
  <c r="Y69" i="15"/>
  <c r="V29" i="27"/>
  <c r="J20" i="27"/>
  <c r="BH701" i="3"/>
  <c r="BI701" i="3" s="1"/>
  <c r="M18" i="21"/>
  <c r="AC884" i="3"/>
  <c r="AC885" i="3" s="1"/>
  <c r="BH675" i="3"/>
  <c r="BI675" i="3" s="1"/>
  <c r="CH632" i="3"/>
  <c r="CH660" i="3" s="1"/>
  <c r="BH668" i="3"/>
  <c r="BI668" i="3" s="1"/>
  <c r="T21" i="21"/>
  <c r="G35" i="21" s="1" a="1"/>
  <c r="G35" i="21" s="1"/>
  <c r="G36" i="21" s="1"/>
  <c r="C757" i="3"/>
  <c r="O21" i="21"/>
  <c r="P21" i="21" s="1" a="1"/>
  <c r="P21" i="21" s="1"/>
  <c r="BH678" i="3"/>
  <c r="BI678" i="3" s="1"/>
  <c r="AN29" i="27"/>
  <c r="E98" i="20"/>
  <c r="AX679" i="20"/>
  <c r="BH698" i="3"/>
  <c r="BI698" i="3" s="1"/>
  <c r="Q21" i="21" a="1"/>
  <c r="Q21" i="21" s="1"/>
  <c r="EH632" i="3"/>
  <c r="J22" i="27"/>
  <c r="BH692" i="3"/>
  <c r="BI692" i="3" s="1"/>
  <c r="BH689" i="3"/>
  <c r="BI689" i="3" s="1"/>
  <c r="J26" i="27"/>
  <c r="ER639" i="3"/>
  <c r="BX632" i="3"/>
  <c r="EH657" i="3" s="1"/>
  <c r="BH680" i="3"/>
  <c r="BI680" i="3" s="1"/>
  <c r="I1051" i="3"/>
  <c r="AY1005" i="3" s="1"/>
  <c r="I1047" i="3"/>
  <c r="AY1004" i="3" s="1"/>
  <c r="CM632" i="3"/>
  <c r="EW642" i="3" s="1"/>
  <c r="BH686" i="3"/>
  <c r="BI686" i="3" s="1"/>
  <c r="J25" i="27"/>
  <c r="AB223" i="20"/>
  <c r="AB239" i="20" s="1"/>
  <c r="AB241" i="20" s="1"/>
  <c r="AB243" i="20" s="1"/>
  <c r="AB249" i="20" s="1"/>
  <c r="AD198" i="20" s="1"/>
  <c r="AD200" i="20" s="1"/>
  <c r="AG257" i="20" s="1"/>
  <c r="AG259" i="20" s="1"/>
  <c r="AK262" i="20" s="1"/>
  <c r="T801" i="20" s="1"/>
  <c r="AF801" i="20" s="1"/>
  <c r="BN632" i="3"/>
  <c r="DX654" i="3" s="1"/>
  <c r="CC632" i="3"/>
  <c r="EM649" i="3" s="1"/>
  <c r="S18" i="21"/>
  <c r="G44" i="21" s="1"/>
  <c r="G40" i="8"/>
  <c r="DH632" i="3"/>
  <c r="EC652" i="3"/>
  <c r="EC661" i="3"/>
  <c r="EC640" i="3"/>
  <c r="BT703" i="3"/>
  <c r="BU677" i="3" s="1"/>
  <c r="BV677" i="3" s="1"/>
  <c r="CS632" i="3"/>
  <c r="BH688" i="3"/>
  <c r="BI688" i="3" s="1"/>
  <c r="AJ1044" i="3"/>
  <c r="AP541" i="20" s="1"/>
  <c r="G22" i="21"/>
  <c r="AV116" i="20"/>
  <c r="AW112" i="20" s="1"/>
  <c r="AH29" i="27"/>
  <c r="DX665" i="3"/>
  <c r="DX664" i="3"/>
  <c r="DX637" i="3"/>
  <c r="DX650" i="3"/>
  <c r="EC651" i="3"/>
  <c r="EC654" i="3"/>
  <c r="EC641" i="3"/>
  <c r="EC653" i="3"/>
  <c r="EC658" i="3"/>
  <c r="EC644" i="3"/>
  <c r="EC667" i="3"/>
  <c r="EC642" i="3"/>
  <c r="EC647" i="3"/>
  <c r="EC638" i="3"/>
  <c r="EC645" i="3"/>
  <c r="EC643" i="3"/>
  <c r="EC663" i="3"/>
  <c r="EC666" i="3"/>
  <c r="EC662" i="3"/>
  <c r="EC639" i="3"/>
  <c r="EC664" i="3"/>
  <c r="EC655" i="3"/>
  <c r="EC637" i="3"/>
  <c r="EC656" i="3"/>
  <c r="EC665" i="3"/>
  <c r="BW634" i="3"/>
  <c r="EC648" i="3"/>
  <c r="J24" i="27"/>
  <c r="EC657" i="3"/>
  <c r="AG1044" i="3"/>
  <c r="EC650" i="3"/>
  <c r="R23" i="21"/>
  <c r="R20" i="21"/>
  <c r="J27" i="27"/>
  <c r="EC669" i="3"/>
  <c r="J23" i="27"/>
  <c r="EC668" i="3"/>
  <c r="EH669" i="3"/>
  <c r="EC660" i="3"/>
  <c r="EC646" i="3"/>
  <c r="BS660" i="3"/>
  <c r="AB986" i="3" s="1"/>
  <c r="AJ986" i="3" s="1"/>
  <c r="EC659" i="3"/>
  <c r="J19" i="27"/>
  <c r="P29" i="27"/>
  <c r="J21" i="27"/>
  <c r="EC649" i="3"/>
  <c r="EC632" i="3"/>
  <c r="EC636" i="3"/>
  <c r="AB29" i="27"/>
  <c r="G4" i="7"/>
  <c r="E27" i="21"/>
  <c r="BH682" i="3"/>
  <c r="BI682" i="3" s="1"/>
  <c r="J5" i="8"/>
  <c r="J40" i="8" s="1"/>
  <c r="BH690" i="3"/>
  <c r="BI690" i="3" s="1"/>
  <c r="BH687" i="3"/>
  <c r="BI687" i="3" s="1"/>
  <c r="BH694" i="3"/>
  <c r="BI694" i="3" s="1"/>
  <c r="BH693" i="3"/>
  <c r="BI693" i="3" s="1"/>
  <c r="BH674" i="3"/>
  <c r="BI674" i="3" s="1"/>
  <c r="BH679" i="3"/>
  <c r="BI679" i="3" s="1"/>
  <c r="BH685" i="3"/>
  <c r="BI685" i="3" s="1"/>
  <c r="BH700" i="3"/>
  <c r="BI700" i="3" s="1"/>
  <c r="BH671" i="3"/>
  <c r="BI671" i="3" s="1"/>
  <c r="BH677" i="3"/>
  <c r="BI677" i="3" s="1"/>
  <c r="BH691" i="3"/>
  <c r="BI691" i="3" s="1"/>
  <c r="ER658" i="3"/>
  <c r="BH697" i="3"/>
  <c r="BI697" i="3" s="1"/>
  <c r="BH695" i="3"/>
  <c r="BI695" i="3" s="1"/>
  <c r="BH669" i="3"/>
  <c r="BI669" i="3" s="1"/>
  <c r="BH683" i="3"/>
  <c r="BI683" i="3" s="1"/>
  <c r="EW598" i="3"/>
  <c r="BH681" i="3"/>
  <c r="BI681" i="3" s="1"/>
  <c r="I14" i="21"/>
  <c r="BH672" i="3"/>
  <c r="BI672" i="3" s="1"/>
  <c r="BH670" i="3"/>
  <c r="BI670" i="3" s="1"/>
  <c r="BH684" i="3"/>
  <c r="BI684" i="3" s="1"/>
  <c r="BH699" i="3"/>
  <c r="BI699" i="3" s="1"/>
  <c r="BH696" i="3"/>
  <c r="BI696" i="3" s="1"/>
  <c r="BH702" i="3"/>
  <c r="BI702" i="3" s="1"/>
  <c r="DX635" i="3" l="1"/>
  <c r="DX638" i="3"/>
  <c r="EH668" i="3"/>
  <c r="EH637" i="3"/>
  <c r="EH650" i="3"/>
  <c r="EM667" i="3"/>
  <c r="EM660" i="3"/>
  <c r="R21" i="21"/>
  <c r="EH655" i="3"/>
  <c r="DX667" i="3"/>
  <c r="DX669" i="3"/>
  <c r="AW115" i="20"/>
  <c r="EW648" i="3"/>
  <c r="ER647" i="3"/>
  <c r="ER659" i="3"/>
  <c r="EW651" i="3"/>
  <c r="ER652" i="3"/>
  <c r="ER666" i="3"/>
  <c r="EW662" i="3"/>
  <c r="EW652" i="3"/>
  <c r="EW661" i="3"/>
  <c r="ER654" i="3"/>
  <c r="R22" i="21"/>
  <c r="G38" i="21" s="1"/>
  <c r="G40" i="21" s="1"/>
  <c r="E10" i="21" s="1"/>
  <c r="ER649" i="3"/>
  <c r="ER663" i="3"/>
  <c r="EW666" i="3"/>
  <c r="EW655" i="3"/>
  <c r="EW635" i="3"/>
  <c r="ER638" i="3"/>
  <c r="ER645" i="3"/>
  <c r="EW649" i="3"/>
  <c r="EW643" i="3"/>
  <c r="ER655" i="3"/>
  <c r="EW650" i="3"/>
  <c r="EW639" i="3"/>
  <c r="ER668" i="3"/>
  <c r="EW660" i="3"/>
  <c r="EW664" i="3"/>
  <c r="ER667" i="3"/>
  <c r="ER637" i="3"/>
  <c r="ER653" i="3"/>
  <c r="EW638" i="3"/>
  <c r="ER644" i="3"/>
  <c r="ER640" i="3"/>
  <c r="AW110" i="20"/>
  <c r="ER669" i="3"/>
  <c r="ER664" i="3"/>
  <c r="AX681" i="20"/>
  <c r="EH659" i="3"/>
  <c r="DX655" i="3"/>
  <c r="ER657" i="3"/>
  <c r="DX643" i="3"/>
  <c r="EH666" i="3"/>
  <c r="DX648" i="3"/>
  <c r="DX668" i="3"/>
  <c r="ER646" i="3"/>
  <c r="ER643" i="3"/>
  <c r="ER661" i="3"/>
  <c r="EH641" i="3"/>
  <c r="BU671" i="3"/>
  <c r="BV671" i="3" s="1"/>
  <c r="EM658" i="3"/>
  <c r="DX652" i="3"/>
  <c r="DX646" i="3"/>
  <c r="CL634" i="3"/>
  <c r="BU669" i="3"/>
  <c r="BV669" i="3" s="1"/>
  <c r="EH652" i="3"/>
  <c r="ER656" i="3"/>
  <c r="ER635" i="3"/>
  <c r="ER642" i="3"/>
  <c r="BU683" i="3"/>
  <c r="BV683" i="3" s="1"/>
  <c r="BU686" i="3"/>
  <c r="BV686" i="3" s="1"/>
  <c r="ER650" i="3"/>
  <c r="ER665" i="3"/>
  <c r="DX645" i="3"/>
  <c r="DX642" i="3"/>
  <c r="ER651" i="3"/>
  <c r="DX659" i="3"/>
  <c r="DX660" i="3"/>
  <c r="ER662" i="3"/>
  <c r="ER648" i="3"/>
  <c r="EH643" i="3"/>
  <c r="EH667" i="3"/>
  <c r="EH646" i="3"/>
  <c r="EM668" i="3"/>
  <c r="DX666" i="3"/>
  <c r="ER636" i="3"/>
  <c r="EH636" i="3"/>
  <c r="EM647" i="3"/>
  <c r="EM638" i="3"/>
  <c r="DX657" i="3"/>
  <c r="BN660" i="3"/>
  <c r="AB985" i="3" s="1"/>
  <c r="AJ985" i="3" s="1"/>
  <c r="ER641" i="3"/>
  <c r="EH639" i="3"/>
  <c r="EM642" i="3"/>
  <c r="EM645" i="3"/>
  <c r="DX656" i="3"/>
  <c r="ER660" i="3"/>
  <c r="CM660" i="3"/>
  <c r="AB989" i="3" s="1"/>
  <c r="AJ989" i="3" s="1"/>
  <c r="EW665" i="3"/>
  <c r="BX660" i="3"/>
  <c r="AB987" i="3" s="1"/>
  <c r="AJ987" i="3" s="1"/>
  <c r="EW641" i="3"/>
  <c r="AX682" i="20"/>
  <c r="EW645" i="3"/>
  <c r="EH664" i="3"/>
  <c r="EW669" i="3"/>
  <c r="EW668" i="3"/>
  <c r="EW667" i="3"/>
  <c r="EH649" i="3"/>
  <c r="EH644" i="3"/>
  <c r="EH645" i="3"/>
  <c r="EH656" i="3"/>
  <c r="EH635" i="3"/>
  <c r="EH660" i="3"/>
  <c r="CB634" i="3"/>
  <c r="EH658" i="3"/>
  <c r="EH640" i="3"/>
  <c r="EH638" i="3"/>
  <c r="EH654" i="3"/>
  <c r="EH662" i="3"/>
  <c r="EH661" i="3"/>
  <c r="EH642" i="3"/>
  <c r="EW644" i="3"/>
  <c r="EH663" i="3"/>
  <c r="EH647" i="3"/>
  <c r="EW656" i="3"/>
  <c r="EW647" i="3"/>
  <c r="EW657" i="3"/>
  <c r="EH651" i="3"/>
  <c r="EH665" i="3"/>
  <c r="EW637" i="3"/>
  <c r="EW653" i="3"/>
  <c r="EH648" i="3"/>
  <c r="EH653" i="3"/>
  <c r="EW654" i="3"/>
  <c r="EW658" i="3"/>
  <c r="EW640" i="3"/>
  <c r="BU668" i="3"/>
  <c r="BV668" i="3" s="1"/>
  <c r="EM652" i="3"/>
  <c r="BU696" i="3"/>
  <c r="BV696" i="3" s="1"/>
  <c r="BU675" i="3"/>
  <c r="BV675" i="3" s="1"/>
  <c r="BU690" i="3"/>
  <c r="BV690" i="3" s="1"/>
  <c r="BU695" i="3"/>
  <c r="BV695" i="3" s="1"/>
  <c r="BU689" i="3"/>
  <c r="BV689" i="3" s="1"/>
  <c r="BU688" i="3"/>
  <c r="BV688" i="3" s="1"/>
  <c r="EM663" i="3"/>
  <c r="BU687" i="3"/>
  <c r="BV687" i="3" s="1"/>
  <c r="BU691" i="3"/>
  <c r="BV691" i="3" s="1"/>
  <c r="BU693" i="3"/>
  <c r="BV693" i="3" s="1"/>
  <c r="BU678" i="3"/>
  <c r="BV678" i="3" s="1"/>
  <c r="CC660" i="3"/>
  <c r="AB988" i="3" s="1"/>
  <c r="AJ988" i="3" s="1"/>
  <c r="EM657" i="3"/>
  <c r="EM662" i="3"/>
  <c r="BU673" i="3"/>
  <c r="BV673" i="3" s="1"/>
  <c r="EM665" i="3"/>
  <c r="EM635" i="3"/>
  <c r="BU681" i="3"/>
  <c r="BV681" i="3" s="1"/>
  <c r="EM661" i="3"/>
  <c r="EM664" i="3"/>
  <c r="DX640" i="3"/>
  <c r="DX649" i="3"/>
  <c r="DX653" i="3"/>
  <c r="DX644" i="3"/>
  <c r="BR634" i="3"/>
  <c r="DX641" i="3"/>
  <c r="DX651" i="3"/>
  <c r="DX663" i="3"/>
  <c r="DX661" i="3"/>
  <c r="BU692" i="3"/>
  <c r="BV692" i="3" s="1"/>
  <c r="BU697" i="3"/>
  <c r="BV697" i="3" s="1"/>
  <c r="BU700" i="3"/>
  <c r="BV700" i="3" s="1"/>
  <c r="BU702" i="3"/>
  <c r="BV702" i="3" s="1"/>
  <c r="BU694" i="3"/>
  <c r="BV694" i="3" s="1"/>
  <c r="BU699" i="3"/>
  <c r="BV699" i="3" s="1"/>
  <c r="BU685" i="3"/>
  <c r="BV685" i="3" s="1"/>
  <c r="EM648" i="3"/>
  <c r="EC670" i="3"/>
  <c r="J124" i="20" s="1"/>
  <c r="J127" i="20" s="1"/>
  <c r="BU672" i="3"/>
  <c r="BV672" i="3" s="1"/>
  <c r="BU676" i="3"/>
  <c r="BV676" i="3" s="1"/>
  <c r="BU682" i="3"/>
  <c r="BV682" i="3" s="1"/>
  <c r="DX662" i="3"/>
  <c r="DX639" i="3"/>
  <c r="EW663" i="3"/>
  <c r="DX636" i="3"/>
  <c r="BI703" i="3"/>
  <c r="AC753" i="3" s="1"/>
  <c r="EM656" i="3"/>
  <c r="EM644" i="3"/>
  <c r="EM641" i="3"/>
  <c r="EM650" i="3"/>
  <c r="EM655" i="3"/>
  <c r="EM646" i="3"/>
  <c r="AX680" i="20"/>
  <c r="EM659" i="3"/>
  <c r="EM643" i="3"/>
  <c r="CG634" i="3"/>
  <c r="EM669" i="3"/>
  <c r="EM653" i="3"/>
  <c r="BU680" i="3"/>
  <c r="BV680" i="3" s="1"/>
  <c r="EM666" i="3"/>
  <c r="BU670" i="3"/>
  <c r="BV670" i="3" s="1"/>
  <c r="BU679" i="3"/>
  <c r="BV679" i="3" s="1"/>
  <c r="EM639" i="3"/>
  <c r="DX658" i="3"/>
  <c r="AW113" i="20"/>
  <c r="EW646" i="3"/>
  <c r="EM637" i="3"/>
  <c r="EM636" i="3"/>
  <c r="BU674" i="3"/>
  <c r="BV674" i="3" s="1"/>
  <c r="BU701" i="3"/>
  <c r="BV701" i="3" s="1"/>
  <c r="EM654" i="3"/>
  <c r="CM633" i="3"/>
  <c r="BU684" i="3"/>
  <c r="BV684" i="3" s="1"/>
  <c r="BU698" i="3"/>
  <c r="BV698" i="3" s="1"/>
  <c r="EM640" i="3"/>
  <c r="EM651" i="3"/>
  <c r="DX647" i="3"/>
  <c r="CQ634" i="3"/>
  <c r="EW659" i="3"/>
  <c r="E97" i="20"/>
  <c r="E100" i="20" s="1"/>
  <c r="AP100" i="20" s="1"/>
  <c r="AK103" i="20" s="1"/>
  <c r="T795" i="20" s="1"/>
  <c r="AF795" i="20" s="1"/>
  <c r="E87" i="20"/>
  <c r="E88" i="20" s="1"/>
  <c r="E89" i="20" s="1"/>
  <c r="Z809" i="3"/>
  <c r="M959" i="3"/>
  <c r="M960" i="3" s="1"/>
  <c r="G45" i="21"/>
  <c r="G47" i="21" s="1"/>
  <c r="G49" i="21" s="1"/>
  <c r="E11" i="21" s="1"/>
  <c r="G54" i="21"/>
  <c r="G56" i="21" s="1"/>
  <c r="G58" i="21" s="1"/>
  <c r="E12" i="21" s="1"/>
  <c r="F25" i="21"/>
  <c r="F26" i="21"/>
  <c r="G26" i="21" s="1"/>
  <c r="J29" i="27"/>
  <c r="AT23" i="27" s="1"/>
  <c r="AT19" i="27"/>
  <c r="AT27" i="27"/>
  <c r="EW636" i="3"/>
  <c r="EW632" i="3"/>
  <c r="BH703" i="3"/>
  <c r="I4" i="7"/>
  <c r="G5" i="7"/>
  <c r="AW114" i="20"/>
  <c r="AW111" i="20"/>
  <c r="ER670" i="3" l="1"/>
  <c r="Y124" i="20" s="1"/>
  <c r="Y127" i="20" s="1"/>
  <c r="Y130" i="20" s="1"/>
  <c r="AT24" i="27"/>
  <c r="EW670" i="3"/>
  <c r="AD124" i="20" s="1"/>
  <c r="AD127" i="20" s="1"/>
  <c r="AD130" i="20" s="1"/>
  <c r="DX670" i="3"/>
  <c r="E124" i="20" s="1"/>
  <c r="E127" i="20" s="1"/>
  <c r="E130" i="20" s="1"/>
  <c r="EH670" i="3"/>
  <c r="O124" i="20" s="1"/>
  <c r="O127" i="20" s="1"/>
  <c r="O130" i="20" s="1"/>
  <c r="BV703" i="3"/>
  <c r="AH753" i="3" s="1"/>
  <c r="EM670" i="3"/>
  <c r="T124" i="20" s="1"/>
  <c r="T127" i="20" s="1"/>
  <c r="T130" i="20" s="1"/>
  <c r="CS634" i="3"/>
  <c r="AW116" i="20"/>
  <c r="AX683" i="20"/>
  <c r="AX684" i="20" s="1"/>
  <c r="O756" i="3"/>
  <c r="P421" i="3"/>
  <c r="CS660" i="3"/>
  <c r="U362" i="20" s="1"/>
  <c r="AY684" i="20"/>
  <c r="AO684" i="20" s="1"/>
  <c r="AP695" i="20" s="1"/>
  <c r="BU703" i="3"/>
  <c r="AB990" i="3"/>
  <c r="AJ991" i="3"/>
  <c r="AJ1048" i="3" s="1"/>
  <c r="AP542" i="20" s="1"/>
  <c r="AT21" i="27"/>
  <c r="G25" i="21"/>
  <c r="F24" i="21"/>
  <c r="E6" i="7"/>
  <c r="Z818" i="3"/>
  <c r="K4" i="7"/>
  <c r="I5" i="7"/>
  <c r="J130" i="20"/>
  <c r="AT28" i="27"/>
  <c r="AY42" i="27"/>
  <c r="AY40" i="27"/>
  <c r="AY44" i="27"/>
  <c r="AY43" i="27"/>
  <c r="AY45" i="27"/>
  <c r="AY46" i="27"/>
  <c r="AY47" i="27"/>
  <c r="AY39" i="27"/>
  <c r="AT29" i="27"/>
  <c r="AY36" i="27"/>
  <c r="AY38" i="27"/>
  <c r="N184" i="27"/>
  <c r="AY41" i="27"/>
  <c r="N194" i="27"/>
  <c r="AT26" i="27"/>
  <c r="AT25" i="27"/>
  <c r="AT22" i="27"/>
  <c r="AT20" i="27"/>
  <c r="AY37" i="27"/>
  <c r="E132" i="20" l="1"/>
  <c r="E133" i="20" s="1"/>
  <c r="AK137" i="20" s="1"/>
  <c r="T796" i="20" s="1"/>
  <c r="AF796" i="20" s="1"/>
  <c r="AJ993" i="3"/>
  <c r="AJ1028" i="3"/>
  <c r="AJ1052" i="3" s="1"/>
  <c r="AP539" i="20"/>
  <c r="AP543" i="20"/>
  <c r="B1059" i="3"/>
  <c r="AP694" i="20"/>
  <c r="K5" i="7"/>
  <c r="M4" i="7"/>
  <c r="E7" i="7"/>
  <c r="E11" i="7" s="1"/>
  <c r="E37" i="7" s="1"/>
  <c r="G6" i="7"/>
  <c r="G24" i="21"/>
  <c r="G27" i="21"/>
  <c r="F27" i="21"/>
  <c r="AZ846" i="3" l="1"/>
  <c r="AZ843" i="3"/>
  <c r="AZ851" i="3" s="1"/>
  <c r="AP546" i="20"/>
  <c r="AP545" i="20" s="1"/>
  <c r="AP548" i="20" s="1"/>
  <c r="AF541" i="20" s="1"/>
  <c r="AF542" i="20" s="1"/>
  <c r="AK548" i="20" s="1"/>
  <c r="T807" i="20" s="1"/>
  <c r="AF807" i="20" s="1"/>
  <c r="AF810" i="20" s="1"/>
  <c r="T24" i="15"/>
  <c r="AD38" i="15" s="1"/>
  <c r="AD40" i="15" s="1"/>
  <c r="G95" i="21"/>
  <c r="G96" i="21" s="1"/>
  <c r="G29" i="21"/>
  <c r="G31" i="21" s="1"/>
  <c r="E9" i="21" s="1"/>
  <c r="G79" i="21"/>
  <c r="G64" i="21"/>
  <c r="G104" i="21"/>
  <c r="G106" i="21" s="1"/>
  <c r="G7" i="7"/>
  <c r="G11" i="7" s="1"/>
  <c r="G37" i="7" s="1"/>
  <c r="I6" i="7"/>
  <c r="M5" i="7"/>
  <c r="O4" i="7"/>
  <c r="E49" i="7"/>
  <c r="E45" i="7"/>
  <c r="Y38" i="15"/>
  <c r="Y40" i="15" s="1"/>
  <c r="Y41" i="15" l="1"/>
  <c r="AB50" i="15" s="1"/>
  <c r="G45" i="7"/>
  <c r="G49" i="7"/>
  <c r="E47" i="7"/>
  <c r="E48" i="7"/>
  <c r="E60" i="7"/>
  <c r="G69" i="21"/>
  <c r="G65" i="21"/>
  <c r="G81" i="21"/>
  <c r="Q4" i="7"/>
  <c r="O5" i="7"/>
  <c r="I7" i="7"/>
  <c r="I11" i="7" s="1"/>
  <c r="I37" i="7" s="1"/>
  <c r="K6" i="7"/>
  <c r="E14" i="21"/>
  <c r="E15" i="21" s="1"/>
  <c r="AB54" i="15" l="1"/>
  <c r="AB55" i="15" s="1"/>
  <c r="AB56" i="15" s="1"/>
  <c r="AB57" i="15" s="1"/>
  <c r="AB59" i="15" s="1"/>
  <c r="AB72" i="15" s="1"/>
  <c r="AB77" i="15" s="1"/>
  <c r="AB78" i="15" s="1"/>
  <c r="G83" i="21"/>
  <c r="E13" i="21" s="1"/>
  <c r="E16" i="21" s="1"/>
  <c r="H3" i="21" s="1"/>
  <c r="I45" i="7"/>
  <c r="I49" i="7"/>
  <c r="M6" i="7"/>
  <c r="K7" i="7"/>
  <c r="K11" i="7" s="1"/>
  <c r="K37" i="7" s="1"/>
  <c r="E62" i="7"/>
  <c r="S4" i="7"/>
  <c r="Q5" i="7"/>
  <c r="G60" i="7"/>
  <c r="G48" i="7"/>
  <c r="G47" i="7"/>
  <c r="M26" i="3" l="1"/>
  <c r="P204" i="3" s="1"/>
  <c r="K49" i="7"/>
  <c r="K45" i="7"/>
  <c r="G66" i="7"/>
  <c r="G67" i="7"/>
  <c r="S5" i="7"/>
  <c r="U4" i="7"/>
  <c r="G62" i="7"/>
  <c r="E72" i="7"/>
  <c r="M7" i="7"/>
  <c r="O6" i="7"/>
  <c r="M11" i="7"/>
  <c r="M37" i="7" s="1"/>
  <c r="I10" i="21"/>
  <c r="I11" i="21" s="1"/>
  <c r="I16" i="21" s="1"/>
  <c r="H4" i="21" s="1"/>
  <c r="H5" i="21" s="1"/>
  <c r="AB79" i="15"/>
  <c r="AB81" i="15" s="1"/>
  <c r="J82" i="15" s="1"/>
  <c r="M27" i="3"/>
  <c r="P205" i="3" s="1"/>
  <c r="I60" i="7"/>
  <c r="I47" i="7"/>
  <c r="I48" i="7"/>
  <c r="I62" i="7" l="1"/>
  <c r="I67" i="7"/>
  <c r="I66" i="7"/>
  <c r="U5" i="7"/>
  <c r="W4" i="7"/>
  <c r="M45" i="7"/>
  <c r="M49" i="7"/>
  <c r="O7" i="7"/>
  <c r="Q6" i="7"/>
  <c r="O11" i="7"/>
  <c r="O37" i="7" s="1"/>
  <c r="G70" i="7"/>
  <c r="G72" i="7" s="1"/>
  <c r="K47" i="7"/>
  <c r="K60" i="7"/>
  <c r="K48" i="7"/>
  <c r="K62" i="7" l="1"/>
  <c r="I70" i="7"/>
  <c r="I72" i="7" s="1"/>
  <c r="O49" i="7"/>
  <c r="O45" i="7"/>
  <c r="Q7" i="7"/>
  <c r="S6" i="7"/>
  <c r="Q11" i="7"/>
  <c r="Q37" i="7" s="1"/>
  <c r="M48" i="7"/>
  <c r="M47" i="7"/>
  <c r="M60" i="7"/>
  <c r="W5" i="7"/>
  <c r="Y4" i="7"/>
  <c r="K66" i="7"/>
  <c r="K67" i="7"/>
  <c r="M66" i="7" l="1"/>
  <c r="M67" i="7"/>
  <c r="Y5" i="7"/>
  <c r="AA4" i="7"/>
  <c r="S7" i="7"/>
  <c r="U6" i="7"/>
  <c r="S11" i="7"/>
  <c r="S37" i="7" s="1"/>
  <c r="Q45" i="7"/>
  <c r="Q49" i="7"/>
  <c r="O60" i="7"/>
  <c r="O48" i="7"/>
  <c r="O47" i="7"/>
  <c r="K70" i="7"/>
  <c r="K72" i="7" s="1"/>
  <c r="M62" i="7"/>
  <c r="O62" i="7" l="1"/>
  <c r="O67" i="7"/>
  <c r="O66" i="7"/>
  <c r="Q47" i="7"/>
  <c r="Q48" i="7"/>
  <c r="Q60" i="7"/>
  <c r="W6" i="7"/>
  <c r="U7" i="7"/>
  <c r="U11" i="7"/>
  <c r="U37" i="7" s="1"/>
  <c r="S49" i="7"/>
  <c r="S45" i="7"/>
  <c r="AA5" i="7"/>
  <c r="AC4" i="7"/>
  <c r="M70" i="7"/>
  <c r="M72" i="7" s="1"/>
  <c r="O70" i="7" l="1"/>
  <c r="O72" i="7" s="1"/>
  <c r="Q66" i="7"/>
  <c r="Q67" i="7"/>
  <c r="AE4" i="7"/>
  <c r="AC5" i="7"/>
  <c r="U49" i="7"/>
  <c r="U45" i="7"/>
  <c r="W7" i="7"/>
  <c r="Y6" i="7"/>
  <c r="W11" i="7"/>
  <c r="W37" i="7" s="1"/>
  <c r="Q62" i="7"/>
  <c r="S48" i="7"/>
  <c r="S47" i="7"/>
  <c r="S60" i="7"/>
  <c r="Q70" i="7" l="1"/>
  <c r="Q72" i="7" s="1"/>
  <c r="U60" i="7"/>
  <c r="U48" i="7"/>
  <c r="U47" i="7"/>
  <c r="Y7" i="7"/>
  <c r="AA6" i="7"/>
  <c r="Y11" i="7"/>
  <c r="Y37" i="7" s="1"/>
  <c r="AG4" i="7"/>
  <c r="AE5" i="7"/>
  <c r="S62" i="7"/>
  <c r="W49" i="7"/>
  <c r="W45" i="7"/>
  <c r="S67" i="7"/>
  <c r="S66" i="7"/>
  <c r="S70" i="7" l="1"/>
  <c r="S72" i="7"/>
  <c r="U62" i="7"/>
  <c r="AG5" i="7"/>
  <c r="AA7" i="7"/>
  <c r="AC6" i="7"/>
  <c r="AA11" i="7"/>
  <c r="AA37" i="7" s="1"/>
  <c r="U66" i="7"/>
  <c r="U67" i="7"/>
  <c r="Y45" i="7"/>
  <c r="Y49" i="7"/>
  <c r="W60" i="7"/>
  <c r="W48" i="7"/>
  <c r="W47" i="7"/>
  <c r="W62" i="7" l="1"/>
  <c r="Y47" i="7"/>
  <c r="Y60" i="7"/>
  <c r="Y48" i="7"/>
  <c r="U70" i="7"/>
  <c r="U72" i="7" s="1"/>
  <c r="AC7" i="7"/>
  <c r="AE6" i="7"/>
  <c r="AC11" i="7"/>
  <c r="AC37" i="7" s="1"/>
  <c r="AA49" i="7"/>
  <c r="AA45" i="7"/>
  <c r="W66" i="7"/>
  <c r="W67" i="7"/>
  <c r="Y62" i="7" l="1"/>
  <c r="W70" i="7"/>
  <c r="W72" i="7" s="1"/>
  <c r="AA48" i="7"/>
  <c r="AA60" i="7"/>
  <c r="AA47" i="7"/>
  <c r="AC45" i="7"/>
  <c r="AC49" i="7"/>
  <c r="AG6" i="7"/>
  <c r="AE7" i="7"/>
  <c r="AE11" i="7"/>
  <c r="AE37" i="7" s="1"/>
  <c r="Y67" i="7"/>
  <c r="Y66" i="7"/>
  <c r="Y70" i="7" s="1"/>
  <c r="Y72" i="7" l="1"/>
  <c r="AE49" i="7"/>
  <c r="AE45" i="7"/>
  <c r="AG7" i="7"/>
  <c r="AG11" i="7"/>
  <c r="AG37" i="7" s="1"/>
  <c r="AC60" i="7"/>
  <c r="AC48" i="7"/>
  <c r="AC47" i="7"/>
  <c r="AA67" i="7"/>
  <c r="AA66" i="7"/>
  <c r="AA62" i="7"/>
  <c r="AC62" i="7" l="1"/>
  <c r="AA70" i="7"/>
  <c r="AA72" i="7" s="1"/>
  <c r="AC66" i="7"/>
  <c r="AC67" i="7"/>
  <c r="AG45" i="7"/>
  <c r="AG49" i="7"/>
  <c r="AE47" i="7"/>
  <c r="AE48" i="7"/>
  <c r="AE60" i="7"/>
  <c r="AE67" i="7" l="1"/>
  <c r="AE66" i="7"/>
  <c r="AE70" i="7" s="1"/>
  <c r="AG48" i="7"/>
  <c r="AG47" i="7"/>
  <c r="AG60" i="7"/>
  <c r="AC70" i="7"/>
  <c r="AC72" i="7"/>
  <c r="AE62" i="7"/>
  <c r="AE72" i="7" l="1"/>
  <c r="AG62" i="7"/>
  <c r="AG67" i="7"/>
  <c r="AG66" i="7"/>
  <c r="AG70" i="7" s="1"/>
  <c r="AG72"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<sst xmlns="http://schemas.openxmlformats.org/spreadsheetml/2006/main" count="5316" uniqueCount="2799">
  <si>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</si>
  <si>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</si>
  <si>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</si>
  <si>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</si>
  <si>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</si>
  <si>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</si>
  <si>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</si>
  <si>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</si>
  <si>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</si>
  <si>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</si>
  <si>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</si>
  <si>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</si>
  <si>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</si>
  <si>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</si>
  <si>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</si>
  <si>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</si>
  <si>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</si>
  <si>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</si>
  <si>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</si>
  <si>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</si>
  <si>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</si>
  <si>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</si>
  <si>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</si>
  <si>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</si>
  <si>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</si>
  <si>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</si>
  <si>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</si>
  <si>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</si>
  <si>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</si>
  <si>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</si>
  <si>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</si>
  <si>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</si>
  <si>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</si>
  <si>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</si>
  <si>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</si>
  <si>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</si>
  <si>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</si>
  <si>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</si>
  <si>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</si>
  <si>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</si>
  <si>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</si>
  <si>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</si>
  <si>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</si>
  <si>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</si>
  <si>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</si>
  <si>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</si>
  <si>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</si>
  <si>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</si>
  <si>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</si>
  <si>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</si>
  <si>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</si>
  <si>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</si>
  <si>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</si>
  <si>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</si>
  <si>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</si>
  <si>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</si>
  <si>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</si>
  <si>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</si>
  <si>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</si>
  <si>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</si>
  <si>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</si>
  <si>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</si>
  <si>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</si>
  <si>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</si>
  <si>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</si>
  <si>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</si>
  <si>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</si>
  <si>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</si>
  <si>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</si>
  <si>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</si>
  <si>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</si>
  <si>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</si>
  <si>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</si>
  <si>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</si>
  <si>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</si>
  <si>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</si>
  <si>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</si>
  <si>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</si>
  <si>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</si>
  <si>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</si>
  <si>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</si>
  <si>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</si>
  <si>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</si>
  <si>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</si>
  <si>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</si>
  <si>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</si>
  <si>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</si>
  <si>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</si>
  <si>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</si>
  <si>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</si>
  <si>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</si>
  <si>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</si>
  <si>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</si>
  <si>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</si>
  <si>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</si>
  <si>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</si>
  <si>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</si>
  <si>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</si>
  <si>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</si>
  <si>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</si>
  <si>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</si>
  <si>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</si>
  <si>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</si>
  <si>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</si>
  <si>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</si>
  <si>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</si>
  <si>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</si>
  <si>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</si>
  <si>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</si>
  <si>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</si>
  <si>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</si>
  <si>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</si>
  <si>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</si>
  <si>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</si>
  <si>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</si>
  <si>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</si>
  <si>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</si>
  <si>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</si>
  <si>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</si>
  <si>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</si>
  <si>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</si>
  <si>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</si>
  <si>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</si>
  <si>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</si>
  <si>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</si>
  <si>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</si>
  <si>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</si>
  <si>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</si>
  <si>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</si>
  <si>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</si>
  <si>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</si>
  <si>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</si>
  <si>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</si>
  <si>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</si>
  <si>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</si>
  <si>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</si>
  <si>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</si>
  <si>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</si>
  <si>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</si>
  <si>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</si>
  <si>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</si>
  <si>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</si>
  <si>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</si>
  <si>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</si>
  <si>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</si>
  <si>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</si>
  <si>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</si>
  <si>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</si>
  <si>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</si>
  <si>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</si>
  <si>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</si>
  <si>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</si>
  <si>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</si>
  <si>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</si>
  <si>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</si>
  <si>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</si>
  <si>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</si>
  <si>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</si>
  <si>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</si>
  <si>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</si>
  <si>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</si>
  <si>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</si>
  <si>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</si>
  <si>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</si>
  <si>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</si>
  <si>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</si>
  <si>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</si>
  <si>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</si>
  <si>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</si>
  <si>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</si>
  <si>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</si>
  <si>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</si>
  <si>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</si>
  <si>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</si>
  <si>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</si>
  <si>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</si>
  <si>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</si>
  <si>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</si>
  <si>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</si>
  <si>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</si>
  <si>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</si>
  <si>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</si>
  <si>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</si>
  <si>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</si>
  <si>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</si>
  <si>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</si>
  <si>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</si>
  <si>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</si>
  <si>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</si>
  <si>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</si>
  <si>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</si>
  <si>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</si>
  <si>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</si>
  <si>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</si>
  <si>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</si>
  <si>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</si>
  <si>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</si>
  <si>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</si>
  <si>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</si>
  <si>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</si>
  <si>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</si>
  <si>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</si>
  <si>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</si>
  <si>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</si>
  <si>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</si>
  <si>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</si>
  <si>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</si>
  <si>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</si>
  <si>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</si>
  <si>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</si>
  <si>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</si>
  <si>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</si>
  <si>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</si>
  <si>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</si>
  <si>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</si>
  <si>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</si>
  <si>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</si>
  <si>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</si>
  <si>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</si>
  <si>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</si>
  <si>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</si>
  <si>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</si>
  <si>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</si>
  <si>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</si>
  <si>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</si>
  <si>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</si>
  <si>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</si>
  <si>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</si>
  <si>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</si>
  <si>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</si>
  <si>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</si>
  <si>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</si>
  <si>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</si>
  <si>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</si>
  <si>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</si>
  <si>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</si>
  <si>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</si>
  <si>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</si>
  <si>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</si>
  <si>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</si>
  <si>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</si>
  <si>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</si>
  <si>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</si>
  <si>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</si>
  <si>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</si>
  <si>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</si>
  <si>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</si>
  <si>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</si>
  <si>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</si>
  <si>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</si>
  <si>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</si>
  <si>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</si>
  <si>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</si>
  <si>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</si>
  <si>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</si>
  <si>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</si>
  <si>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</si>
  <si>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</si>
  <si>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</si>
  <si>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</si>
  <si>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</si>
  <si>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</si>
  <si>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</si>
  <si>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</si>
  <si>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</si>
  <si>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</si>
  <si>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</si>
  <si>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</si>
  <si>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</si>
  <si>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</si>
  <si>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</si>
  <si>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</si>
  <si>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</si>
  <si>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</si>
  <si>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</si>
  <si>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</si>
  <si>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</si>
  <si>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</si>
  <si>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</si>
  <si>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</si>
  <si>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</si>
  <si>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</si>
  <si>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</si>
  <si>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</si>
  <si>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</si>
  <si>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</si>
  <si>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</si>
  <si>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</si>
  <si>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</si>
  <si>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</si>
  <si>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</si>
  <si>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</si>
  <si>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</si>
  <si>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</si>
  <si>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</si>
  <si>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</si>
  <si>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</si>
  <si>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</si>
  <si>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</si>
  <si>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</si>
  <si>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</si>
  <si>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</si>
  <si>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</si>
  <si>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</si>
  <si>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</si>
  <si>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</si>
  <si>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</si>
  <si>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</si>
  <si>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</si>
  <si>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</si>
  <si>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</si>
  <si>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</si>
  <si>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</si>
  <si>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</si>
  <si>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</si>
  <si>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</si>
  <si>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</si>
  <si>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</si>
  <si>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</si>
  <si>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</si>
  <si>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</si>
  <si>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</si>
  <si>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</si>
  <si>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</si>
  <si>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</si>
  <si>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</si>
  <si>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</si>
  <si>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</si>
  <si>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</si>
  <si>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</si>
  <si>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</si>
  <si>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</si>
  <si>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</si>
  <si>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</si>
  <si>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</si>
  <si>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</si>
  <si>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</si>
  <si>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</si>
  <si>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</si>
  <si>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</si>
  <si>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</si>
  <si>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</si>
  <si>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</si>
  <si>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</si>
  <si>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</si>
  <si>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</si>
  <si>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</si>
  <si>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</si>
  <si>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</si>
  <si>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</si>
  <si>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</si>
  <si>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</si>
  <si>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</si>
  <si>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</si>
  <si>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</si>
  <si>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</si>
  <si>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</si>
  <si>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</si>
  <si>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</si>
  <si>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</si>
  <si>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</si>
  <si>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</si>
  <si>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</si>
  <si>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</si>
  <si>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</si>
  <si>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</si>
  <si>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</si>
  <si>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</si>
  <si>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</si>
  <si>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</si>
  <si>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</si>
  <si>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</si>
  <si>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</si>
  <si>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</si>
  <si>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</si>
  <si>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</si>
  <si>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</si>
  <si>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</si>
  <si>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</si>
  <si>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</si>
  <si>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</si>
  <si>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</si>
  <si>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</si>
  <si>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</si>
  <si>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</si>
  <si>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</si>
  <si>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</si>
  <si>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</si>
  <si>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</si>
  <si>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</si>
  <si>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</si>
  <si>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</si>
  <si>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</si>
  <si>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</si>
  <si>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</si>
  <si>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</si>
  <si>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</si>
  <si>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</si>
  <si>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</si>
  <si>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</si>
  <si>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</si>
  <si>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</si>
  <si>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</si>
  <si>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</si>
  <si>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</si>
  <si>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</si>
  <si>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</si>
  <si>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</si>
  <si>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</si>
  <si>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</si>
  <si>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</si>
  <si>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</si>
  <si>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</si>
  <si>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</si>
  <si>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</si>
  <si>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</si>
  <si>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</si>
  <si>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</si>
  <si>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</si>
  <si>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</si>
  <si>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</si>
  <si>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</si>
  <si>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</si>
  <si>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</si>
  <si>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</si>
  <si>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</si>
  <si>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</si>
  <si>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</si>
  <si>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</si>
  <si>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</si>
  <si>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</si>
  <si>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</si>
  <si>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</si>
  <si>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</si>
  <si>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</si>
  <si>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</si>
  <si>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</si>
  <si>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</si>
  <si>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</si>
  <si>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</si>
  <si>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</si>
  <si>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</si>
  <si>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</si>
  <si>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</si>
  <si>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</si>
  <si>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</si>
  <si>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</si>
  <si>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</si>
  <si>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</si>
  <si>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</si>
  <si>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</si>
  <si>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</si>
  <si>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</si>
  <si>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</si>
  <si>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</si>
  <si>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</si>
  <si>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</si>
  <si>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</si>
  <si>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</si>
  <si>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</si>
  <si>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</si>
  <si>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</si>
  <si>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</si>
  <si>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</si>
  <si>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</si>
  <si>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</si>
  <si>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</si>
  <si>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</si>
  <si>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</si>
  <si>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</si>
  <si>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</si>
  <si>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</si>
  <si>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</si>
  <si>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</si>
  <si>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</si>
  <si>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</si>
  <si>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</si>
  <si>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</si>
  <si>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</si>
  <si>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</si>
  <si>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</si>
  <si>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</si>
  <si>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</si>
  <si>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</si>
  <si>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</si>
  <si>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</si>
  <si>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</si>
  <si>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</si>
  <si>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</si>
  <si>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</si>
  <si>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</si>
  <si>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</si>
  <si>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</si>
  <si>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</si>
  <si>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</si>
  <si>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</si>
  <si>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</si>
  <si>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</si>
  <si>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</si>
  <si>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</si>
  <si>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</si>
  <si>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</si>
  <si>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</si>
  <si>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</si>
  <si>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</si>
  <si>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</si>
  <si>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</si>
  <si>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</si>
  <si>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</si>
  <si>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</si>
  <si>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</si>
  <si>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</si>
  <si>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</si>
  <si>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</si>
  <si>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</si>
  <si>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</si>
  <si>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</si>
  <si>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</si>
  <si>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</si>
  <si>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</si>
  <si>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</si>
  <si>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</si>
  <si>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</si>
  <si>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</si>
  <si>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</si>
  <si>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</si>
  <si>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</si>
  <si>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</si>
  <si>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</si>
  <si>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</si>
  <si>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</si>
  <si>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</si>
  <si>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</si>
  <si>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</si>
  <si>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</si>
  <si>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</si>
  <si>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</si>
  <si>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</si>
  <si>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</si>
  <si>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</si>
  <si>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</si>
  <si>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</si>
  <si>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</si>
  <si>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</si>
  <si>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</si>
  <si>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</si>
  <si>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</si>
  <si>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</si>
  <si>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</si>
  <si>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</si>
  <si>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</si>
  <si>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</si>
  <si>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</si>
  <si>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</si>
  <si>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</si>
  <si>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</si>
  <si>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</si>
  <si>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</si>
  <si>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</si>
  <si>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</si>
  <si>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</si>
  <si>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</si>
  <si>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</si>
  <si>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</si>
  <si>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</si>
  <si>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</si>
  <si>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</si>
  <si>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</si>
  <si>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</si>
  <si>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</si>
  <si>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</si>
  <si>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</si>
  <si>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</si>
  <si>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</si>
  <si>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</si>
  <si>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</si>
  <si>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</si>
  <si>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</si>
  <si>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</si>
  <si>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</si>
  <si>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</si>
  <si>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</si>
  <si>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</si>
  <si>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</si>
  <si>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</si>
  <si>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</si>
  <si>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</si>
  <si>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</si>
  <si>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</si>
  <si>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</si>
  <si>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</si>
  <si>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</si>
  <si>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</si>
  <si>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</si>
  <si>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</si>
  <si>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</si>
  <si>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</si>
  <si>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</si>
  <si>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</si>
  <si>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</si>
  <si>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</si>
  <si>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</si>
  <si>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</si>
  <si>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</si>
  <si>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</si>
  <si>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</si>
  <si>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</si>
  <si>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</si>
  <si>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</si>
  <si>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</si>
  <si>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</si>
  <si>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</si>
  <si>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</si>
  <si>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</si>
  <si>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</si>
  <si>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</si>
  <si>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</si>
  <si>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</si>
  <si>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</si>
  <si>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</si>
  <si>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</si>
  <si>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</si>
  <si>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</si>
  <si>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</si>
  <si>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</si>
  <si>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</si>
  <si>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</si>
  <si>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</si>
  <si>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</si>
  <si>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</si>
  <si>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</si>
  <si>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</si>
  <si>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</si>
  <si>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</si>
  <si>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</si>
  <si>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</si>
  <si>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</si>
  <si>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</si>
  <si>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</si>
  <si>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</si>
  <si>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</si>
  <si>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</si>
  <si>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</si>
  <si>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</si>
  <si>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</si>
  <si>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</si>
  <si>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</si>
  <si>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</si>
  <si>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</si>
  <si>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</si>
  <si>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</si>
  <si>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</si>
  <si>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</si>
  <si>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</si>
  <si>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</si>
  <si>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</si>
  <si>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</si>
  <si>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</si>
  <si>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</si>
  <si>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</si>
  <si>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</si>
  <si>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</si>
  <si>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</si>
  <si>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</si>
  <si>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</si>
  <si>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</si>
  <si>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</si>
  <si>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</si>
  <si>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</si>
  <si>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</si>
  <si>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</si>
  <si>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</si>
  <si>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</si>
  <si>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</si>
  <si>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</si>
  <si>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</si>
  <si>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</si>
  <si>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</si>
  <si>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</si>
  <si>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</si>
  <si>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</si>
  <si>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</si>
  <si>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</si>
  <si>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</si>
  <si>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</si>
  <si>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</si>
  <si>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</si>
  <si>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</si>
  <si>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</si>
  <si>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</si>
  <si>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</si>
  <si>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</si>
  <si>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</si>
  <si>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</si>
  <si>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</si>
  <si>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</si>
  <si>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</si>
  <si>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</si>
  <si>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</si>
  <si>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</si>
  <si>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</si>
  <si>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</si>
  <si>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</si>
  <si>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</si>
  <si>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</si>
  <si>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</si>
  <si>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</si>
  <si>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</si>
  <si>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</si>
  <si>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</si>
  <si>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</si>
  <si>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</si>
  <si>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</si>
  <si>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</si>
  <si>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</si>
  <si>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</si>
  <si>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</si>
  <si>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</si>
  <si>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</si>
  <si>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</si>
  <si>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</si>
  <si>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</si>
  <si>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</si>
  <si>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</si>
  <si>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</si>
  <si>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</si>
  <si>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</si>
  <si>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</si>
  <si>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</si>
  <si>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</si>
  <si>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</si>
  <si>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</si>
  <si>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</si>
  <si>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</si>
  <si>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</si>
  <si>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</si>
  <si>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</si>
  <si>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</si>
  <si>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</si>
  <si>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</si>
  <si>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</si>
  <si>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</si>
  <si>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</si>
  <si>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</si>
  <si>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</si>
  <si>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</si>
  <si>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</si>
  <si>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</si>
  <si>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</si>
  <si>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</si>
  <si>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</si>
  <si>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</si>
  <si>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</si>
  <si>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</si>
  <si>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</si>
  <si>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</si>
  <si>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</si>
  <si>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</si>
  <si>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</si>
  <si>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</si>
  <si>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</si>
  <si>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</si>
  <si>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</si>
  <si>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</si>
  <si>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</si>
  <si>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</si>
  <si>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</si>
  <si>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</si>
  <si>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</si>
  <si>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</si>
  <si>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</si>
  <si>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</si>
  <si>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</si>
  <si>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</si>
  <si>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</si>
  <si>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</si>
  <si>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</si>
  <si>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</si>
  <si>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</si>
  <si>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</si>
  <si>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</si>
  <si>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</si>
  <si>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</si>
  <si>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</si>
  <si>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</si>
  <si>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</si>
  <si>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</si>
  <si>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</si>
  <si>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</si>
  <si>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</si>
  <si>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</si>
  <si>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</si>
  <si>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</si>
  <si>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</si>
  <si>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</si>
  <si>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</si>
  <si>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</si>
  <si>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</si>
  <si>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</si>
  <si>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</si>
  <si>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</si>
  <si>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</si>
  <si>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</si>
  <si>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</si>
  <si>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</si>
  <si>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</si>
  <si>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</si>
  <si>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</si>
  <si>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</si>
  <si>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</si>
  <si>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</si>
  <si>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</si>
  <si>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</si>
  <si>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</si>
  <si>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</si>
  <si>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</si>
  <si>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</si>
  <si>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</si>
  <si>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</si>
  <si>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</si>
  <si>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</si>
  <si>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</si>
  <si>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</si>
  <si>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</si>
  <si>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</si>
  <si>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</si>
  <si>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Housing Corporation of America</t>
  </si>
  <si>
    <t>PROJECT NAME:</t>
  </si>
  <si>
    <t>VA Building 408</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</si>
  <si>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</si>
  <si>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</si>
  <si>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</si>
  <si>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</si>
  <si>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</si>
  <si>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</si>
  <si>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</si>
  <si>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</si>
  <si>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</si>
  <si>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</si>
  <si>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</si>
  <si>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</si>
  <si>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</si>
  <si>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</si>
  <si>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</si>
  <si>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</si>
  <si>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</si>
  <si>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</si>
  <si>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</si>
  <si>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</si>
  <si>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</si>
  <si>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</si>
  <si>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</si>
  <si>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</si>
  <si>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</si>
  <si>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</si>
  <si>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</si>
  <si>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</si>
  <si>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</si>
  <si>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</si>
  <si>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</si>
  <si>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</si>
  <si>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</si>
  <si>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</si>
  <si>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</si>
  <si>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President</t>
  </si>
  <si>
    <t>(Title)</t>
  </si>
  <si>
    <t>Local Jurisdiction:</t>
  </si>
  <si>
    <t>County of Los Angeles</t>
  </si>
  <si>
    <t>City Manager:</t>
  </si>
  <si>
    <t>Lynn Katano</t>
  </si>
  <si>
    <t>Title:</t>
  </si>
  <si>
    <t>Manager, Hosuing Development Unit</t>
  </si>
  <si>
    <t xml:space="preserve">Mailing Address: </t>
  </si>
  <si>
    <t>700 W. Main Street</t>
  </si>
  <si>
    <t xml:space="preserve">City: </t>
  </si>
  <si>
    <t>Alhambra</t>
  </si>
  <si>
    <t>ALAMEDA</t>
  </si>
  <si>
    <t>Alameda</t>
  </si>
  <si>
    <t xml:space="preserve">Zip Code: </t>
  </si>
  <si>
    <t>ALPINE</t>
  </si>
  <si>
    <t>Alpine</t>
  </si>
  <si>
    <t>Phone Number:</t>
  </si>
  <si>
    <t>626-586-1806</t>
  </si>
  <si>
    <t>Ext.</t>
  </si>
  <si>
    <t>AMADOR</t>
  </si>
  <si>
    <t>Amador</t>
  </si>
  <si>
    <t xml:space="preserve">FAX Number: </t>
  </si>
  <si>
    <t>626-943-3815</t>
  </si>
  <si>
    <t>BUTTE</t>
  </si>
  <si>
    <t>Butte</t>
  </si>
  <si>
    <t xml:space="preserve">E-mail: </t>
  </si>
  <si>
    <t>lynn.katano@lacda.org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</si>
  <si>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</si>
  <si>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</si>
  <si>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</si>
  <si>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</si>
  <si>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</si>
  <si>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</si>
  <si>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</si>
  <si>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</si>
  <si>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</si>
  <si>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</si>
  <si>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</si>
  <si>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</si>
  <si>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</si>
  <si>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</si>
  <si>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</si>
  <si>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</si>
  <si>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</si>
  <si>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</si>
  <si>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</si>
  <si>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</si>
  <si>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</si>
  <si>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</si>
  <si>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</si>
  <si>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</si>
  <si>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</si>
  <si>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</si>
  <si>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</si>
  <si>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</si>
  <si>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</si>
  <si>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</si>
  <si>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</si>
  <si>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</si>
  <si>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</si>
  <si>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</si>
  <si>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</si>
  <si>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</si>
  <si>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</si>
  <si>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</si>
  <si>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</si>
  <si>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</si>
  <si>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</si>
  <si>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</si>
  <si>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</si>
  <si>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</si>
  <si>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</si>
  <si>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</si>
  <si>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</si>
  <si>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</si>
  <si>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</si>
  <si>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</si>
  <si>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</si>
  <si>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</si>
  <si>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</si>
  <si>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</si>
  <si>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</si>
  <si>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</si>
  <si>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</si>
  <si>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</si>
  <si>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</si>
  <si>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</si>
  <si>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</si>
  <si>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</si>
  <si>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</si>
  <si>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</si>
  <si>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</si>
  <si>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</si>
  <si>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</si>
  <si>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</si>
  <si>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</si>
  <si>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</si>
  <si>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</si>
  <si>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</si>
  <si>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</si>
  <si>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</si>
  <si>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</si>
  <si>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</si>
  <si>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11301 Wilshire Blvd.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</si>
  <si>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</si>
  <si>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</si>
  <si>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</si>
  <si>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</si>
  <si>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</si>
  <si>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</si>
  <si>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</si>
  <si>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</si>
  <si>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</si>
  <si>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</si>
  <si>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</si>
  <si>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</si>
  <si>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</si>
  <si>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</si>
  <si>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</si>
  <si>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</si>
  <si>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</si>
  <si>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</si>
  <si>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</si>
  <si>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</si>
  <si>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4365-007-903 (Portion)</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</si>
  <si>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</si>
  <si>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</si>
  <si>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</si>
  <si>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</si>
  <si>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</si>
  <si>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</si>
  <si>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</si>
  <si>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</si>
  <si>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</si>
  <si>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</si>
  <si>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</si>
  <si>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</si>
  <si>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</si>
  <si>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</si>
  <si>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</si>
  <si>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</si>
  <si>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</si>
  <si>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</si>
  <si>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</si>
  <si>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</si>
  <si>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</si>
  <si>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</si>
  <si>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</si>
  <si>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</si>
  <si>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</si>
  <si>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</si>
  <si>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</si>
  <si>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</si>
  <si>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</si>
  <si>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</si>
  <si>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</si>
  <si>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</si>
  <si>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</si>
  <si>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</si>
  <si>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</si>
  <si>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</si>
  <si>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</si>
  <si>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</si>
  <si>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</si>
  <si>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</si>
  <si>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</si>
  <si>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</si>
  <si>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</si>
  <si>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</si>
  <si>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</si>
  <si>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</si>
  <si>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</si>
  <si>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</si>
  <si>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</si>
  <si>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</si>
  <si>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</si>
  <si>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</si>
  <si>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</si>
  <si>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</si>
  <si>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</si>
  <si>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</si>
  <si>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</si>
  <si>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</si>
  <si>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</si>
  <si>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$500M</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</si>
  <si>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</si>
  <si>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</si>
  <si>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</si>
  <si>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</si>
  <si>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</si>
  <si>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</si>
  <si>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</si>
  <si>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</si>
  <si>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</si>
  <si>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</si>
  <si>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</si>
  <si>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</si>
  <si>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</si>
  <si>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</si>
  <si>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</si>
  <si>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</si>
  <si>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</si>
  <si>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</si>
  <si>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</si>
  <si>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</si>
  <si>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</si>
  <si>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</si>
  <si>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</si>
  <si>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</si>
  <si>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</si>
  <si>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</si>
  <si>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</si>
  <si>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</si>
  <si>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</si>
  <si>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</si>
  <si>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</si>
  <si>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</si>
  <si>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</si>
  <si>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</si>
  <si>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</si>
  <si>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</si>
  <si>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</si>
  <si>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</si>
  <si>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</si>
  <si>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</si>
  <si>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</si>
  <si>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</si>
  <si>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</si>
  <si>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</si>
  <si>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</si>
  <si>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</si>
  <si>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</si>
  <si>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</si>
  <si>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</si>
  <si>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</si>
  <si>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</si>
  <si>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</si>
  <si>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</si>
  <si>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</si>
  <si>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</si>
  <si>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</si>
  <si>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</si>
  <si>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</si>
  <si>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</si>
  <si>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</si>
  <si>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Salt Lake City</t>
  </si>
  <si>
    <t>State:</t>
  </si>
  <si>
    <t>UT</t>
  </si>
  <si>
    <t>Contact Person:</t>
  </si>
  <si>
    <t>Carol Cromar</t>
  </si>
  <si>
    <t>Phone:</t>
  </si>
  <si>
    <t>801-819-7989</t>
  </si>
  <si>
    <t>Ext.:</t>
  </si>
  <si>
    <t>Fax:</t>
  </si>
  <si>
    <t>both nonprofits</t>
  </si>
  <si>
    <t xml:space="preserve">Email: </t>
  </si>
  <si>
    <t>carol@hcahousing.com</t>
  </si>
  <si>
    <t>Legal Status of Applicant:</t>
  </si>
  <si>
    <t>Parent Company:</t>
  </si>
  <si>
    <t>If Other, Specify:</t>
  </si>
  <si>
    <t>both for-profit</t>
  </si>
  <si>
    <t>General Partner(s) Information (post-closing GPs):</t>
  </si>
  <si>
    <t>D(1)</t>
  </si>
  <si>
    <t>General Partner Name:</t>
  </si>
  <si>
    <t>Managing GP</t>
  </si>
  <si>
    <t>OWNERSHIP</t>
  </si>
  <si>
    <t>Nonprofit</t>
  </si>
  <si>
    <t>INTEREST (%):</t>
  </si>
  <si>
    <t>currently exists</t>
  </si>
  <si>
    <t>to be formed</t>
  </si>
  <si>
    <t>For Profit</t>
  </si>
  <si>
    <t>Nonprofit/For Profit:</t>
  </si>
  <si>
    <t>D(2)</t>
  </si>
  <si>
    <t>General Partner Name:*</t>
  </si>
  <si>
    <t>VA Building 408 LLC</t>
  </si>
  <si>
    <t>Administrative GP</t>
  </si>
  <si>
    <t xml:space="preserve">11811 San Vicente Blvd. </t>
  </si>
  <si>
    <t>CA</t>
  </si>
  <si>
    <t>Jordan Pynes</t>
  </si>
  <si>
    <t>310-820-2236</t>
  </si>
  <si>
    <t>TSAapplications@tsahousing.com</t>
  </si>
  <si>
    <t>TSA Housing Inc.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</si>
  <si>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</si>
  <si>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</si>
  <si>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</si>
  <si>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</si>
  <si>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</si>
  <si>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</si>
  <si>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</si>
  <si>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</si>
  <si>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</si>
  <si>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Kingdom Development, Inc</t>
  </si>
  <si>
    <t>6451 Box Springs Blvd</t>
  </si>
  <si>
    <t>William Leach</t>
  </si>
  <si>
    <t>951-538-6244</t>
  </si>
  <si>
    <t>william@kingdomdevelopment.net</t>
  </si>
  <si>
    <t>Participatory Role:</t>
  </si>
  <si>
    <t>Consultant</t>
  </si>
  <si>
    <t>(e.g., General Partner, Consultant, etc.)</t>
  </si>
  <si>
    <t>II. APPLICATION - SECTION 4: DEVELOPMENT TEAM INFORMATION</t>
  </si>
  <si>
    <t>Indicate and List All Development Team Members</t>
  </si>
  <si>
    <t>Developer:</t>
  </si>
  <si>
    <t>Architect:</t>
  </si>
  <si>
    <t>KFA, LLP</t>
  </si>
  <si>
    <t>Address:</t>
  </si>
  <si>
    <t>11811 San Vicente Blvd.</t>
  </si>
  <si>
    <t>3573 Hayden Avenue</t>
  </si>
  <si>
    <t>City, State, Zip</t>
  </si>
  <si>
    <t>Los Angeles, CA 90049</t>
  </si>
  <si>
    <t>City, State, Zip:</t>
  </si>
  <si>
    <t>Culver City, CA 90232</t>
  </si>
  <si>
    <t xml:space="preserve">Lise Bornstein </t>
  </si>
  <si>
    <t xml:space="preserve">310-399-7975 </t>
  </si>
  <si>
    <t>Email:</t>
  </si>
  <si>
    <t>lise@kfalosangeles.com</t>
  </si>
  <si>
    <t>Attorney:</t>
  </si>
  <si>
    <t>Bocarsly Emden</t>
  </si>
  <si>
    <t>General Contractor:</t>
  </si>
  <si>
    <t>LENA Construction</t>
  </si>
  <si>
    <t xml:space="preserve">633 W Fifth Street, 70th </t>
  </si>
  <si>
    <t>1112 S. San Julian Street</t>
  </si>
  <si>
    <t>Los Angeles CA 90071</t>
  </si>
  <si>
    <t>Los Angeles, CA 90015</t>
  </si>
  <si>
    <t>Nicole Deddens</t>
  </si>
  <si>
    <t>Greg Palm</t>
  </si>
  <si>
    <t>213-239-8029</t>
  </si>
  <si>
    <t>626-349-8747</t>
  </si>
  <si>
    <t>ndeddens@borcarsly.com</t>
  </si>
  <si>
    <t>gpalm@lenacon.com</t>
  </si>
  <si>
    <t>Tax Professional:</t>
  </si>
  <si>
    <t>Novogradac</t>
  </si>
  <si>
    <t>Energy Consultant:</t>
  </si>
  <si>
    <t>Partner Energy</t>
  </si>
  <si>
    <t>3780 Kilroy Airport Way, Ste 330</t>
  </si>
  <si>
    <t>680 Knox St., Ste 150</t>
  </si>
  <si>
    <t>Long Beach, CA 90822</t>
  </si>
  <si>
    <t>Los Angeles, CA 90502</t>
  </si>
  <si>
    <t>Craig Staswick</t>
  </si>
  <si>
    <t>Lance Collins</t>
  </si>
  <si>
    <t>562-256-3555</t>
  </si>
  <si>
    <t>310-356-2193</t>
  </si>
  <si>
    <t>craig.staswick@novoco.com</t>
  </si>
  <si>
    <t>lcollins@ptrenergy.com</t>
  </si>
  <si>
    <t>CPA:</t>
  </si>
  <si>
    <t>Investor:</t>
  </si>
  <si>
    <t>CREA LLC</t>
  </si>
  <si>
    <t>12396 World Trade Dr, Suite 307</t>
  </si>
  <si>
    <t>San Diego, CA 92128</t>
  </si>
  <si>
    <t>Matt Marienthal</t>
  </si>
  <si>
    <t>858-386-5198</t>
  </si>
  <si>
    <t>Craig.staswick@novoco.com</t>
  </si>
  <si>
    <t>mmarienthal@creallc.com</t>
  </si>
  <si>
    <t>Consultant:</t>
  </si>
  <si>
    <t>Kingdom Development, Inc.</t>
  </si>
  <si>
    <t>Market Analyst:</t>
  </si>
  <si>
    <t>Novogradac Consulting LLP</t>
  </si>
  <si>
    <t>6451 Box Springs Rd.</t>
  </si>
  <si>
    <t>6700 Antioch Road, Suite 450</t>
  </si>
  <si>
    <t>Riverside, CA 92507</t>
  </si>
  <si>
    <t>Merriam, KS 66204</t>
  </si>
  <si>
    <t>Rebecca S. Arthur, MAI</t>
  </si>
  <si>
    <t>913-312-4615</t>
  </si>
  <si>
    <t>rebecca.arthur@novoco.com</t>
  </si>
  <si>
    <t>Appraiser:</t>
  </si>
  <si>
    <t>CNA Consultant:</t>
  </si>
  <si>
    <t>Bond Issuer:</t>
  </si>
  <si>
    <t>CalHFA</t>
  </si>
  <si>
    <t>Prop. Mgmt. Co.:</t>
  </si>
  <si>
    <t>Thomas Safran &amp; Associates, Inc.</t>
  </si>
  <si>
    <t>500 Capitol Mall Suite 1400</t>
  </si>
  <si>
    <t>Sacramento CA 95814</t>
  </si>
  <si>
    <t>Ashley Carroll</t>
  </si>
  <si>
    <t>Elena Theisner</t>
  </si>
  <si>
    <t>916-326-8800</t>
  </si>
  <si>
    <t>310-820-4888</t>
  </si>
  <si>
    <t>Acarroll@calhfa.ca.gov</t>
  </si>
  <si>
    <t>elena@tsahousing.com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</si>
  <si>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</si>
  <si>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</si>
  <si>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</si>
  <si>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</si>
  <si>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</si>
  <si>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</si>
  <si>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</si>
  <si>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</si>
  <si>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</si>
  <si>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</si>
  <si>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</si>
  <si>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</si>
  <si>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</si>
  <si>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</si>
  <si>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</si>
  <si>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</si>
  <si>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</si>
  <si>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</si>
  <si>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</si>
  <si>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</si>
  <si>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</si>
  <si>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</si>
  <si>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</si>
  <si>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</si>
  <si>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</si>
  <si>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</si>
  <si>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</si>
  <si>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</si>
  <si>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</si>
  <si>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</si>
  <si>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</si>
  <si>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</si>
  <si>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</si>
  <si>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</si>
  <si>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</si>
  <si>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</si>
  <si>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</si>
  <si>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</si>
  <si>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</si>
  <si>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</si>
  <si>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</si>
  <si>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</si>
  <si>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</si>
  <si>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</si>
  <si>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</si>
  <si>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</si>
  <si>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</si>
  <si>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</si>
  <si>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</si>
  <si>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</si>
  <si>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</si>
  <si>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</si>
  <si>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</si>
  <si>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</si>
  <si>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</si>
  <si>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</si>
  <si>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</si>
  <si>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</si>
  <si>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</si>
  <si>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The United States Department of Veterans</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</si>
  <si>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</si>
  <si>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</si>
  <si>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</si>
  <si>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</si>
  <si>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</si>
  <si>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</si>
  <si>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</si>
  <si>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</si>
  <si>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</si>
  <si>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</si>
  <si>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</si>
  <si>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</si>
  <si>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</si>
  <si>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</si>
  <si>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</si>
  <si>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</si>
  <si>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</si>
  <si>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</si>
  <si>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</si>
  <si>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</si>
  <si>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</si>
  <si>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</si>
  <si>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Roughly 6500 SF of non-residential shell space dedicated to supportive and community services to serve the Veteran population. These spaces have been designed to have no impact on nor connecting points with amenities designated for residents only (e.g., courtyard, parking, etc.). These spaces will not generate income.</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</si>
  <si>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</si>
  <si>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</si>
  <si>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</si>
  <si>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</si>
  <si>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</si>
  <si>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</si>
  <si>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</si>
  <si>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</si>
  <si>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</si>
  <si>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</si>
  <si>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</si>
  <si>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</si>
  <si>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</si>
  <si>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</si>
  <si>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</si>
  <si>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</si>
  <si>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</si>
  <si>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</si>
  <si>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</si>
  <si>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</si>
  <si>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</si>
  <si>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</si>
  <si>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</si>
  <si>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</si>
  <si>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</si>
  <si>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</si>
  <si>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</si>
  <si>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</si>
  <si>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</si>
  <si>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</si>
  <si>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</si>
  <si>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</si>
  <si>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</si>
  <si>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</si>
  <si>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</si>
  <si>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</si>
  <si>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</si>
  <si>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</si>
  <si>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 xml:space="preserve">Units are on the West Los Angeles VA campus and will serve </t>
  </si>
  <si>
    <t>veteran households who are formerly homeless or at-risk of</t>
  </si>
  <si>
    <t>homelessness.</t>
  </si>
  <si>
    <t>II. APPLICATION - SECTION 6:  REQUIRED APPROVALS &amp; DEVELOPMENT TIMETABLE</t>
  </si>
  <si>
    <t>Project and Site Information</t>
  </si>
  <si>
    <t>Current Land Use Designation</t>
  </si>
  <si>
    <t>O-S Open Space</t>
  </si>
  <si>
    <t>2024 100% RENTS</t>
  </si>
  <si>
    <t>2024 FAIR MARKET RENTS</t>
  </si>
  <si>
    <t>Current Zoning and Maximum Density</t>
  </si>
  <si>
    <t>O-S</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</si>
  <si>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</si>
  <si>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</si>
  <si>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</si>
  <si>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</si>
  <si>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</si>
  <si>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</si>
  <si>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</si>
  <si>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</si>
  <si>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</si>
  <si>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</si>
  <si>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</si>
  <si>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</si>
  <si>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</si>
  <si>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no</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</si>
  <si>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</si>
  <si>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</si>
  <si>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</si>
  <si>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</si>
  <si>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</si>
  <si>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</si>
  <si>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</si>
  <si>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</si>
  <si>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</si>
  <si>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</si>
  <si>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</si>
  <si>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</si>
  <si>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</si>
  <si>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</si>
  <si>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</si>
  <si>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</si>
  <si>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</si>
  <si>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</si>
  <si>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</si>
  <si>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</si>
  <si>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</si>
  <si>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</si>
  <si>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</si>
  <si>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</si>
  <si>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</si>
  <si>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</si>
  <si>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</si>
  <si>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</si>
  <si>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</si>
  <si>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</si>
  <si>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</si>
  <si>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</si>
  <si>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</si>
  <si>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</si>
  <si>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</si>
  <si>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</si>
  <si>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</si>
  <si>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VA Capital Contribution</t>
  </si>
  <si>
    <t>Equity, Other Investor</t>
  </si>
  <si>
    <t>Grant</t>
  </si>
  <si>
    <t>Closing or Award</t>
  </si>
  <si>
    <t>Loan, Conventional</t>
  </si>
  <si>
    <t xml:space="preserve">Type and Source: </t>
  </si>
  <si>
    <t>Philanthropic Funds - WLAVC</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</si>
  <si>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</si>
  <si>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</si>
  <si>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</si>
  <si>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</si>
  <si>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</si>
  <si>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</si>
  <si>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</si>
  <si>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</si>
  <si>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</si>
  <si>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</si>
  <si>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</si>
  <si>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</si>
  <si>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</si>
  <si>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</si>
  <si>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</si>
  <si>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</si>
  <si>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</si>
  <si>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</si>
  <si>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</si>
  <si>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</si>
  <si>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</si>
  <si>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</si>
  <si>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</si>
  <si>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</si>
  <si>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</si>
  <si>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</si>
  <si>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</si>
  <si>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</si>
  <si>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</si>
  <si>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</si>
  <si>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</si>
  <si>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Citibank,N.A.</t>
  </si>
  <si>
    <t>Fixed</t>
  </si>
  <si>
    <t xml:space="preserve">CREA </t>
  </si>
  <si>
    <t>Philanthropic Funds (WLAVC)</t>
  </si>
  <si>
    <t>Deferred Developer Fee</t>
  </si>
  <si>
    <t>6)</t>
  </si>
  <si>
    <t>Deferred Reserves</t>
  </si>
  <si>
    <t>7)</t>
  </si>
  <si>
    <t>8)</t>
  </si>
  <si>
    <t>9)</t>
  </si>
  <si>
    <t>10)</t>
  </si>
  <si>
    <t>11)</t>
  </si>
  <si>
    <t>12)</t>
  </si>
  <si>
    <t>Total Funds For Construction:</t>
  </si>
  <si>
    <t>Lender/Source:</t>
  </si>
  <si>
    <t>300 South Grand Ave Suite 3110</t>
  </si>
  <si>
    <t>Contact Name:</t>
  </si>
  <si>
    <t>Michael Hemmens</t>
  </si>
  <si>
    <t>213-486-8917</t>
  </si>
  <si>
    <t>Type of Financing:</t>
  </si>
  <si>
    <t>Tax Exempt</t>
  </si>
  <si>
    <t>Taxable</t>
  </si>
  <si>
    <t>Variable Rate Index (if applicable):</t>
  </si>
  <si>
    <t>Is the Lender/Source Committed?</t>
  </si>
  <si>
    <t>12396 World Trade Dr Suite 307</t>
  </si>
  <si>
    <t>1000 Corporate Pointe</t>
  </si>
  <si>
    <t>San Diego CA 92128</t>
  </si>
  <si>
    <t>Culver City, CA 90230</t>
  </si>
  <si>
    <t>Richard Shea</t>
  </si>
  <si>
    <t>Brian D'Andrea</t>
  </si>
  <si>
    <t>850-386-5198</t>
  </si>
  <si>
    <t>310-663-9802</t>
  </si>
  <si>
    <t>Equity</t>
  </si>
  <si>
    <t>Soft funds</t>
  </si>
  <si>
    <t>Los Angeles CA 90049</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</si>
  <si>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</si>
  <si>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</si>
  <si>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</si>
  <si>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</si>
  <si>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</si>
  <si>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</si>
  <si>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</si>
  <si>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</si>
  <si>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</si>
  <si>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</si>
  <si>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</si>
  <si>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</si>
  <si>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</si>
  <si>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t>
  </si>
  <si>
    <t>Required</t>
  </si>
  <si>
    <t>Deferred</t>
  </si>
  <si>
    <t>TOTAL LI Units</t>
  </si>
  <si>
    <t>TOTAL LI Bedrooms</t>
  </si>
  <si>
    <t>Residual</t>
  </si>
  <si>
    <t>manager(s)</t>
  </si>
  <si>
    <t>Total Permanent Financing:</t>
  </si>
  <si>
    <t>Total Tax Credit Equity:</t>
  </si>
  <si>
    <t>Total Sources of Project Funds:</t>
  </si>
  <si>
    <t>TOTAL Manager Units</t>
  </si>
  <si>
    <t>TOTAL Manager Bedrooms</t>
  </si>
  <si>
    <t>11301 Wishire Blvd</t>
  </si>
  <si>
    <t>market rate</t>
  </si>
  <si>
    <t>market rate AMIs</t>
  </si>
  <si>
    <t>Los Angeles CA 90073</t>
  </si>
  <si>
    <t>Christopher B. Simms</t>
  </si>
  <si>
    <t>310-478-3711</t>
  </si>
  <si>
    <t>Conventional Loan</t>
  </si>
  <si>
    <t>Culver City Ca 90230</t>
  </si>
  <si>
    <t>Brian D' Andrea</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</si>
  <si>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</si>
  <si>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</si>
  <si>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</si>
  <si>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</si>
  <si>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</si>
  <si>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</si>
  <si>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</si>
  <si>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</si>
  <si>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</si>
  <si>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</si>
  <si>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</si>
  <si>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</si>
  <si>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</si>
  <si>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</si>
  <si>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</si>
  <si>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</si>
  <si>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</si>
  <si>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</si>
  <si>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</si>
  <si>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</si>
  <si>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</si>
  <si>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</si>
  <si>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</si>
  <si>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</si>
  <si>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</si>
  <si>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</si>
  <si>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</si>
  <si>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</si>
  <si>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</si>
  <si>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</si>
  <si>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</si>
  <si>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</si>
  <si>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</si>
  <si>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</si>
  <si>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</si>
  <si>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</si>
  <si>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</si>
  <si>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</si>
  <si>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</si>
  <si>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</si>
  <si>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</si>
  <si>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</si>
  <si>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</si>
  <si>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</si>
  <si>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</si>
  <si>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</si>
  <si>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</si>
  <si>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</si>
  <si>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</si>
  <si>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</si>
  <si>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</si>
  <si>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</si>
  <si>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</si>
  <si>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</si>
  <si>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</si>
  <si>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</si>
  <si>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</si>
  <si>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</si>
  <si>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</si>
  <si>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</si>
  <si>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</si>
  <si>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</si>
  <si>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</si>
  <si>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</si>
  <si>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</si>
  <si>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</si>
  <si>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</si>
  <si>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</si>
  <si>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</si>
  <si>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</si>
  <si>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</si>
  <si>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</si>
  <si>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</si>
  <si>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</si>
  <si>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</si>
  <si>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</si>
  <si>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</si>
  <si>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</si>
  <si>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</si>
  <si>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</si>
  <si>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</si>
  <si>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</si>
  <si>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 xml:space="preserve">Air Conditioning </t>
  </si>
  <si>
    <t>*PROJECTS PROPOSING UNITS WITH INDIVIDUAL WATER METERS MUST INCLUDE A WATER</t>
  </si>
  <si>
    <t>ALLOWANCE.</t>
  </si>
  <si>
    <t>Name of PHA or California Energy Commission Providing Utility Allowances:</t>
  </si>
  <si>
    <t>Los Angeles County Development Authority</t>
  </si>
  <si>
    <t>See Regulation Section 10322(h)(21) for type of projects that are allowed to use CUAC.</t>
  </si>
  <si>
    <t>Annual Residential Operating Expenses</t>
  </si>
  <si>
    <t xml:space="preserve"> Administrative</t>
  </si>
  <si>
    <t>Advertising:</t>
  </si>
  <si>
    <t>Legal:</t>
  </si>
  <si>
    <t>Accounting/Audit:</t>
  </si>
  <si>
    <t>Security:</t>
  </si>
  <si>
    <t>Office Supplies/Minor Equipment</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</si>
  <si>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</si>
  <si>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</si>
  <si>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</si>
  <si>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</si>
  <si>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</si>
  <si>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</si>
  <si>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</si>
  <si>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</si>
  <si>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</si>
  <si>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</si>
  <si>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</si>
  <si>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</si>
  <si>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</si>
  <si>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Benefits</t>
  </si>
  <si>
    <t>Total Payroll / Payroll Taxes:</t>
  </si>
  <si>
    <t>Total Insurance:</t>
  </si>
  <si>
    <t>Painting:</t>
  </si>
  <si>
    <t>Repairs:</t>
  </si>
  <si>
    <t>Trash Removal:</t>
  </si>
  <si>
    <t>Exterminating:</t>
  </si>
  <si>
    <t>Grounds:</t>
  </si>
  <si>
    <t>Elevator:</t>
  </si>
  <si>
    <t>Maintenance supplies</t>
  </si>
  <si>
    <t>Total Maintenance:</t>
  </si>
  <si>
    <t>Other Operating</t>
  </si>
  <si>
    <t>Janitorial Contract</t>
  </si>
  <si>
    <t>Expenses</t>
  </si>
  <si>
    <t>Fire Protection</t>
  </si>
  <si>
    <t>CAM Fees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</si>
  <si>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</si>
  <si>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</si>
  <si>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</si>
  <si>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</si>
  <si>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</si>
  <si>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</si>
  <si>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</si>
  <si>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</si>
  <si>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</si>
  <si>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</si>
  <si>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</si>
  <si>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</si>
  <si>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(Issuance/Trust Fees):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</si>
  <si>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</si>
  <si>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</si>
  <si>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</si>
  <si>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</si>
  <si>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</si>
  <si>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</si>
  <si>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</si>
  <si>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</si>
  <si>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</si>
  <si>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</si>
  <si>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</si>
  <si>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</si>
  <si>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</si>
  <si>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</si>
  <si>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</si>
  <si>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</si>
  <si>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</si>
  <si>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</si>
  <si>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</si>
  <si>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</si>
  <si>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</si>
  <si>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</si>
  <si>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</si>
  <si>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</si>
  <si>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</si>
  <si>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</si>
  <si>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</si>
  <si>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</si>
  <si>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</si>
  <si>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</si>
  <si>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</si>
  <si>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</si>
  <si>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</si>
  <si>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</si>
  <si>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</si>
  <si>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</si>
  <si>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</si>
  <si>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</si>
  <si>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</si>
  <si>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</si>
  <si>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</si>
  <si>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</si>
  <si>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</si>
  <si>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</si>
  <si>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</si>
  <si>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</si>
  <si>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</si>
  <si>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</si>
  <si>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HUD PBVASH</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</si>
  <si>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</si>
  <si>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</si>
  <si>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</si>
  <si>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</si>
  <si>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</si>
  <si>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</si>
  <si>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</si>
  <si>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</si>
  <si>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</si>
  <si>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</si>
  <si>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</si>
  <si>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</si>
  <si>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</si>
  <si>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</si>
  <si>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</si>
  <si>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</si>
  <si>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</si>
  <si>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</si>
  <si>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</si>
  <si>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</si>
  <si>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</si>
  <si>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</si>
  <si>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</si>
  <si>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</si>
  <si>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</si>
  <si>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</si>
  <si>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</si>
  <si>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</si>
  <si>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</si>
  <si>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</si>
  <si>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</si>
  <si>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</si>
  <si>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</si>
  <si>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</si>
  <si>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</si>
  <si>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</si>
  <si>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</si>
  <si>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</si>
  <si>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</si>
  <si>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</si>
  <si>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</si>
  <si>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</si>
  <si>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</si>
  <si>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</si>
  <si>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</si>
  <si>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</si>
  <si>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</si>
  <si>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</si>
  <si>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</si>
  <si>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</si>
  <si>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</si>
  <si>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</si>
  <si>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</si>
  <si>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</si>
  <si>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</si>
  <si>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</si>
  <si>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</si>
  <si>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</si>
  <si>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</si>
  <si>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</si>
  <si>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</si>
  <si>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</si>
  <si>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</si>
  <si>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</si>
  <si>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</si>
  <si>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</si>
  <si>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</si>
  <si>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</si>
  <si>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</si>
  <si>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</si>
  <si>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</si>
  <si>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</si>
  <si>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</si>
  <si>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</si>
  <si>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</si>
  <si>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</si>
  <si>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</si>
  <si>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</si>
  <si>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</si>
  <si>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</si>
  <si>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</si>
  <si>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</si>
  <si>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</si>
  <si>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</si>
  <si>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</si>
  <si>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</si>
  <si>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</si>
  <si>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</si>
  <si>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</si>
  <si>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</si>
  <si>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</si>
  <si>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</si>
  <si>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</si>
  <si>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</si>
  <si>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</si>
  <si>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</si>
  <si>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</si>
  <si>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</si>
  <si>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</si>
  <si>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</si>
  <si>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</si>
  <si>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</si>
  <si>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</si>
  <si>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</si>
  <si>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</si>
  <si>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</si>
  <si>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</si>
  <si>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</si>
  <si>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</si>
  <si>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</si>
  <si>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</si>
  <si>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</si>
  <si>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</si>
  <si>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</si>
  <si>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</si>
  <si>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</si>
  <si>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</si>
  <si>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</si>
  <si>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</si>
  <si>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</si>
  <si>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</si>
  <si>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</si>
  <si>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Preconstruction Services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</si>
  <si>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</si>
  <si>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</si>
  <si>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</si>
  <si>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</si>
  <si>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</si>
  <si>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</si>
  <si>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</si>
  <si>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</si>
  <si>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</si>
  <si>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</si>
  <si>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</si>
  <si>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</si>
  <si>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</si>
  <si>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</si>
  <si>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</si>
  <si>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</si>
  <si>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</si>
  <si>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</si>
  <si>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</si>
  <si>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</si>
  <si>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</si>
  <si>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</si>
  <si>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</si>
  <si>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</si>
  <si>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Partnership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</si>
  <si>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</si>
  <si>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</si>
  <si>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</si>
  <si>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</si>
  <si>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</si>
  <si>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</si>
  <si>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</si>
  <si>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</si>
  <si>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</si>
  <si>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</si>
  <si>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</si>
  <si>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</si>
  <si>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</si>
  <si>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</si>
  <si>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</si>
  <si>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</si>
  <si>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</si>
  <si>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</si>
  <si>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</si>
  <si>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</si>
  <si>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</si>
  <si>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</si>
  <si>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Master Plan Predevelopment</t>
  </si>
  <si>
    <t>Other: Jobs Coordinator, Deputy Inspector</t>
  </si>
  <si>
    <t>Other: Utility Fees, CASp Consultant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</si>
  <si>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</si>
  <si>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</si>
  <si>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</si>
  <si>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</si>
  <si>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</si>
  <si>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</si>
  <si>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</si>
  <si>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</si>
  <si>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</si>
  <si>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</si>
  <si>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</si>
  <si>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</si>
  <si>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</si>
  <si>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</si>
  <si>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</si>
  <si>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</si>
  <si>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</si>
  <si>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</si>
  <si>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</si>
  <si>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</si>
  <si>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</si>
  <si>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</si>
  <si>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</si>
  <si>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</si>
  <si>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</si>
  <si>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</si>
  <si>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</si>
  <si>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</si>
  <si>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</si>
  <si>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</si>
  <si>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</si>
  <si>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</si>
  <si>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</si>
  <si>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</si>
  <si>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</si>
  <si>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</si>
  <si>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</si>
  <si>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</si>
  <si>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</si>
  <si>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</si>
  <si>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</si>
  <si>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</si>
  <si>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</si>
  <si>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</si>
  <si>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</si>
  <si>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</si>
  <si>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</si>
  <si>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</si>
  <si>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</si>
  <si>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</si>
  <si>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</si>
  <si>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</si>
  <si>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</si>
  <si>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</si>
  <si>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</si>
  <si>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</si>
  <si>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</si>
  <si>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</si>
  <si>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</si>
  <si>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</si>
  <si>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</si>
  <si>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</si>
  <si>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</si>
  <si>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</si>
  <si>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</si>
  <si>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</si>
  <si>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</si>
  <si>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</si>
  <si>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</si>
  <si>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</si>
  <si>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</si>
  <si>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</si>
  <si>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</si>
  <si>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</si>
  <si>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</si>
  <si>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</si>
  <si>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</si>
  <si>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</si>
  <si>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</si>
  <si>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</si>
  <si>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</si>
  <si>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</si>
  <si>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</si>
  <si>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</si>
  <si>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</si>
  <si>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</si>
  <si>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</si>
  <si>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</si>
  <si>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</si>
  <si>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</si>
  <si>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</si>
  <si>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</si>
  <si>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</si>
  <si>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</si>
  <si>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</si>
  <si>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</si>
  <si>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</si>
  <si>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</si>
  <si>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</si>
  <si>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</si>
  <si>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</si>
  <si>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</si>
  <si>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</si>
  <si>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</si>
  <si>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</si>
  <si>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</si>
  <si>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</si>
  <si>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</si>
  <si>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</si>
  <si>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</si>
  <si>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</si>
  <si>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</si>
  <si>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</si>
  <si>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</si>
  <si>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</si>
  <si>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</si>
  <si>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</si>
  <si>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</si>
  <si>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</si>
  <si>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</si>
  <si>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</si>
  <si>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</si>
  <si>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</si>
  <si>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</si>
  <si>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</si>
  <si>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</si>
  <si>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</si>
  <si>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</si>
  <si>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</si>
  <si>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</si>
  <si>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Jordan Pynes, President of TSA Housing, Inc.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</si>
  <si>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</si>
  <si>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</si>
  <si>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</si>
  <si>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</si>
  <si>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</si>
  <si>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</si>
  <si>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</si>
  <si>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</si>
  <si>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</si>
  <si>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</si>
  <si>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</si>
  <si>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</si>
  <si>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</si>
  <si>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</si>
  <si>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</si>
  <si>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</si>
  <si>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</si>
  <si>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</si>
  <si>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</si>
  <si>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</si>
  <si>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</si>
  <si>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</si>
  <si>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</si>
  <si>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</si>
  <si>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</si>
  <si>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</si>
  <si>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</si>
  <si>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</si>
  <si>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</si>
  <si>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</si>
  <si>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</si>
  <si>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</si>
  <si>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</si>
  <si>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</si>
  <si>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</si>
  <si>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</si>
  <si>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</si>
  <si>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</si>
  <si>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</si>
  <si>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</si>
  <si>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</si>
  <si>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</si>
  <si>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</si>
  <si>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</si>
  <si>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</si>
  <si>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</si>
  <si>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</si>
  <si>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</si>
  <si>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</si>
  <si>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</si>
  <si>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</si>
  <si>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</si>
  <si>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</si>
  <si>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</si>
  <si>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</si>
  <si>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</si>
  <si>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</si>
  <si>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</si>
  <si>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</si>
  <si>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</si>
  <si>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</si>
  <si>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</si>
  <si>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</si>
  <si>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</si>
  <si>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</si>
  <si>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</si>
  <si>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</si>
  <si>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</si>
  <si>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</si>
  <si>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</si>
  <si>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</si>
  <si>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</si>
  <si>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</si>
  <si>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</si>
  <si>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</si>
  <si>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</si>
  <si>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</si>
  <si>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</si>
  <si>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</si>
  <si>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</si>
  <si>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</si>
  <si>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</si>
  <si>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</si>
  <si>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</si>
  <si>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</si>
  <si>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</si>
  <si>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</si>
  <si>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</si>
  <si>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</si>
  <si>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</si>
  <si>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</si>
  <si>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</si>
  <si>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</si>
  <si>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</si>
  <si>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</si>
  <si>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</si>
  <si>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</si>
  <si>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</si>
  <si>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</si>
  <si>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</si>
  <si>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</si>
  <si>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</si>
  <si>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</si>
  <si>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</si>
  <si>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</si>
  <si>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</si>
  <si>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</si>
  <si>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</si>
  <si>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</si>
  <si>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</si>
  <si>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</si>
  <si>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</si>
  <si>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</si>
  <si>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</si>
  <si>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</si>
  <si>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</si>
  <si>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</si>
  <si>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</si>
  <si>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</si>
  <si>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</si>
  <si>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</si>
  <si>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</si>
  <si>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</si>
  <si>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</si>
  <si>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</si>
  <si>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</si>
  <si>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</si>
  <si>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</si>
  <si>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</si>
  <si>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</si>
  <si>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</si>
  <si>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</si>
  <si>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</si>
  <si>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</si>
  <si>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</si>
  <si>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</si>
  <si>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</si>
  <si>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</si>
  <si>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</si>
  <si>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</si>
  <si>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</si>
  <si>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</si>
  <si>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</si>
  <si>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</si>
  <si>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</si>
  <si>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</si>
  <si>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</si>
  <si>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</si>
  <si>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</si>
  <si>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</si>
  <si>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</si>
  <si>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</si>
  <si>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</si>
  <si>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</si>
  <si>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</si>
  <si>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</si>
  <si>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</si>
  <si>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</si>
  <si>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</si>
  <si>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</si>
  <si>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</si>
  <si>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</si>
  <si>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</si>
  <si>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</si>
  <si>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</si>
  <si>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</si>
  <si>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</si>
  <si>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</si>
  <si>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</si>
  <si>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</si>
  <si>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</si>
  <si>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</si>
  <si>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</si>
  <si>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</si>
  <si>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</si>
  <si>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</si>
  <si>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</si>
  <si>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</si>
  <si>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</si>
  <si>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</si>
  <si>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</si>
  <si>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</si>
  <si>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</si>
  <si>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</si>
  <si>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</si>
  <si>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</si>
  <si>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</si>
  <si>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</si>
  <si>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</si>
  <si>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</si>
  <si>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</si>
  <si>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</si>
  <si>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</si>
  <si>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</si>
  <si>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</si>
  <si>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</si>
  <si>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</si>
  <si>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</si>
  <si>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</si>
  <si>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</si>
  <si>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</si>
  <si>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</si>
  <si>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</si>
  <si>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</si>
  <si>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</si>
  <si>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</si>
  <si>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</si>
  <si>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</si>
  <si>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</si>
  <si>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</si>
  <si>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</si>
  <si>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</si>
  <si>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</si>
  <si>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</si>
  <si>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</si>
  <si>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</si>
  <si>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</si>
  <si>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</si>
  <si>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</si>
  <si>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</si>
  <si>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</si>
  <si>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</si>
  <si>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</si>
  <si>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</si>
  <si>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</si>
  <si>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</si>
  <si>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</si>
  <si>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</si>
  <si>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</si>
  <si>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</si>
  <si>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</si>
  <si>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</si>
  <si>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</si>
  <si>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</si>
  <si>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</si>
  <si>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</si>
  <si>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</si>
  <si>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</si>
  <si>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</si>
  <si>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</si>
  <si>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</si>
  <si>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</si>
  <si>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</si>
  <si>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</si>
  <si>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</si>
  <si>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</si>
  <si>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</si>
  <si>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</si>
  <si>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</si>
  <si>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</si>
  <si>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</si>
  <si>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</si>
  <si>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</si>
  <si>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</si>
  <si>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</si>
  <si>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</si>
  <si>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</si>
  <si>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</si>
  <si>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</si>
  <si>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</si>
  <si>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</si>
  <si>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</si>
  <si>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</si>
  <si>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</si>
  <si>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</si>
  <si>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</si>
  <si>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</si>
  <si>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</si>
  <si>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</si>
  <si>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</si>
  <si>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</si>
  <si>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</si>
  <si>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</si>
  <si>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</si>
  <si>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</si>
  <si>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</si>
  <si>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</si>
  <si>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</si>
  <si>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</si>
  <si>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</si>
  <si>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</si>
  <si>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</si>
  <si>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</si>
  <si>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</si>
  <si>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</si>
  <si>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</si>
  <si>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</si>
  <si>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</si>
  <si>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</si>
  <si>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</si>
  <si>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</si>
  <si>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</si>
  <si>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</si>
  <si>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</si>
  <si>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</si>
  <si>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</si>
  <si>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</si>
  <si>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</si>
  <si>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</si>
  <si>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</si>
  <si>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</si>
  <si>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</si>
  <si>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</si>
  <si>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</si>
  <si>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</si>
  <si>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</si>
  <si>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</si>
  <si>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</si>
  <si>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</si>
  <si>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</si>
  <si>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</si>
  <si>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</si>
  <si>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</si>
  <si>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</si>
  <si>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</si>
  <si>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</si>
  <si>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</si>
  <si>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</si>
  <si>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</si>
  <si>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</si>
  <si>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</si>
  <si>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</si>
  <si>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</si>
  <si>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</si>
  <si>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</si>
  <si>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</si>
  <si>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</si>
  <si>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</si>
  <si>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</si>
  <si>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</si>
  <si>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</si>
  <si>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</si>
  <si>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</si>
  <si>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</si>
  <si>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</si>
  <si>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</si>
  <si>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</si>
  <si>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</si>
  <si>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</si>
  <si>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</si>
  <si>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</si>
  <si>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</si>
  <si>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</si>
  <si>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</si>
  <si>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</si>
  <si>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</si>
  <si>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</si>
  <si>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</si>
  <si>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</si>
  <si>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</si>
  <si>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</si>
  <si>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</si>
  <si>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</si>
  <si>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</si>
  <si>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</si>
  <si>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</si>
  <si>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</si>
  <si>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</si>
  <si>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</si>
  <si>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</si>
  <si>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</si>
  <si>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</si>
  <si>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</si>
  <si>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</si>
  <si>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</si>
  <si>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</si>
  <si>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</si>
  <si>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</si>
  <si>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</si>
  <si>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</si>
  <si>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</si>
  <si>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</si>
  <si>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</si>
  <si>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</si>
  <si>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</si>
  <si>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</si>
  <si>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</si>
  <si>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</si>
  <si>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</si>
  <si>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</si>
  <si>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</si>
  <si>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</si>
  <si>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</si>
  <si>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</si>
  <si>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</si>
  <si>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</si>
  <si>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</si>
  <si>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</si>
  <si>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</si>
  <si>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</si>
  <si>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</si>
  <si>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</si>
  <si>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</si>
  <si>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</si>
  <si>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</si>
  <si>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</si>
  <si>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</si>
  <si>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</si>
  <si>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</si>
  <si>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</si>
  <si>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</si>
  <si>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</si>
  <si>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</si>
  <si>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</si>
  <si>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</si>
  <si>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</si>
  <si>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</si>
  <si>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</si>
  <si>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</si>
  <si>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</si>
  <si>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</si>
  <si>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</si>
  <si>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</si>
  <si>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</si>
  <si>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</si>
  <si>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</si>
  <si>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</si>
  <si>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</si>
  <si>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</si>
  <si>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</si>
  <si>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</si>
  <si>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</si>
  <si>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</si>
  <si>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</si>
  <si>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</si>
  <si>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</si>
  <si>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</si>
  <si>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</si>
  <si>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</si>
  <si>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</si>
  <si>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</si>
  <si>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</si>
  <si>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</si>
  <si>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</si>
  <si>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</si>
  <si>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</si>
  <si>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</si>
  <si>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</si>
  <si>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</si>
  <si>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</si>
  <si>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</si>
  <si>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</si>
  <si>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</si>
  <si>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</si>
  <si>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</si>
  <si>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</si>
  <si>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</si>
  <si>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</si>
  <si>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</si>
  <si>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</si>
  <si>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</si>
  <si>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</si>
  <si>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</si>
  <si>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</si>
  <si>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</si>
  <si>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</si>
  <si>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</si>
  <si>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</si>
  <si>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</si>
  <si>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</si>
  <si>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</si>
  <si>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</si>
  <si>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</si>
  <si>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</si>
  <si>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</si>
  <si>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</si>
  <si>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</si>
  <si>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</si>
  <si>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</si>
  <si>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</si>
  <si>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</si>
  <si>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</si>
  <si>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</si>
  <si>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</si>
  <si>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</si>
  <si>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</si>
  <si>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</si>
  <si>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</si>
  <si>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</si>
  <si>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</si>
  <si>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</si>
  <si>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</si>
  <si>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</si>
  <si>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</si>
  <si>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</si>
  <si>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</si>
  <si>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</si>
  <si>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</si>
  <si>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</si>
  <si>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</si>
  <si>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</si>
  <si>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</si>
  <si>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</si>
  <si>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</si>
  <si>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</si>
  <si>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</si>
  <si>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</si>
  <si>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</si>
  <si>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</si>
  <si>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</si>
  <si>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</si>
  <si>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</si>
  <si>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</si>
  <si>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</si>
  <si>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</si>
  <si>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</si>
  <si>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</si>
  <si>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</si>
  <si>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</si>
  <si>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</si>
  <si>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</si>
  <si>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</si>
  <si>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</si>
  <si>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</si>
  <si>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</si>
  <si>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</si>
  <si>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</si>
  <si>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</si>
  <si>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</si>
  <si>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</si>
  <si>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Thomas Safran &amp; Associates</t>
  </si>
  <si>
    <t>Description of Service (If necessary, use separate sheet)</t>
  </si>
  <si>
    <t>See Supportive Service Plan</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</si>
  <si>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</si>
  <si>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</si>
  <si>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</si>
  <si>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</si>
  <si>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</si>
  <si>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</si>
  <si>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</si>
  <si>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</si>
  <si>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</si>
  <si>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</si>
  <si>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</si>
  <si>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</si>
  <si>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</si>
  <si>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</si>
  <si>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</si>
  <si>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</si>
  <si>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</si>
  <si>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</si>
  <si>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</si>
  <si>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</si>
  <si>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</si>
  <si>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</si>
  <si>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</si>
  <si>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</si>
  <si>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</si>
  <si>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</si>
  <si>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</si>
  <si>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</si>
  <si>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</si>
  <si>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</si>
  <si>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</si>
  <si>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</si>
  <si>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</si>
  <si>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</si>
  <si>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</si>
  <si>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</si>
  <si>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</si>
  <si>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</si>
  <si>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</si>
  <si>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</si>
  <si>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</si>
  <si>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</si>
  <si>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</si>
  <si>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</si>
  <si>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</si>
  <si>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</si>
  <si>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</si>
  <si>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</si>
  <si>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</si>
  <si>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</si>
  <si>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</si>
  <si>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</si>
  <si>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</si>
  <si>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</si>
  <si>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</si>
  <si>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</si>
  <si>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</si>
  <si>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</si>
  <si>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</si>
  <si>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</si>
  <si>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</si>
  <si>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</si>
  <si>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</si>
  <si>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</si>
  <si>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</si>
  <si>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</si>
  <si>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</si>
  <si>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</si>
  <si>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</si>
  <si>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</si>
  <si>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</si>
  <si>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</si>
  <si>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</si>
  <si>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</si>
  <si>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</si>
  <si>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</si>
  <si>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</si>
  <si>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</si>
  <si>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</si>
  <si>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</si>
  <si>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</si>
  <si>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</si>
  <si>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</si>
  <si>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</si>
  <si>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</si>
  <si>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</si>
  <si>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</si>
  <si>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</si>
  <si>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</si>
  <si>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</si>
  <si>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</si>
  <si>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</si>
  <si>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</si>
  <si>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</si>
  <si>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</si>
  <si>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</si>
  <si>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</si>
  <si>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</si>
  <si>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</si>
  <si>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</si>
  <si>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</si>
  <si>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</si>
  <si>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</si>
  <si>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</si>
  <si>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</si>
  <si>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</si>
  <si>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</si>
  <si>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</si>
  <si>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</si>
  <si>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</si>
  <si>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</si>
  <si>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</si>
  <si>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</si>
  <si>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</si>
  <si>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</si>
  <si>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</si>
  <si>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</si>
  <si>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</si>
  <si>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</si>
  <si>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</si>
  <si>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</si>
  <si>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</si>
  <si>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</si>
  <si>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</si>
  <si>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</si>
  <si>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</si>
  <si>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</si>
  <si>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</si>
  <si>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</si>
  <si>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</si>
  <si>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</si>
  <si>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</si>
  <si>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</si>
  <si>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</si>
  <si>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</si>
  <si>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</si>
  <si>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</si>
  <si>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</si>
  <si>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</si>
  <si>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</si>
  <si>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</si>
  <si>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</si>
  <si>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</si>
  <si>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</si>
  <si>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</si>
  <si>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</si>
  <si>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</si>
  <si>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</si>
  <si>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</si>
  <si>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</si>
  <si>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</si>
  <si>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</si>
  <si>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</si>
  <si>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</si>
  <si>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</si>
  <si>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</si>
  <si>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</si>
  <si>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</si>
  <si>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</si>
  <si>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</si>
  <si>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</si>
  <si>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</si>
  <si>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</si>
  <si>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</si>
  <si>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</si>
  <si>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</si>
  <si>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</si>
  <si>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</si>
  <si>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</si>
  <si>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</si>
  <si>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</si>
  <si>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</si>
  <si>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</si>
  <si>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</si>
  <si>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</si>
  <si>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</si>
  <si>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</si>
  <si>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</si>
  <si>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</si>
  <si>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</si>
  <si>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</si>
  <si>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</si>
  <si>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</si>
  <si>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</si>
  <si>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</si>
  <si>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</si>
  <si>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</si>
  <si>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</si>
  <si>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</si>
  <si>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</si>
  <si>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</si>
  <si>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</si>
  <si>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</si>
  <si>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</si>
  <si>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</si>
  <si>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</si>
  <si>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</si>
  <si>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</si>
  <si>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</si>
  <si>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</si>
  <si>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</si>
  <si>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</si>
  <si>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</si>
  <si>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</si>
  <si>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</si>
  <si>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</si>
  <si>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</si>
  <si>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</si>
  <si>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</si>
  <si>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</si>
  <si>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</si>
  <si>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</si>
  <si>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</si>
  <si>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</si>
  <si>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</si>
  <si>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</si>
  <si>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</si>
  <si>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</si>
  <si>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</si>
  <si>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</si>
  <si>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</si>
  <si>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</si>
  <si>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</si>
  <si>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</si>
  <si>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</si>
  <si>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</si>
  <si>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</si>
  <si>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</si>
  <si>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</si>
  <si>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</si>
  <si>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</si>
  <si>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</si>
  <si>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</si>
  <si>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</si>
  <si>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</si>
  <si>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</si>
  <si>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</si>
  <si>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</si>
  <si>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</si>
  <si>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</si>
  <si>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</si>
  <si>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</si>
  <si>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</si>
  <si>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</si>
  <si>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</si>
  <si>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</si>
  <si>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</si>
  <si>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</si>
  <si>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</si>
  <si>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</si>
  <si>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One 4-story elevator-serviced midrise building </t>
  </si>
  <si>
    <t>Provided</t>
  </si>
  <si>
    <t>1592 South 1100 East</t>
  </si>
  <si>
    <t>06037980017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</si>
</sst>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5" borderId="3" xfId="0" applyFont="1" applyFill="1" applyBorder="1" applyAlignment="1" applyProtection="1">
      <alignment horizontal="left"/>
      <protection locked="0"/>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0" fillId="5" borderId="4" xfId="0"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8" fontId="159" fillId="0" borderId="0" xfId="0" applyNumberFormat="1" applyFont="1" applyAlignment="1">
      <alignment horizontal="center" vertical="center" wrapText="1"/>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3" fillId="5" borderId="11" xfId="0" applyNumberFormat="1"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0" fontId="0" fillId="5"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0" fontId="13" fillId="0" borderId="11" xfId="0" applyNumberFormat="1" applyFont="1" applyBorder="1" applyAlignment="1">
      <alignment horizontal="center"/>
    </xf>
    <xf numFmtId="3" fontId="13" fillId="0" borderId="11" xfId="0" applyNumberFormat="1" applyFont="1" applyBorder="1" applyAlignment="1">
      <alignment horizont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0" fillId="5" borderId="0" xfId="0" applyFill="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0" fontId="0" fillId="0" borderId="6"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0" borderId="6" xfId="0" applyFont="1" applyBorder="1" applyAlignment="1">
      <alignment horizontal="left"/>
    </xf>
    <xf numFmtId="0" fontId="13"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19" fillId="3" borderId="0" xfId="0" applyFont="1" applyFill="1" applyAlignment="1">
      <alignment horizontal="center" vertical="center"/>
    </xf>
    <xf numFmtId="0" fontId="0" fillId="0" borderId="0" xfId="0" applyAlignment="1">
      <alignment wrapText="1"/>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quotePrefix="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0" fillId="43" borderId="4" xfId="0"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20" fillId="0" borderId="11" xfId="0" applyFont="1" applyBorder="1" applyAlignment="1">
      <alignment horizontal="center"/>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13" fillId="0" borderId="11" xfId="0" applyFont="1" applyBorder="1" applyAlignment="1">
      <alignment horizontal="center" vertical="top" wrapText="1"/>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3" xfId="0" applyFont="1" applyBorder="1"/>
    <xf numFmtId="0" fontId="13" fillId="0" borderId="4" xfId="0" applyFont="1" applyBorder="1"/>
    <xf numFmtId="0" fontId="13"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2" xfId="0" applyFont="1" applyBorder="1" applyAlignment="1">
      <alignment horizontal="right"/>
    </xf>
    <xf numFmtId="0" fontId="20" fillId="0" borderId="7" xfId="0" applyFont="1" applyBorder="1" applyAlignment="1">
      <alignment horizontal="right"/>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20" fillId="0" borderId="6" xfId="0"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7"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0" fillId="0" borderId="12"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4" fontId="0" fillId="5" borderId="3" xfId="0" quotePrefix="1" applyNumberFormat="1" applyFill="1" applyBorder="1" applyAlignment="1" applyProtection="1">
      <alignment horizontal="righ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22860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19685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05" workbookViewId="0">
      <selection activeCell="E343" sqref="E343:AK347"/>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30" t="s">
        <v>0</v>
      </c>
      <c r="B1" s="1230"/>
      <c r="C1" s="1230"/>
      <c r="D1" s="1230"/>
      <c r="E1" s="1230"/>
      <c r="F1" s="1230"/>
      <c r="G1" s="1230"/>
      <c r="H1" s="1230"/>
      <c r="I1" s="1230"/>
      <c r="J1" s="1230"/>
      <c r="K1" s="1230"/>
      <c r="L1" s="1230"/>
      <c r="M1" s="1230"/>
      <c r="N1" s="1230"/>
      <c r="O1" s="1230"/>
      <c r="P1" s="1230"/>
      <c r="Q1" s="1230"/>
      <c r="R1" s="1230"/>
      <c r="S1" s="1230"/>
      <c r="T1" s="1230"/>
      <c r="U1" s="1230"/>
      <c r="V1" s="1230"/>
      <c r="W1" s="1230"/>
      <c r="X1" s="1230"/>
      <c r="Y1" s="1230"/>
      <c r="Z1" s="1230"/>
      <c r="AA1" s="1230"/>
      <c r="AB1" s="1230"/>
      <c r="AC1" s="1230"/>
      <c r="AD1" s="1230"/>
      <c r="AE1" s="1230"/>
      <c r="AF1" s="1230"/>
      <c r="AG1" s="1230"/>
      <c r="AH1" s="1230"/>
      <c r="AI1" s="1230"/>
      <c r="AJ1" s="1230"/>
      <c r="AK1" s="1230"/>
      <c r="AL1" s="1230"/>
    </row>
    <row r="2" spans="1:38" ht="13.8" thickBot="1">
      <c r="A2" s="1231"/>
      <c r="B2" s="1231"/>
      <c r="C2" s="1231"/>
      <c r="D2" s="1231"/>
      <c r="E2" s="1231"/>
      <c r="F2" s="1231"/>
      <c r="G2" s="1231"/>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row>
    <row r="3" spans="1:38" ht="13.8" thickTop="1"/>
    <row r="4" spans="1:38" s="5" customFormat="1">
      <c r="B4" s="11" t="s">
        <v>1</v>
      </c>
      <c r="C4" s="11" t="s">
        <v>2</v>
      </c>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43"/>
      <c r="B7" s="143"/>
      <c r="C7" s="144"/>
      <c r="D7" s="1220" t="s">
        <v>5</v>
      </c>
      <c r="E7" s="1220"/>
      <c r="F7" s="1220"/>
      <c r="G7" s="1220"/>
      <c r="H7" s="1220"/>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381"/>
    </row>
    <row r="8" spans="1:38">
      <c r="A8" s="143"/>
      <c r="B8" s="143"/>
      <c r="C8" s="144"/>
      <c r="D8" s="1220"/>
      <c r="E8" s="1220"/>
      <c r="F8" s="1220"/>
      <c r="G8" s="1220"/>
      <c r="H8" s="1220"/>
      <c r="I8" s="1220"/>
      <c r="J8" s="1220"/>
      <c r="K8" s="1220"/>
      <c r="L8" s="1220"/>
      <c r="M8" s="1220"/>
      <c r="N8" s="1220"/>
      <c r="O8" s="1220"/>
      <c r="P8" s="1220"/>
      <c r="Q8" s="1220"/>
      <c r="R8" s="1220"/>
      <c r="S8" s="1220"/>
      <c r="T8" s="1220"/>
      <c r="U8" s="1220"/>
      <c r="V8" s="1220"/>
      <c r="W8" s="1220"/>
      <c r="X8" s="1220"/>
      <c r="Y8" s="1220"/>
      <c r="Z8" s="1220"/>
      <c r="AA8" s="1220"/>
      <c r="AB8" s="1220"/>
      <c r="AC8" s="1220"/>
      <c r="AD8" s="1220"/>
      <c r="AE8" s="1220"/>
      <c r="AF8" s="1220"/>
      <c r="AG8" s="1220"/>
      <c r="AH8" s="1220"/>
      <c r="AI8" s="1220"/>
      <c r="AJ8" s="1220"/>
      <c r="AK8" s="1220"/>
      <c r="AL8" s="381"/>
    </row>
    <row r="9" spans="1:38">
      <c r="A9" s="143"/>
      <c r="B9" s="143"/>
      <c r="C9" s="144"/>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c r="AB9" s="1220"/>
      <c r="AC9" s="1220"/>
      <c r="AD9" s="1220"/>
      <c r="AE9" s="1220"/>
      <c r="AF9" s="1220"/>
      <c r="AG9" s="1220"/>
      <c r="AH9" s="1220"/>
      <c r="AI9" s="1220"/>
      <c r="AJ9" s="1220"/>
      <c r="AK9" s="1220"/>
      <c r="AL9" s="381"/>
    </row>
    <row r="10" spans="1:38">
      <c r="A10" s="143"/>
      <c r="B10" s="143"/>
      <c r="C10" s="144"/>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381"/>
      <c r="AL10" s="381"/>
    </row>
    <row r="11" spans="1:38" ht="13.2" customHeight="1">
      <c r="A11" s="143"/>
      <c r="B11" s="143"/>
      <c r="C11" s="144"/>
      <c r="D11" s="1220" t="s">
        <v>6</v>
      </c>
      <c r="E11" s="1220"/>
      <c r="F11" s="1220"/>
      <c r="G11" s="1220"/>
      <c r="H11" s="1220"/>
      <c r="I11" s="1220"/>
      <c r="J11" s="1220"/>
      <c r="K11" s="1220"/>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c r="AH11" s="1220"/>
      <c r="AI11" s="1220"/>
      <c r="AJ11" s="1220"/>
      <c r="AK11" s="1220"/>
      <c r="AL11" s="381"/>
    </row>
    <row r="12" spans="1:38">
      <c r="A12" s="143"/>
      <c r="B12" s="143"/>
      <c r="C12" s="144"/>
      <c r="D12" s="1220"/>
      <c r="E12" s="1220"/>
      <c r="F12" s="1220"/>
      <c r="G12" s="1220"/>
      <c r="H12" s="1220"/>
      <c r="I12" s="1220"/>
      <c r="J12" s="1220"/>
      <c r="K12" s="122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c r="AH12" s="1220"/>
      <c r="AI12" s="1220"/>
      <c r="AJ12" s="1220"/>
      <c r="AK12" s="1220"/>
      <c r="AL12" s="381"/>
    </row>
    <row r="13" spans="1:38">
      <c r="A13" s="143"/>
      <c r="B13" s="143"/>
      <c r="C13" s="144"/>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381"/>
    </row>
    <row r="14" spans="1:38" ht="13.2" customHeight="1">
      <c r="A14" s="143"/>
      <c r="B14" s="143"/>
      <c r="C14" s="144"/>
      <c r="E14" s="1220" t="s">
        <v>7</v>
      </c>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381"/>
    </row>
    <row r="15" spans="1:38" ht="13.2" customHeight="1">
      <c r="A15" s="143"/>
      <c r="B15" s="143"/>
      <c r="C15" s="144"/>
      <c r="E15" s="1220"/>
      <c r="F15" s="1220"/>
      <c r="G15" s="1220"/>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381"/>
    </row>
    <row r="16" spans="1:38">
      <c r="A16" s="143"/>
      <c r="B16" s="143"/>
      <c r="C16" s="144"/>
      <c r="D16" s="381"/>
      <c r="E16" s="1220"/>
      <c r="F16" s="1220"/>
      <c r="G16" s="1220"/>
      <c r="H16" s="1220"/>
      <c r="I16" s="1220"/>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0"/>
      <c r="AJ16" s="1220"/>
      <c r="AK16" s="1220"/>
      <c r="AL16" s="381"/>
    </row>
    <row r="17" spans="1:38">
      <c r="A17" s="143"/>
      <c r="B17" s="143"/>
      <c r="C17" s="144"/>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c r="AL17" s="381"/>
    </row>
    <row r="18" spans="1:38" ht="13.2" customHeight="1">
      <c r="A18" s="143"/>
      <c r="B18" s="143"/>
      <c r="C18" s="144"/>
      <c r="D18" s="1220" t="s">
        <v>8</v>
      </c>
      <c r="E18" s="1220"/>
      <c r="F18" s="1220"/>
      <c r="G18" s="1220"/>
      <c r="H18" s="1220"/>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c r="AK18" s="1220"/>
      <c r="AL18" s="143"/>
    </row>
    <row r="19" spans="1:38">
      <c r="A19" s="143"/>
      <c r="B19" s="143"/>
      <c r="C19" s="144"/>
      <c r="D19" s="1220"/>
      <c r="E19" s="1220"/>
      <c r="F19" s="1220"/>
      <c r="G19" s="1220"/>
      <c r="H19" s="1220"/>
      <c r="I19" s="1220"/>
      <c r="J19" s="1220"/>
      <c r="K19" s="1220"/>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220"/>
      <c r="AK19" s="1220"/>
      <c r="AL19" s="143"/>
    </row>
    <row r="20" spans="1:38">
      <c r="A20" s="143"/>
      <c r="B20" s="143"/>
      <c r="C20" s="144"/>
      <c r="D20" s="1220"/>
      <c r="E20" s="1220"/>
      <c r="F20" s="1220"/>
      <c r="G20" s="1220"/>
      <c r="H20" s="1220"/>
      <c r="I20" s="1220"/>
      <c r="J20" s="1220"/>
      <c r="K20" s="1220"/>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c r="AH20" s="1220"/>
      <c r="AI20" s="1220"/>
      <c r="AJ20" s="1220"/>
      <c r="AK20" s="1220"/>
      <c r="AL20" s="143"/>
    </row>
    <row r="21" spans="1:38" ht="13.2" customHeight="1">
      <c r="A21" s="143"/>
      <c r="B21" s="143"/>
      <c r="C21" s="144"/>
      <c r="D21" s="1220"/>
      <c r="E21" s="1220"/>
      <c r="F21" s="1220"/>
      <c r="G21" s="1220"/>
      <c r="H21" s="1220"/>
      <c r="I21" s="1220"/>
      <c r="J21" s="1220"/>
      <c r="K21" s="1220"/>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c r="AH21" s="1220"/>
      <c r="AI21" s="1220"/>
      <c r="AJ21" s="1220"/>
      <c r="AK21" s="1220"/>
      <c r="AL21" s="143"/>
    </row>
    <row r="22" spans="1:38">
      <c r="A22" s="143"/>
      <c r="B22" s="143"/>
      <c r="C22" s="144"/>
      <c r="D22" s="1220"/>
      <c r="E22" s="1220"/>
      <c r="F22" s="1220"/>
      <c r="G22" s="1220"/>
      <c r="H22" s="1220"/>
      <c r="I22" s="1220"/>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0"/>
      <c r="AJ22" s="1220"/>
      <c r="AK22" s="1220"/>
      <c r="AL22" s="143"/>
    </row>
    <row r="23" spans="1:38">
      <c r="A23" s="143"/>
      <c r="B23" s="143"/>
      <c r="C23" s="144"/>
      <c r="D23" s="1220"/>
      <c r="E23" s="1220"/>
      <c r="F23" s="1220"/>
      <c r="G23" s="1220"/>
      <c r="H23" s="1220"/>
      <c r="I23" s="1220"/>
      <c r="J23" s="1220"/>
      <c r="K23" s="1220"/>
      <c r="L23" s="1220"/>
      <c r="M23" s="1220"/>
      <c r="N23" s="1220"/>
      <c r="O23" s="1220"/>
      <c r="P23" s="1220"/>
      <c r="Q23" s="1220"/>
      <c r="R23" s="1220"/>
      <c r="S23" s="1220"/>
      <c r="T23" s="1220"/>
      <c r="U23" s="1220"/>
      <c r="V23" s="1220"/>
      <c r="W23" s="1220"/>
      <c r="X23" s="1220"/>
      <c r="Y23" s="1220"/>
      <c r="Z23" s="1220"/>
      <c r="AA23" s="1220"/>
      <c r="AB23" s="1220"/>
      <c r="AC23" s="1220"/>
      <c r="AD23" s="1220"/>
      <c r="AE23" s="1220"/>
      <c r="AF23" s="1220"/>
      <c r="AG23" s="1220"/>
      <c r="AH23" s="1220"/>
      <c r="AI23" s="1220"/>
      <c r="AJ23" s="1220"/>
      <c r="AK23" s="1220"/>
      <c r="AL23" s="143"/>
    </row>
    <row r="24" spans="1:38">
      <c r="A24" s="143"/>
      <c r="B24" s="143"/>
      <c r="C24" s="144"/>
      <c r="D24" s="1220"/>
      <c r="E24" s="1220"/>
      <c r="F24" s="1220"/>
      <c r="G24" s="1220"/>
      <c r="H24" s="1220"/>
      <c r="I24" s="1220"/>
      <c r="J24" s="1220"/>
      <c r="K24" s="1220"/>
      <c r="L24" s="1220"/>
      <c r="M24" s="1220"/>
      <c r="N24" s="1220"/>
      <c r="O24" s="1220"/>
      <c r="P24" s="1220"/>
      <c r="Q24" s="1220"/>
      <c r="R24" s="1220"/>
      <c r="S24" s="1220"/>
      <c r="T24" s="1220"/>
      <c r="U24" s="1220"/>
      <c r="V24" s="1220"/>
      <c r="W24" s="1220"/>
      <c r="X24" s="1220"/>
      <c r="Y24" s="1220"/>
      <c r="Z24" s="1220"/>
      <c r="AA24" s="1220"/>
      <c r="AB24" s="1220"/>
      <c r="AC24" s="1220"/>
      <c r="AD24" s="1220"/>
      <c r="AE24" s="1220"/>
      <c r="AF24" s="1220"/>
      <c r="AG24" s="1220"/>
      <c r="AH24" s="1220"/>
      <c r="AI24" s="1220"/>
      <c r="AJ24" s="1220"/>
      <c r="AK24" s="1220"/>
      <c r="AL24" s="143"/>
    </row>
    <row r="25" spans="1:38">
      <c r="A25" s="143"/>
      <c r="B25" s="143"/>
      <c r="C25" s="144"/>
      <c r="D25" s="1220"/>
      <c r="E25" s="1220"/>
      <c r="F25" s="1220"/>
      <c r="G25" s="1220"/>
      <c r="H25" s="1220"/>
      <c r="I25" s="1220"/>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43"/>
    </row>
    <row r="26" spans="1:38">
      <c r="A26" s="143"/>
      <c r="B26" s="143"/>
      <c r="C26" s="144"/>
      <c r="D26" s="1220"/>
      <c r="E26" s="1220"/>
      <c r="F26" s="1220"/>
      <c r="G26" s="1220"/>
      <c r="H26" s="1220"/>
      <c r="I26" s="1220"/>
      <c r="J26" s="1220"/>
      <c r="K26" s="1220"/>
      <c r="L26" s="1220"/>
      <c r="M26" s="1220"/>
      <c r="N26" s="1220"/>
      <c r="O26" s="1220"/>
      <c r="P26" s="1220"/>
      <c r="Q26" s="1220"/>
      <c r="R26" s="1220"/>
      <c r="S26" s="1220"/>
      <c r="T26" s="1220"/>
      <c r="U26" s="1220"/>
      <c r="V26" s="1220"/>
      <c r="W26" s="1220"/>
      <c r="X26" s="1220"/>
      <c r="Y26" s="1220"/>
      <c r="Z26" s="1220"/>
      <c r="AA26" s="1220"/>
      <c r="AB26" s="1220"/>
      <c r="AC26" s="1220"/>
      <c r="AD26" s="1220"/>
      <c r="AE26" s="1220"/>
      <c r="AF26" s="1220"/>
      <c r="AG26" s="1220"/>
      <c r="AH26" s="1220"/>
      <c r="AI26" s="1220"/>
      <c r="AJ26" s="1220"/>
      <c r="AK26" s="1220"/>
      <c r="AL26" s="143"/>
    </row>
    <row r="27" spans="1:38" ht="11.85" customHeight="1">
      <c r="A27" s="143"/>
      <c r="B27" s="143"/>
      <c r="C27" s="144"/>
      <c r="D27" s="1220"/>
      <c r="E27" s="1220"/>
      <c r="F27" s="1220"/>
      <c r="G27" s="1220"/>
      <c r="H27" s="1220"/>
      <c r="I27" s="1220"/>
      <c r="J27" s="1220"/>
      <c r="K27" s="1220"/>
      <c r="L27" s="1220"/>
      <c r="M27" s="1220"/>
      <c r="N27" s="1220"/>
      <c r="O27" s="1220"/>
      <c r="P27" s="1220"/>
      <c r="Q27" s="1220"/>
      <c r="R27" s="1220"/>
      <c r="S27" s="1220"/>
      <c r="T27" s="1220"/>
      <c r="U27" s="1220"/>
      <c r="V27" s="1220"/>
      <c r="W27" s="1220"/>
      <c r="X27" s="1220"/>
      <c r="Y27" s="1220"/>
      <c r="Z27" s="1220"/>
      <c r="AA27" s="1220"/>
      <c r="AB27" s="1220"/>
      <c r="AC27" s="1220"/>
      <c r="AD27" s="1220"/>
      <c r="AE27" s="1220"/>
      <c r="AF27" s="1220"/>
      <c r="AG27" s="1220"/>
      <c r="AH27" s="1220"/>
      <c r="AI27" s="1220"/>
      <c r="AJ27" s="1220"/>
      <c r="AK27" s="1220"/>
      <c r="AL27" s="143"/>
    </row>
    <row r="28" spans="1:38" ht="13.2" hidden="1" customHeight="1">
      <c r="A28" s="143"/>
      <c r="B28" s="143"/>
      <c r="C28" s="144"/>
      <c r="E28" s="1220" t="s">
        <v>9</v>
      </c>
      <c r="F28" s="1220"/>
      <c r="G28" s="1220"/>
      <c r="H28" s="1220"/>
      <c r="I28" s="1220"/>
      <c r="J28" s="1220"/>
      <c r="K28" s="1220"/>
      <c r="L28" s="1220"/>
      <c r="M28" s="1220"/>
      <c r="N28" s="1220"/>
      <c r="O28" s="1220"/>
      <c r="P28" s="1220"/>
      <c r="Q28" s="1220"/>
      <c r="R28" s="1220"/>
      <c r="S28" s="1220"/>
      <c r="T28" s="1220"/>
      <c r="U28" s="1220"/>
      <c r="V28" s="1220"/>
      <c r="W28" s="1220"/>
      <c r="X28" s="1220"/>
      <c r="Y28" s="1220"/>
      <c r="Z28" s="1220"/>
      <c r="AA28" s="1220"/>
      <c r="AB28" s="1220"/>
      <c r="AC28" s="1220"/>
      <c r="AD28" s="1220"/>
      <c r="AE28" s="1220"/>
      <c r="AF28" s="1220"/>
      <c r="AG28" s="1220"/>
      <c r="AH28" s="1220"/>
      <c r="AI28" s="1220"/>
      <c r="AJ28" s="1220"/>
      <c r="AK28" s="1220"/>
      <c r="AL28" s="143"/>
    </row>
    <row r="29" spans="1:38" ht="13.2" hidden="1" customHeight="1">
      <c r="A29" s="143"/>
      <c r="B29" s="143"/>
      <c r="C29" s="144"/>
      <c r="E29" s="1220"/>
      <c r="F29" s="1220"/>
      <c r="G29" s="1220"/>
      <c r="H29" s="1220"/>
      <c r="I29" s="1220"/>
      <c r="J29" s="1220"/>
      <c r="K29" s="1220"/>
      <c r="L29" s="1220"/>
      <c r="M29" s="1220"/>
      <c r="N29" s="1220"/>
      <c r="O29" s="1220"/>
      <c r="P29" s="1220"/>
      <c r="Q29" s="1220"/>
      <c r="R29" s="1220"/>
      <c r="S29" s="1220"/>
      <c r="T29" s="1220"/>
      <c r="U29" s="1220"/>
      <c r="V29" s="1220"/>
      <c r="W29" s="1220"/>
      <c r="X29" s="1220"/>
      <c r="Y29" s="1220"/>
      <c r="Z29" s="1220"/>
      <c r="AA29" s="1220"/>
      <c r="AB29" s="1220"/>
      <c r="AC29" s="1220"/>
      <c r="AD29" s="1220"/>
      <c r="AE29" s="1220"/>
      <c r="AF29" s="1220"/>
      <c r="AG29" s="1220"/>
      <c r="AH29" s="1220"/>
      <c r="AI29" s="1220"/>
      <c r="AJ29" s="1220"/>
      <c r="AK29" s="1220"/>
      <c r="AL29" s="143"/>
    </row>
    <row r="30" spans="1:38" hidden="1">
      <c r="A30" s="143"/>
      <c r="B30" s="143"/>
      <c r="C30" s="144"/>
      <c r="D30" s="381"/>
      <c r="E30" s="1220"/>
      <c r="F30" s="1220"/>
      <c r="G30" s="1220"/>
      <c r="H30" s="1220"/>
      <c r="I30" s="1220"/>
      <c r="J30" s="1220"/>
      <c r="K30" s="1220"/>
      <c r="L30" s="1220"/>
      <c r="M30" s="1220"/>
      <c r="N30" s="1220"/>
      <c r="O30" s="1220"/>
      <c r="P30" s="1220"/>
      <c r="Q30" s="1220"/>
      <c r="R30" s="1220"/>
      <c r="S30" s="1220"/>
      <c r="T30" s="1220"/>
      <c r="U30" s="1220"/>
      <c r="V30" s="1220"/>
      <c r="W30" s="1220"/>
      <c r="X30" s="1220"/>
      <c r="Y30" s="1220"/>
      <c r="Z30" s="1220"/>
      <c r="AA30" s="1220"/>
      <c r="AB30" s="1220"/>
      <c r="AC30" s="1220"/>
      <c r="AD30" s="1220"/>
      <c r="AE30" s="1220"/>
      <c r="AF30" s="1220"/>
      <c r="AG30" s="1220"/>
      <c r="AH30" s="1220"/>
      <c r="AI30" s="1220"/>
      <c r="AJ30" s="1220"/>
      <c r="AK30" s="1220"/>
      <c r="AL30" s="143"/>
    </row>
    <row r="31" spans="1:38">
      <c r="A31" s="143"/>
      <c r="B31" s="143"/>
      <c r="C31" s="144"/>
      <c r="D31" s="381"/>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143"/>
    </row>
    <row r="32" spans="1:38" ht="13.2" customHeight="1">
      <c r="A32" s="143"/>
      <c r="B32" s="143"/>
      <c r="C32" s="144"/>
      <c r="D32" s="1220" t="s">
        <v>10</v>
      </c>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43"/>
    </row>
    <row r="33" spans="1:38">
      <c r="A33" s="143"/>
      <c r="B33" s="143"/>
      <c r="C33" s="144"/>
      <c r="D33" s="381"/>
      <c r="E33" s="1221" t="s">
        <v>11</v>
      </c>
      <c r="F33" s="1222"/>
      <c r="G33" s="1222"/>
      <c r="H33" s="1222"/>
      <c r="I33" s="1222"/>
      <c r="J33" s="1222"/>
      <c r="K33" s="1222"/>
      <c r="L33" s="1222"/>
      <c r="M33" s="1222"/>
      <c r="N33" s="1222"/>
      <c r="O33" s="1222"/>
      <c r="P33" s="1222"/>
      <c r="Q33" s="1222"/>
      <c r="R33" s="1222"/>
      <c r="S33" s="1222"/>
      <c r="T33" s="1222"/>
      <c r="U33" s="1222"/>
      <c r="V33" s="1222"/>
      <c r="W33" s="1222"/>
      <c r="X33" s="1222"/>
      <c r="Y33" s="1222"/>
      <c r="Z33" s="1222"/>
      <c r="AA33" s="1222"/>
      <c r="AB33" s="1222"/>
      <c r="AC33" s="1222"/>
      <c r="AD33" s="1222"/>
      <c r="AE33" s="1222"/>
      <c r="AF33" s="1222"/>
      <c r="AG33" s="1222"/>
      <c r="AH33" s="1222"/>
      <c r="AI33" s="1222"/>
      <c r="AJ33" s="1222"/>
      <c r="AK33" s="1222"/>
      <c r="AL33" s="143"/>
    </row>
    <row r="34" spans="1:38">
      <c r="A34" s="3"/>
      <c r="C34" s="2"/>
    </row>
    <row r="35" spans="1:38">
      <c r="A35" s="3"/>
      <c r="D35" s="1232" t="s">
        <v>12</v>
      </c>
      <c r="E35" s="1232"/>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c r="A36" s="3"/>
      <c r="D36" s="1232"/>
      <c r="E36" s="1232"/>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c r="A37" s="3"/>
      <c r="D37" s="87"/>
      <c r="E37" s="1227" t="s">
        <v>13</v>
      </c>
      <c r="F37" s="1227"/>
      <c r="G37" s="1227"/>
      <c r="H37" s="1227"/>
      <c r="I37" s="1227"/>
      <c r="J37" s="1227"/>
      <c r="K37" s="1227"/>
      <c r="L37" s="1227"/>
      <c r="M37" s="1227"/>
      <c r="N37" s="1227"/>
      <c r="O37" s="1227"/>
      <c r="P37" s="1227"/>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7"/>
    </row>
    <row r="38" spans="1:38">
      <c r="A38" s="3"/>
      <c r="D38" s="87"/>
      <c r="E38" s="1227" t="s">
        <v>14</v>
      </c>
      <c r="F38" s="1227"/>
      <c r="G38" s="1227"/>
      <c r="H38" s="1227"/>
      <c r="I38" s="1227"/>
      <c r="J38" s="1227"/>
      <c r="K38" s="1227"/>
      <c r="L38" s="1227"/>
      <c r="M38" s="1227"/>
      <c r="N38" s="1227"/>
      <c r="O38" s="1227"/>
      <c r="P38" s="1227"/>
      <c r="Q38" s="1227"/>
      <c r="R38" s="1227"/>
      <c r="S38" s="1227"/>
      <c r="T38" s="1227"/>
      <c r="U38" s="1227"/>
      <c r="V38" s="1227"/>
      <c r="W38" s="1227"/>
      <c r="X38" s="1227"/>
      <c r="Y38" s="1227"/>
      <c r="Z38" s="1227"/>
      <c r="AA38" s="1227"/>
      <c r="AB38" s="1227"/>
      <c r="AC38" s="1227"/>
      <c r="AD38" s="1227"/>
      <c r="AE38" s="1227"/>
      <c r="AF38" s="1227"/>
      <c r="AG38" s="1227"/>
      <c r="AH38" s="1227"/>
      <c r="AI38" s="1227"/>
      <c r="AJ38" s="1227"/>
      <c r="AK38" s="1227"/>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8"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0" customFormat="1" ht="13.2" customHeight="1">
      <c r="A42" s="3"/>
      <c r="B42"/>
      <c r="C42" s="2"/>
      <c r="D42" s="3"/>
      <c r="E42" s="3" t="s">
        <v>19</v>
      </c>
      <c r="F42" s="1220" t="s">
        <v>20</v>
      </c>
    </row>
    <row r="43" spans="1:38" s="1220" customFormat="1" ht="13.2" customHeight="1">
      <c r="A43" s="3"/>
      <c r="B43"/>
      <c r="C43" s="2"/>
      <c r="D43" s="3"/>
      <c r="E43" s="3"/>
    </row>
    <row r="44" spans="1:38">
      <c r="A44" s="3"/>
      <c r="C44" s="2"/>
      <c r="D44" s="3"/>
      <c r="E44" s="3"/>
      <c r="F44" s="85" t="s">
        <v>21</v>
      </c>
      <c r="G44" s="3" t="s">
        <v>22</v>
      </c>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row>
    <row r="45" spans="1:38" s="85" customFormat="1" ht="13.2" customHeight="1">
      <c r="A45" s="3"/>
      <c r="B45"/>
      <c r="C45" s="2"/>
      <c r="D45" s="3"/>
      <c r="E45" s="3"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85" customFormat="1">
      <c r="A46" s="3"/>
      <c r="B46"/>
      <c r="C46" s="2"/>
      <c r="D46" s="3"/>
      <c r="E46" s="3"/>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85" customFormat="1" ht="13.2" customHeight="1">
      <c r="A47" s="3"/>
      <c r="B47"/>
      <c r="C47" s="2"/>
      <c r="D47" s="3"/>
      <c r="E47" s="3"/>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c r="A48" s="3"/>
      <c r="C48" s="2"/>
      <c r="D48" s="3"/>
      <c r="E48" s="3"/>
      <c r="F48" s="85" t="s">
        <v>21</v>
      </c>
      <c r="G48" s="3" t="s">
        <v>25</v>
      </c>
      <c r="H48" s="402"/>
      <c r="I48" s="402"/>
      <c r="J48" s="402"/>
      <c r="K48" s="402"/>
      <c r="L48" s="402"/>
      <c r="M48" s="402"/>
      <c r="N48" s="402"/>
      <c r="O48" s="402"/>
      <c r="P48" s="402"/>
      <c r="Q48" s="402"/>
      <c r="R48" s="402"/>
      <c r="S48" s="402"/>
      <c r="T48" s="402"/>
      <c r="U48" s="402"/>
      <c r="V48" s="402"/>
      <c r="W48" s="402"/>
      <c r="X48" s="402"/>
      <c r="Y48" s="402"/>
      <c r="Z48" s="402"/>
      <c r="AA48" s="402"/>
      <c r="AB48" s="402"/>
      <c r="AC48" s="402"/>
      <c r="AD48" s="402"/>
      <c r="AE48" s="402"/>
      <c r="AF48" s="402"/>
      <c r="AG48" s="402"/>
      <c r="AH48" s="402"/>
      <c r="AI48" s="402"/>
      <c r="AJ48" s="402"/>
      <c r="AK48" s="402"/>
      <c r="AL48" s="402"/>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0" t="s">
        <v>29</v>
      </c>
      <c r="G50" s="1220"/>
      <c r="H50" s="1220"/>
      <c r="I50" s="1220"/>
      <c r="J50" s="1220"/>
      <c r="K50" s="1220"/>
      <c r="L50" s="1220"/>
      <c r="M50" s="1220"/>
      <c r="N50" s="1220"/>
      <c r="O50" s="1220"/>
      <c r="P50" s="1220"/>
      <c r="Q50" s="1220"/>
      <c r="R50" s="1220"/>
      <c r="S50" s="1220"/>
      <c r="T50" s="1220"/>
      <c r="U50" s="1220"/>
      <c r="V50" s="1220"/>
      <c r="W50" s="1220"/>
      <c r="X50" s="1220"/>
      <c r="Y50" s="1220"/>
      <c r="Z50" s="1220"/>
      <c r="AA50" s="1220"/>
      <c r="AB50" s="1220"/>
      <c r="AC50" s="1220"/>
      <c r="AD50" s="1220"/>
      <c r="AE50" s="1220"/>
      <c r="AF50" s="1220"/>
      <c r="AG50" s="1220"/>
      <c r="AH50" s="1220"/>
      <c r="AI50" s="1220"/>
      <c r="AJ50" s="1220"/>
      <c r="AK50" s="1220"/>
    </row>
    <row r="51" spans="1:38">
      <c r="A51" s="3"/>
      <c r="C51" s="2"/>
      <c r="D51" s="3"/>
      <c r="E51" s="3"/>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row>
    <row r="52" spans="1:38">
      <c r="A52" s="3"/>
      <c r="C52" s="2"/>
      <c r="D52" s="3"/>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8"/>
      <c r="K54" s="1148"/>
      <c r="L54" s="1148"/>
      <c r="M54" s="1148"/>
      <c r="N54" s="1148"/>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 customHeight="1">
      <c r="A56" s="143"/>
      <c r="B56" s="143"/>
      <c r="C56" s="144"/>
      <c r="D56" s="144"/>
      <c r="E56" s="143"/>
      <c r="F56" s="145" t="s">
        <v>21</v>
      </c>
      <c r="G56" s="1225" t="s">
        <v>33</v>
      </c>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43"/>
    </row>
    <row r="57" spans="1:38" ht="13.2" customHeight="1">
      <c r="A57" s="143"/>
      <c r="B57" s="143"/>
      <c r="C57" s="144"/>
      <c r="D57" s="144"/>
      <c r="E57" s="143"/>
      <c r="F57" s="145"/>
      <c r="G57" s="403" t="s">
        <v>34</v>
      </c>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143"/>
    </row>
    <row r="58" spans="1:38">
      <c r="A58" s="143"/>
      <c r="B58" s="143"/>
      <c r="C58" s="144"/>
      <c r="D58" s="144"/>
      <c r="E58" s="143"/>
      <c r="F58" s="145"/>
      <c r="G58" s="1225" t="s">
        <v>35</v>
      </c>
      <c r="H58" s="1225"/>
      <c r="I58" s="1225"/>
      <c r="J58" s="378"/>
      <c r="K58" s="378"/>
      <c r="L58" s="378"/>
      <c r="M58" s="378"/>
      <c r="N58" s="378"/>
      <c r="O58" s="378"/>
      <c r="P58" s="378"/>
      <c r="Q58" s="378"/>
      <c r="R58" s="378"/>
      <c r="S58" s="378"/>
      <c r="T58" s="378"/>
      <c r="U58" s="378"/>
      <c r="V58" s="378"/>
      <c r="W58" s="378"/>
      <c r="X58" s="378"/>
      <c r="Y58" s="378"/>
      <c r="Z58" s="378"/>
      <c r="AA58" s="378"/>
      <c r="AB58" s="378"/>
      <c r="AC58" s="378"/>
      <c r="AD58" s="378"/>
      <c r="AE58" s="378"/>
      <c r="AF58" s="378"/>
      <c r="AG58" s="378"/>
      <c r="AH58" s="378"/>
      <c r="AI58" s="378"/>
      <c r="AJ58" s="378"/>
      <c r="AK58" s="378"/>
      <c r="AL58" s="143"/>
    </row>
    <row r="59" spans="1:38" ht="13.2" customHeight="1">
      <c r="A59" s="143"/>
      <c r="B59" s="144"/>
      <c r="C59" s="144"/>
      <c r="D59" s="144"/>
      <c r="E59" s="143"/>
      <c r="F59" s="145" t="s">
        <v>26</v>
      </c>
      <c r="G59" s="1225" t="s">
        <v>36</v>
      </c>
      <c r="H59" s="1225"/>
      <c r="I59" s="1225"/>
      <c r="J59" s="1225"/>
      <c r="K59" s="1225"/>
      <c r="L59" s="1225"/>
      <c r="M59" s="1225"/>
      <c r="N59" s="1225"/>
      <c r="O59" s="1225"/>
      <c r="P59" s="1225"/>
      <c r="Q59" s="1225"/>
      <c r="R59" s="1225"/>
      <c r="S59" s="1225"/>
      <c r="T59" s="1225"/>
      <c r="U59" s="1225"/>
      <c r="V59" s="1225"/>
      <c r="W59" s="1225"/>
      <c r="X59" s="1225"/>
      <c r="Y59" s="1225"/>
      <c r="Z59" s="1225"/>
      <c r="AA59" s="1225"/>
      <c r="AB59" s="1225"/>
      <c r="AC59" s="1225"/>
      <c r="AD59" s="1225"/>
      <c r="AE59" s="1225"/>
      <c r="AF59" s="1225"/>
      <c r="AG59" s="1225"/>
      <c r="AH59" s="1225"/>
      <c r="AI59" s="1225"/>
      <c r="AJ59" s="1225"/>
      <c r="AK59" s="1225"/>
      <c r="AL59" s="1225"/>
    </row>
    <row r="60" spans="1:38">
      <c r="A60" s="143"/>
      <c r="B60" s="143"/>
      <c r="C60" s="144"/>
      <c r="D60" s="144"/>
      <c r="E60" s="143"/>
      <c r="F60" s="14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row>
    <row r="61" spans="1:38">
      <c r="A61" s="143"/>
      <c r="B61" s="143"/>
      <c r="C61" s="144"/>
      <c r="D61" s="144"/>
      <c r="E61" s="143"/>
      <c r="F61" s="145"/>
      <c r="G61" s="404" t="s">
        <v>37</v>
      </c>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c r="AE61" s="378"/>
      <c r="AF61" s="378"/>
      <c r="AG61" s="378"/>
      <c r="AH61" s="378"/>
      <c r="AI61" s="378"/>
      <c r="AJ61" s="378"/>
      <c r="AK61" s="378"/>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0" t="s">
        <v>41</v>
      </c>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row>
    <row r="67" spans="1:37">
      <c r="A67" s="3"/>
      <c r="C67" s="2"/>
      <c r="D67" s="3"/>
      <c r="E67" s="3"/>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row>
    <row r="68" spans="1:37">
      <c r="A68" s="3"/>
      <c r="C68" s="2"/>
      <c r="D68" s="3"/>
      <c r="E68" s="3"/>
      <c r="G68" s="1220"/>
      <c r="H68" s="1220"/>
      <c r="I68" s="1220"/>
      <c r="J68" s="1220"/>
      <c r="K68" s="1220"/>
      <c r="L68" s="1220"/>
      <c r="M68" s="1220"/>
      <c r="N68" s="1220"/>
      <c r="O68" s="1220"/>
      <c r="P68" s="1220"/>
      <c r="Q68" s="1220"/>
      <c r="R68" s="1220"/>
      <c r="S68" s="1220"/>
      <c r="T68" s="1220"/>
      <c r="U68" s="1220"/>
      <c r="V68" s="1220"/>
      <c r="W68" s="1220"/>
      <c r="X68" s="1220"/>
      <c r="Y68" s="1220"/>
      <c r="Z68" s="1220"/>
      <c r="AA68" s="1220"/>
      <c r="AB68" s="1220"/>
      <c r="AC68" s="1220"/>
      <c r="AD68" s="1220"/>
      <c r="AE68" s="1220"/>
      <c r="AF68" s="1220"/>
      <c r="AG68" s="1220"/>
      <c r="AH68" s="1220"/>
      <c r="AI68" s="1220"/>
      <c r="AJ68" s="1220"/>
      <c r="AK68" s="1220"/>
    </row>
    <row r="69" spans="1:37" ht="13.2" customHeight="1">
      <c r="A69" s="3"/>
      <c r="C69" s="2"/>
      <c r="D69" s="3"/>
      <c r="E69" s="3"/>
      <c r="F69" t="s">
        <v>26</v>
      </c>
      <c r="G69" s="1220" t="s">
        <v>42</v>
      </c>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row>
    <row r="70" spans="1:37">
      <c r="A70" s="3"/>
      <c r="C70" s="2"/>
      <c r="D70" s="3"/>
      <c r="E70" s="3"/>
      <c r="F70" s="24"/>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row>
    <row r="71" spans="1:37">
      <c r="A71" s="3"/>
      <c r="C71" s="2"/>
      <c r="D71" s="3"/>
      <c r="E71" s="3" t="s">
        <v>23</v>
      </c>
      <c r="F71" s="3" t="s">
        <v>43</v>
      </c>
      <c r="G71" s="381"/>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381"/>
    </row>
    <row r="72" spans="1:37">
      <c r="A72" s="3"/>
      <c r="C72" s="2"/>
      <c r="D72" s="3"/>
      <c r="E72" s="3"/>
      <c r="F72" s="8" t="s">
        <v>21</v>
      </c>
      <c r="G72" s="1220" t="s">
        <v>44</v>
      </c>
      <c r="H72" s="1220"/>
      <c r="I72" s="1220"/>
      <c r="J72" s="1220"/>
      <c r="K72" s="1220"/>
      <c r="L72" s="1220"/>
      <c r="M72" s="1220"/>
      <c r="N72" s="1220"/>
      <c r="O72" s="1220"/>
      <c r="P72" s="1220"/>
      <c r="Q72" s="1220"/>
      <c r="R72" s="1220"/>
      <c r="S72" s="1220"/>
      <c r="T72" s="1220"/>
      <c r="U72" s="1220"/>
      <c r="V72" s="1220"/>
      <c r="W72" s="1220"/>
      <c r="X72" s="1220"/>
      <c r="Y72" s="1220"/>
      <c r="Z72" s="1220"/>
      <c r="AA72" s="1220"/>
      <c r="AB72" s="1220"/>
      <c r="AC72" s="1220"/>
      <c r="AD72" s="1220"/>
      <c r="AE72" s="1220"/>
      <c r="AF72" s="1220"/>
      <c r="AG72" s="1220"/>
      <c r="AH72" s="1220"/>
      <c r="AI72" s="1220"/>
      <c r="AJ72" s="1220"/>
      <c r="AK72" s="1220"/>
    </row>
    <row r="73" spans="1:37">
      <c r="A73" s="3"/>
      <c r="C73" s="2"/>
      <c r="D73" s="3"/>
      <c r="E73" s="3"/>
      <c r="F73" s="8"/>
      <c r="G73" s="1220"/>
      <c r="H73" s="1220"/>
      <c r="I73" s="1220"/>
      <c r="J73" s="1220"/>
      <c r="K73" s="1220"/>
      <c r="L73" s="1220"/>
      <c r="M73" s="1220"/>
      <c r="N73" s="1220"/>
      <c r="O73" s="1220"/>
      <c r="P73" s="1220"/>
      <c r="Q73" s="1220"/>
      <c r="R73" s="1220"/>
      <c r="S73" s="1220"/>
      <c r="T73" s="1220"/>
      <c r="U73" s="1220"/>
      <c r="V73" s="1220"/>
      <c r="W73" s="1220"/>
      <c r="X73" s="1220"/>
      <c r="Y73" s="1220"/>
      <c r="Z73" s="1220"/>
      <c r="AA73" s="1220"/>
      <c r="AB73" s="1220"/>
      <c r="AC73" s="1220"/>
      <c r="AD73" s="1220"/>
      <c r="AE73" s="1220"/>
      <c r="AF73" s="1220"/>
      <c r="AG73" s="1220"/>
      <c r="AH73" s="1220"/>
      <c r="AI73" s="1220"/>
      <c r="AJ73" s="1220"/>
      <c r="AK73" s="1220"/>
    </row>
    <row r="74" spans="1:37">
      <c r="A74" s="3"/>
      <c r="C74" s="2"/>
      <c r="D74" s="3"/>
      <c r="E74" s="3"/>
      <c r="F74" s="8" t="s">
        <v>26</v>
      </c>
      <c r="G74" s="1220" t="s">
        <v>45</v>
      </c>
      <c r="H74" s="1220"/>
      <c r="I74" s="1220"/>
      <c r="J74" s="1220"/>
      <c r="K74" s="1220"/>
      <c r="L74" s="1220"/>
      <c r="M74" s="1220"/>
      <c r="N74" s="1220"/>
      <c r="O74" s="1220"/>
      <c r="P74" s="1220"/>
      <c r="Q74" s="1220"/>
      <c r="R74" s="1220"/>
      <c r="S74" s="1220"/>
      <c r="T74" s="1220"/>
      <c r="U74" s="1220"/>
      <c r="V74" s="1220"/>
      <c r="W74" s="1220"/>
      <c r="X74" s="1220"/>
      <c r="Y74" s="1220"/>
      <c r="Z74" s="1220"/>
      <c r="AA74" s="1220"/>
      <c r="AB74" s="1220"/>
      <c r="AC74" s="1220"/>
      <c r="AD74" s="1220"/>
      <c r="AE74" s="1220"/>
      <c r="AF74" s="1220"/>
      <c r="AG74" s="1220"/>
      <c r="AH74" s="1220"/>
      <c r="AI74" s="1220"/>
      <c r="AJ74" s="1220"/>
      <c r="AK74" s="1220"/>
    </row>
    <row r="75" spans="1:37">
      <c r="A75" s="3"/>
      <c r="C75" s="2"/>
      <c r="D75" s="3"/>
      <c r="E75" s="3"/>
      <c r="F75" s="8"/>
      <c r="G75" s="1220"/>
      <c r="H75" s="1220"/>
      <c r="I75" s="1220"/>
      <c r="J75" s="1220"/>
      <c r="K75" s="1220"/>
      <c r="L75" s="1220"/>
      <c r="M75" s="1220"/>
      <c r="N75" s="1220"/>
      <c r="O75" s="1220"/>
      <c r="P75" s="1220"/>
      <c r="Q75" s="1220"/>
      <c r="R75" s="1220"/>
      <c r="S75" s="1220"/>
      <c r="T75" s="1220"/>
      <c r="U75" s="1220"/>
      <c r="V75" s="1220"/>
      <c r="W75" s="1220"/>
      <c r="X75" s="1220"/>
      <c r="Y75" s="1220"/>
      <c r="Z75" s="1220"/>
      <c r="AA75" s="1220"/>
      <c r="AB75" s="1220"/>
      <c r="AC75" s="1220"/>
      <c r="AD75" s="1220"/>
      <c r="AE75" s="1220"/>
      <c r="AF75" s="1220"/>
      <c r="AG75" s="1220"/>
      <c r="AH75" s="1220"/>
      <c r="AI75" s="1220"/>
      <c r="AJ75" s="1220"/>
      <c r="AK75" s="1220"/>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0" t="s">
        <v>55</v>
      </c>
      <c r="H82" s="1220"/>
      <c r="I82" s="1220"/>
      <c r="J82" s="1220"/>
      <c r="K82" s="1220"/>
      <c r="L82" s="1220"/>
      <c r="M82" s="1220"/>
      <c r="N82" s="1220"/>
      <c r="O82" s="1220"/>
      <c r="P82" s="1220"/>
      <c r="Q82" s="1220"/>
      <c r="R82" s="1220"/>
      <c r="S82" s="1220"/>
      <c r="T82" s="1220"/>
      <c r="U82" s="1220"/>
      <c r="V82" s="1220"/>
      <c r="W82" s="1220"/>
      <c r="X82" s="1220"/>
      <c r="Y82" s="1220"/>
      <c r="Z82" s="1220"/>
      <c r="AA82" s="1220"/>
      <c r="AB82" s="1220"/>
      <c r="AC82" s="1220"/>
      <c r="AD82" s="1220"/>
      <c r="AE82" s="1220"/>
      <c r="AF82" s="1220"/>
      <c r="AG82" s="1220"/>
      <c r="AH82" s="1220"/>
      <c r="AI82" s="1220"/>
      <c r="AJ82" s="1220"/>
      <c r="AK82" s="1220"/>
    </row>
    <row r="83" spans="1:37">
      <c r="A83" s="3"/>
      <c r="C83" s="2"/>
      <c r="D83" s="3"/>
      <c r="E83" s="3"/>
      <c r="F83" s="3"/>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row>
    <row r="84" spans="1:37">
      <c r="A84" s="3"/>
      <c r="C84" s="2"/>
      <c r="D84" s="3"/>
      <c r="E84" s="3"/>
      <c r="F84" s="3"/>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0" t="s">
        <v>58</v>
      </c>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row>
    <row r="87" spans="1:37">
      <c r="A87" s="3"/>
      <c r="C87" s="2"/>
      <c r="D87" s="3"/>
      <c r="E87" s="3"/>
      <c r="F87" s="3"/>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row>
    <row r="88" spans="1:37">
      <c r="A88" s="3"/>
      <c r="C88" s="2"/>
      <c r="D88" s="3"/>
      <c r="E88" s="3"/>
      <c r="G88" s="1220"/>
      <c r="H88" s="1220"/>
      <c r="I88" s="1220"/>
      <c r="J88" s="1220"/>
      <c r="K88" s="1220"/>
      <c r="L88" s="1220"/>
      <c r="M88" s="1220"/>
      <c r="N88" s="1220"/>
      <c r="O88" s="1220"/>
      <c r="P88" s="1220"/>
      <c r="Q88" s="1220"/>
      <c r="R88" s="1220"/>
      <c r="S88" s="1220"/>
      <c r="T88" s="1220"/>
      <c r="U88" s="1220"/>
      <c r="V88" s="1220"/>
      <c r="W88" s="1220"/>
      <c r="X88" s="1220"/>
      <c r="Y88" s="1220"/>
      <c r="Z88" s="1220"/>
      <c r="AA88" s="1220"/>
      <c r="AB88" s="1220"/>
      <c r="AC88" s="1220"/>
      <c r="AD88" s="1220"/>
      <c r="AE88" s="1220"/>
      <c r="AF88" s="1220"/>
      <c r="AG88" s="1220"/>
      <c r="AH88" s="1220"/>
      <c r="AI88" s="1220"/>
      <c r="AJ88" s="1220"/>
      <c r="AK88" s="1220"/>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3" t="s">
        <v>61</v>
      </c>
      <c r="H90" s="1223"/>
      <c r="I90" s="1223"/>
      <c r="J90" s="1223"/>
      <c r="K90" s="1223"/>
      <c r="L90" s="1223"/>
      <c r="M90" s="1223"/>
      <c r="N90" s="1223"/>
      <c r="O90" s="1223"/>
      <c r="P90" s="1223"/>
      <c r="Q90" s="1223"/>
      <c r="R90" s="1223"/>
      <c r="S90" s="1223"/>
      <c r="T90" s="1223"/>
      <c r="U90" s="1223"/>
      <c r="V90" s="1223"/>
      <c r="W90" s="1223"/>
      <c r="X90" s="1223"/>
      <c r="Y90" s="1223"/>
      <c r="Z90" s="1223"/>
      <c r="AA90" s="1223"/>
      <c r="AB90" s="1223"/>
      <c r="AC90" s="1223"/>
      <c r="AD90" s="1223"/>
      <c r="AE90" s="1223"/>
      <c r="AF90" s="1223"/>
      <c r="AG90" s="1223"/>
      <c r="AH90" s="1223"/>
      <c r="AI90" s="1223"/>
      <c r="AJ90" s="1223"/>
      <c r="AK90" s="1223"/>
    </row>
    <row r="91" spans="1:37">
      <c r="A91" s="3"/>
      <c r="C91" s="2"/>
      <c r="D91" s="3"/>
      <c r="E91" s="3"/>
      <c r="G91" s="1223"/>
      <c r="H91" s="1223"/>
      <c r="I91" s="1223"/>
      <c r="J91" s="1223"/>
      <c r="K91" s="1223"/>
      <c r="L91" s="1223"/>
      <c r="M91" s="1223"/>
      <c r="N91" s="1223"/>
      <c r="O91" s="1223"/>
      <c r="P91" s="1223"/>
      <c r="Q91" s="1223"/>
      <c r="R91" s="1223"/>
      <c r="S91" s="1223"/>
      <c r="T91" s="1223"/>
      <c r="U91" s="1223"/>
      <c r="V91" s="1223"/>
      <c r="W91" s="1223"/>
      <c r="X91" s="1223"/>
      <c r="Y91" s="1223"/>
      <c r="Z91" s="1223"/>
      <c r="AA91" s="1223"/>
      <c r="AB91" s="1223"/>
      <c r="AC91" s="1223"/>
      <c r="AD91" s="1223"/>
      <c r="AE91" s="1223"/>
      <c r="AF91" s="1223"/>
      <c r="AG91" s="1223"/>
      <c r="AH91" s="1223"/>
      <c r="AI91" s="1223"/>
      <c r="AJ91" s="1223"/>
      <c r="AK91" s="1223"/>
    </row>
    <row r="92" spans="1:37">
      <c r="A92" s="3"/>
      <c r="C92" s="2"/>
      <c r="D92" s="3"/>
      <c r="E92" s="3"/>
      <c r="G92" s="1223"/>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0" t="s">
        <v>64</v>
      </c>
      <c r="H94" s="1220"/>
      <c r="I94" s="1220"/>
      <c r="J94" s="1220"/>
      <c r="K94" s="1220"/>
      <c r="L94" s="1220"/>
      <c r="M94" s="1220"/>
      <c r="N94" s="1220"/>
      <c r="O94" s="1220"/>
      <c r="P94" s="1220"/>
      <c r="Q94" s="1220"/>
      <c r="R94" s="1220"/>
      <c r="S94" s="1220"/>
      <c r="T94" s="1220"/>
      <c r="U94" s="1220"/>
      <c r="V94" s="1220"/>
      <c r="W94" s="1220"/>
      <c r="X94" s="1220"/>
      <c r="Y94" s="1220"/>
      <c r="Z94" s="1220"/>
      <c r="AA94" s="1220"/>
      <c r="AB94" s="1220"/>
      <c r="AC94" s="1220"/>
      <c r="AD94" s="1220"/>
      <c r="AE94" s="1220"/>
      <c r="AF94" s="1220"/>
      <c r="AG94" s="1220"/>
      <c r="AH94" s="1220"/>
      <c r="AI94" s="1220"/>
      <c r="AJ94" s="1220"/>
      <c r="AK94" s="1220"/>
    </row>
    <row r="95" spans="1:37">
      <c r="A95" s="3"/>
      <c r="C95" s="2"/>
      <c r="D95" s="3"/>
      <c r="E95" s="3"/>
      <c r="G95" s="1220"/>
      <c r="H95" s="1220"/>
      <c r="I95" s="1220"/>
      <c r="J95" s="1220"/>
      <c r="K95" s="1220"/>
      <c r="L95" s="1220"/>
      <c r="M95" s="1220"/>
      <c r="N95" s="1220"/>
      <c r="O95" s="1220"/>
      <c r="P95" s="1220"/>
      <c r="Q95" s="1220"/>
      <c r="R95" s="1220"/>
      <c r="S95" s="1220"/>
      <c r="T95" s="1220"/>
      <c r="U95" s="1220"/>
      <c r="V95" s="1220"/>
      <c r="W95" s="1220"/>
      <c r="X95" s="1220"/>
      <c r="Y95" s="1220"/>
      <c r="Z95" s="1220"/>
      <c r="AA95" s="1220"/>
      <c r="AB95" s="1220"/>
      <c r="AC95" s="1220"/>
      <c r="AD95" s="1220"/>
      <c r="AE95" s="1220"/>
      <c r="AF95" s="1220"/>
      <c r="AG95" s="1220"/>
      <c r="AH95" s="1220"/>
      <c r="AI95" s="1220"/>
      <c r="AJ95" s="1220"/>
      <c r="AK95" s="1220"/>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0" t="s">
        <v>67</v>
      </c>
      <c r="H97" s="1220"/>
      <c r="I97" s="1220"/>
      <c r="J97" s="1220"/>
      <c r="K97" s="1220"/>
      <c r="L97" s="1220"/>
      <c r="M97" s="1220"/>
      <c r="N97" s="1220"/>
      <c r="O97" s="1220"/>
      <c r="P97" s="1220"/>
      <c r="Q97" s="1220"/>
      <c r="R97" s="1220"/>
      <c r="S97" s="1220"/>
      <c r="T97" s="1220"/>
      <c r="U97" s="1220"/>
      <c r="V97" s="1220"/>
      <c r="W97" s="1220"/>
      <c r="X97" s="1220"/>
      <c r="Y97" s="1220"/>
      <c r="Z97" s="1220"/>
      <c r="AA97" s="1220"/>
      <c r="AB97" s="1220"/>
      <c r="AC97" s="1220"/>
      <c r="AD97" s="1220"/>
      <c r="AE97" s="1220"/>
      <c r="AF97" s="1220"/>
      <c r="AG97" s="1220"/>
      <c r="AH97" s="1220"/>
      <c r="AI97" s="1220"/>
      <c r="AJ97" s="1220"/>
      <c r="AK97" s="1220"/>
    </row>
    <row r="98" spans="1:38">
      <c r="A98" s="3"/>
      <c r="C98" s="2"/>
      <c r="D98" s="3"/>
      <c r="E98" s="3"/>
      <c r="G98" s="1220"/>
      <c r="H98" s="1220"/>
      <c r="I98" s="1220"/>
      <c r="J98" s="1220"/>
      <c r="K98" s="1220"/>
      <c r="L98" s="1220"/>
      <c r="M98" s="1220"/>
      <c r="N98" s="1220"/>
      <c r="O98" s="1220"/>
      <c r="P98" s="1220"/>
      <c r="Q98" s="1220"/>
      <c r="R98" s="1220"/>
      <c r="S98" s="1220"/>
      <c r="T98" s="1220"/>
      <c r="U98" s="1220"/>
      <c r="V98" s="1220"/>
      <c r="W98" s="1220"/>
      <c r="X98" s="1220"/>
      <c r="Y98" s="1220"/>
      <c r="Z98" s="1220"/>
      <c r="AA98" s="1220"/>
      <c r="AB98" s="1220"/>
      <c r="AC98" s="1220"/>
      <c r="AD98" s="1220"/>
      <c r="AE98" s="1220"/>
      <c r="AF98" s="1220"/>
      <c r="AG98" s="1220"/>
      <c r="AH98" s="1220"/>
      <c r="AI98" s="1220"/>
      <c r="AJ98" s="1220"/>
      <c r="AK98" s="1220"/>
    </row>
    <row r="99" spans="1:38">
      <c r="A99" s="3"/>
      <c r="C99" s="2"/>
      <c r="D99" s="3"/>
      <c r="E99" s="3"/>
      <c r="G99" s="1220"/>
      <c r="H99" s="1220"/>
      <c r="I99" s="1220"/>
      <c r="J99" s="1220"/>
      <c r="K99" s="1220"/>
      <c r="L99" s="1220"/>
      <c r="M99" s="1220"/>
      <c r="N99" s="1220"/>
      <c r="O99" s="1220"/>
      <c r="P99" s="1220"/>
      <c r="Q99" s="1220"/>
      <c r="R99" s="1220"/>
      <c r="S99" s="1220"/>
      <c r="T99" s="1220"/>
      <c r="U99" s="1220"/>
      <c r="V99" s="1220"/>
      <c r="W99" s="1220"/>
      <c r="X99" s="1220"/>
      <c r="Y99" s="1220"/>
      <c r="Z99" s="1220"/>
      <c r="AA99" s="1220"/>
      <c r="AB99" s="1220"/>
      <c r="AC99" s="1220"/>
      <c r="AD99" s="1220"/>
      <c r="AE99" s="1220"/>
      <c r="AF99" s="1220"/>
      <c r="AG99" s="1220"/>
      <c r="AH99" s="1220"/>
      <c r="AI99" s="1220"/>
      <c r="AJ99" s="1220"/>
      <c r="AK99" s="1220"/>
    </row>
    <row r="100" spans="1:38">
      <c r="A100" s="3"/>
      <c r="D100" s="75"/>
      <c r="E100" s="1224" t="s">
        <v>68</v>
      </c>
      <c r="F100" s="1224"/>
      <c r="G100" s="1224"/>
      <c r="H100" s="1224"/>
      <c r="I100" s="1224"/>
      <c r="J100" s="1224"/>
      <c r="K100" s="1224"/>
      <c r="L100" s="1224"/>
      <c r="M100" s="1224"/>
      <c r="N100" s="1224"/>
      <c r="O100" s="1224"/>
      <c r="P100" s="1224"/>
      <c r="Q100" s="1224"/>
      <c r="R100" s="1224"/>
      <c r="S100" s="1224"/>
      <c r="T100" s="1224"/>
      <c r="U100" s="1224"/>
      <c r="V100" s="1224"/>
      <c r="W100" s="1224"/>
      <c r="X100" s="1224"/>
      <c r="Y100" s="1224"/>
      <c r="Z100" s="1224"/>
      <c r="AA100" s="1224"/>
      <c r="AB100" s="1224"/>
      <c r="AC100" s="1224"/>
      <c r="AD100" s="1224"/>
      <c r="AE100" s="1224"/>
      <c r="AF100" s="1224"/>
      <c r="AG100" s="1224"/>
      <c r="AH100" s="1224"/>
      <c r="AI100" s="1224"/>
      <c r="AJ100" s="1224"/>
      <c r="AK100" s="1224"/>
    </row>
    <row r="101" spans="1:38">
      <c r="A101" s="3"/>
      <c r="D101" s="75"/>
      <c r="E101" s="1224"/>
      <c r="F101" s="1224"/>
      <c r="G101" s="1224"/>
      <c r="H101" s="1224"/>
      <c r="I101" s="1224"/>
      <c r="J101" s="1224"/>
      <c r="K101" s="1224"/>
      <c r="L101" s="1224"/>
      <c r="M101" s="1224"/>
      <c r="N101" s="1224"/>
      <c r="O101" s="1224"/>
      <c r="P101" s="1224"/>
      <c r="Q101" s="1224"/>
      <c r="R101" s="1224"/>
      <c r="S101" s="1224"/>
      <c r="T101" s="1224"/>
      <c r="U101" s="1224"/>
      <c r="V101" s="1224"/>
      <c r="W101" s="1224"/>
      <c r="X101" s="1224"/>
      <c r="Y101" s="1224"/>
      <c r="Z101" s="1224"/>
      <c r="AA101" s="1224"/>
      <c r="AB101" s="1224"/>
      <c r="AC101" s="1224"/>
      <c r="AD101" s="1224"/>
      <c r="AE101" s="1224"/>
      <c r="AF101" s="1224"/>
      <c r="AG101" s="1224"/>
      <c r="AH101" s="1224"/>
      <c r="AI101" s="1224"/>
      <c r="AJ101" s="1224"/>
      <c r="AK101" s="1224"/>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1"/>
      <c r="G134" s="381"/>
      <c r="H134" s="381"/>
      <c r="I134" s="381"/>
      <c r="J134" s="381"/>
      <c r="K134" s="381"/>
      <c r="L134" s="381"/>
      <c r="M134" s="381"/>
      <c r="N134" s="381"/>
      <c r="O134" s="381"/>
      <c r="P134" s="381"/>
      <c r="Q134" s="381"/>
      <c r="R134" s="381"/>
      <c r="S134" s="381"/>
      <c r="T134" s="381"/>
      <c r="U134" s="381"/>
      <c r="V134" s="381"/>
      <c r="W134" s="381"/>
      <c r="X134" s="381"/>
      <c r="Y134" s="381"/>
      <c r="Z134" s="381"/>
      <c r="AA134" s="381"/>
      <c r="AB134" s="381"/>
      <c r="AC134" s="381"/>
      <c r="AD134" s="381"/>
      <c r="AE134" s="381"/>
      <c r="AF134" s="381"/>
      <c r="AG134" s="381"/>
      <c r="AH134" s="381"/>
      <c r="AI134" s="381"/>
      <c r="AJ134" s="381"/>
      <c r="AK134" s="381"/>
    </row>
    <row r="135" spans="4:37">
      <c r="E135" s="86" t="s">
        <v>97</v>
      </c>
      <c r="F135" s="381"/>
      <c r="G135" s="381"/>
      <c r="H135" s="381"/>
      <c r="I135" s="381"/>
      <c r="J135" s="381"/>
      <c r="K135" s="381"/>
      <c r="L135" s="381"/>
      <c r="M135" s="381"/>
      <c r="N135" s="381"/>
      <c r="O135" s="381"/>
      <c r="P135" s="381"/>
      <c r="Q135" s="381"/>
      <c r="R135" s="381"/>
      <c r="S135" s="381"/>
      <c r="T135" s="381"/>
      <c r="U135" s="381"/>
      <c r="V135" s="381"/>
      <c r="W135" s="381"/>
      <c r="X135" s="381"/>
      <c r="Y135" s="381"/>
      <c r="Z135" s="381"/>
      <c r="AA135" s="381"/>
      <c r="AB135" s="381"/>
      <c r="AC135" s="381"/>
      <c r="AD135" s="381"/>
      <c r="AE135" s="381"/>
      <c r="AF135" s="381"/>
      <c r="AG135" s="381"/>
      <c r="AH135" s="381"/>
      <c r="AI135" s="381"/>
      <c r="AJ135" s="381"/>
      <c r="AK135" s="381"/>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0" t="s">
        <v>157</v>
      </c>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220"/>
      <c r="AH207" s="1220"/>
      <c r="AI207" s="1220"/>
      <c r="AJ207" s="1220"/>
      <c r="AK207" s="1220"/>
    </row>
    <row r="208" spans="2:37">
      <c r="B208" s="3"/>
      <c r="C208" s="3"/>
      <c r="D208" s="2"/>
      <c r="G208" s="1220"/>
      <c r="H208" s="1220"/>
      <c r="I208" s="1220"/>
      <c r="J208" s="1220"/>
      <c r="K208" s="1220"/>
      <c r="L208" s="1220"/>
      <c r="M208" s="1220"/>
      <c r="N208" s="1220"/>
      <c r="O208" s="1220"/>
      <c r="P208" s="1220"/>
      <c r="Q208" s="1220"/>
      <c r="R208" s="1220"/>
      <c r="S208" s="1220"/>
      <c r="T208" s="1220"/>
      <c r="U208" s="1220"/>
      <c r="V208" s="1220"/>
      <c r="W208" s="1220"/>
      <c r="X208" s="1220"/>
      <c r="Y208" s="1220"/>
      <c r="Z208" s="1220"/>
      <c r="AA208" s="1220"/>
      <c r="AB208" s="1220"/>
      <c r="AC208" s="1220"/>
      <c r="AD208" s="1220"/>
      <c r="AE208" s="1220"/>
      <c r="AF208" s="1220"/>
      <c r="AG208" s="1220"/>
      <c r="AH208" s="1220"/>
      <c r="AI208" s="1220"/>
      <c r="AJ208" s="1220"/>
      <c r="AK208" s="1220"/>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6"/>
      <c r="F223" s="1146"/>
      <c r="G223" s="1146"/>
      <c r="H223" s="1146"/>
      <c r="I223" s="1146"/>
      <c r="J223" s="1146"/>
      <c r="K223" s="5"/>
      <c r="L223" s="1146"/>
      <c r="M223" s="1146"/>
      <c r="N223" s="1146"/>
      <c r="O223" s="1146"/>
      <c r="P223" s="1146"/>
      <c r="Q223" s="1146"/>
      <c r="R223" s="1146"/>
      <c r="S223" s="1146"/>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1"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1" t="s">
        <v>184</v>
      </c>
      <c r="I242" s="3"/>
      <c r="M242" s="3"/>
      <c r="N242" s="3"/>
      <c r="O242" s="3"/>
      <c r="P242" s="3"/>
      <c r="Q242" s="3"/>
      <c r="R242" s="3"/>
      <c r="S242" s="3"/>
    </row>
    <row r="243" spans="2:21">
      <c r="B243" s="3"/>
      <c r="C243" s="3"/>
      <c r="E243" t="s">
        <v>38</v>
      </c>
      <c r="F243" s="3" t="s">
        <v>19</v>
      </c>
      <c r="G243" s="951" t="s">
        <v>185</v>
      </c>
      <c r="I243" s="3"/>
      <c r="M243" s="3"/>
      <c r="N243" s="3"/>
      <c r="O243" s="3"/>
      <c r="P243" s="3"/>
      <c r="Q243" s="3"/>
      <c r="R243" s="3"/>
      <c r="S243" s="3"/>
    </row>
    <row r="244" spans="2:21">
      <c r="B244" s="3"/>
      <c r="C244" s="3"/>
      <c r="F244" s="3" t="s">
        <v>23</v>
      </c>
      <c r="G244" s="951" t="s">
        <v>186</v>
      </c>
      <c r="I244" s="3"/>
      <c r="M244" s="3"/>
      <c r="N244" s="3"/>
      <c r="O244" s="3"/>
      <c r="P244" s="3"/>
      <c r="Q244" s="3"/>
      <c r="R244" s="3"/>
      <c r="S244" s="3"/>
    </row>
    <row r="245" spans="2:21">
      <c r="B245" s="3"/>
      <c r="C245" s="3"/>
      <c r="F245" s="3" t="s">
        <v>28</v>
      </c>
      <c r="G245" s="951" t="s">
        <v>187</v>
      </c>
      <c r="I245" s="3"/>
      <c r="M245" s="3"/>
      <c r="N245" s="3"/>
      <c r="O245" s="3"/>
      <c r="P245" s="3"/>
      <c r="Q245" s="3"/>
      <c r="R245" s="3"/>
      <c r="S245" s="3"/>
    </row>
    <row r="246" spans="2:21">
      <c r="B246" s="3"/>
      <c r="C246" s="3"/>
      <c r="F246" s="3"/>
      <c r="G246" s="951"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5"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6"/>
      <c r="K331" s="1146"/>
      <c r="L331" s="1146"/>
      <c r="M331" s="1146"/>
      <c r="N331" s="1146"/>
      <c r="O331" s="1146"/>
      <c r="P331" s="1146"/>
      <c r="Q331" s="1146"/>
      <c r="R331" s="1146"/>
      <c r="S331" s="1146"/>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0" t="s">
        <v>262</v>
      </c>
      <c r="G338" s="1220"/>
      <c r="H338" s="1220"/>
      <c r="I338" s="1220"/>
      <c r="J338" s="1220"/>
      <c r="K338" s="1220"/>
      <c r="L338" s="1220"/>
      <c r="M338" s="1220"/>
      <c r="N338" s="1220"/>
      <c r="O338" s="1220"/>
      <c r="P338" s="1220"/>
      <c r="Q338" s="1220"/>
      <c r="R338" s="1220"/>
      <c r="S338" s="1220"/>
      <c r="T338" s="1220"/>
      <c r="U338" s="1220"/>
      <c r="V338" s="1220"/>
      <c r="W338" s="1220"/>
      <c r="X338" s="1220"/>
      <c r="Y338" s="1220"/>
      <c r="Z338" s="1220"/>
      <c r="AA338" s="1220"/>
      <c r="AB338" s="1220"/>
      <c r="AC338" s="1220"/>
      <c r="AD338" s="1220"/>
      <c r="AE338" s="1220"/>
      <c r="AF338" s="1220"/>
      <c r="AG338" s="1220"/>
      <c r="AH338" s="1220"/>
      <c r="AI338" s="1220"/>
      <c r="AJ338" s="1220"/>
      <c r="AK338" s="1220"/>
    </row>
    <row r="339" spans="2:37">
      <c r="B339" s="2"/>
      <c r="E339" s="3"/>
      <c r="F339" s="1220"/>
      <c r="G339" s="1220"/>
      <c r="H339" s="1220"/>
      <c r="I339" s="1220"/>
      <c r="J339" s="1220"/>
      <c r="K339" s="1220"/>
      <c r="L339" s="1220"/>
      <c r="M339" s="1220"/>
      <c r="N339" s="1220"/>
      <c r="O339" s="1220"/>
      <c r="P339" s="1220"/>
      <c r="Q339" s="1220"/>
      <c r="R339" s="1220"/>
      <c r="S339" s="1220"/>
      <c r="T339" s="1220"/>
      <c r="U339" s="1220"/>
      <c r="V339" s="1220"/>
      <c r="W339" s="1220"/>
      <c r="X339" s="1220"/>
      <c r="Y339" s="1220"/>
      <c r="Z339" s="1220"/>
      <c r="AA339" s="1220"/>
      <c r="AB339" s="1220"/>
      <c r="AC339" s="1220"/>
      <c r="AD339" s="1220"/>
      <c r="AE339" s="1220"/>
      <c r="AF339" s="1220"/>
      <c r="AG339" s="1220"/>
      <c r="AH339" s="1220"/>
      <c r="AI339" s="1220"/>
      <c r="AJ339" s="1220"/>
      <c r="AK339" s="1220"/>
    </row>
    <row r="340" spans="2:37">
      <c r="B340" s="2"/>
      <c r="E340" s="3"/>
      <c r="F340" s="1220"/>
      <c r="G340" s="1220"/>
      <c r="H340" s="1220"/>
      <c r="I340" s="1220"/>
      <c r="J340" s="1220"/>
      <c r="K340" s="1220"/>
      <c r="L340" s="1220"/>
      <c r="M340" s="1220"/>
      <c r="N340" s="1220"/>
      <c r="O340" s="1220"/>
      <c r="P340" s="1220"/>
      <c r="Q340" s="1220"/>
      <c r="R340" s="1220"/>
      <c r="S340" s="1220"/>
      <c r="T340" s="1220"/>
      <c r="U340" s="1220"/>
      <c r="V340" s="1220"/>
      <c r="W340" s="1220"/>
      <c r="X340" s="1220"/>
      <c r="Y340" s="1220"/>
      <c r="Z340" s="1220"/>
      <c r="AA340" s="1220"/>
      <c r="AB340" s="1220"/>
      <c r="AC340" s="1220"/>
      <c r="AD340" s="1220"/>
      <c r="AE340" s="1220"/>
      <c r="AF340" s="1220"/>
      <c r="AG340" s="1220"/>
      <c r="AH340" s="1220"/>
      <c r="AI340" s="1220"/>
      <c r="AJ340" s="1220"/>
      <c r="AK340" s="1220"/>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 customHeight="1">
      <c r="B343" s="2"/>
      <c r="E343" s="1225" t="s">
        <v>264</v>
      </c>
      <c r="F343" s="1225"/>
      <c r="G343" s="1225"/>
      <c r="H343" s="1225"/>
      <c r="I343" s="1225"/>
      <c r="J343" s="1225"/>
      <c r="K343" s="1225"/>
      <c r="L343" s="1225"/>
      <c r="M343" s="1225"/>
      <c r="N343" s="1225"/>
      <c r="O343" s="1225"/>
      <c r="P343" s="1225"/>
      <c r="Q343" s="1225"/>
      <c r="R343" s="1225"/>
      <c r="S343" s="1225"/>
      <c r="T343" s="1225"/>
      <c r="U343" s="1225"/>
      <c r="V343" s="1225"/>
      <c r="W343" s="1225"/>
      <c r="X343" s="1225"/>
      <c r="Y343" s="1225"/>
      <c r="Z343" s="1225"/>
      <c r="AA343" s="1225"/>
      <c r="AB343" s="1225"/>
      <c r="AC343" s="1225"/>
      <c r="AD343" s="1225"/>
      <c r="AE343" s="1225"/>
      <c r="AF343" s="1225"/>
      <c r="AG343" s="1225"/>
      <c r="AH343" s="1225"/>
      <c r="AI343" s="1225"/>
      <c r="AJ343" s="1225"/>
      <c r="AK343" s="1225"/>
    </row>
    <row r="344" spans="2:37">
      <c r="B344" s="2"/>
      <c r="E344" s="1225"/>
      <c r="F344" s="1225"/>
      <c r="G344" s="1225"/>
      <c r="H344" s="1225"/>
      <c r="I344" s="1225"/>
      <c r="J344" s="1225"/>
      <c r="K344" s="1225"/>
      <c r="L344" s="1225"/>
      <c r="M344" s="1225"/>
      <c r="N344" s="1225"/>
      <c r="O344" s="1225"/>
      <c r="P344" s="1225"/>
      <c r="Q344" s="1225"/>
      <c r="R344" s="1225"/>
      <c r="S344" s="1225"/>
      <c r="T344" s="1225"/>
      <c r="U344" s="1225"/>
      <c r="V344" s="1225"/>
      <c r="W344" s="1225"/>
      <c r="X344" s="1225"/>
      <c r="Y344" s="1225"/>
      <c r="Z344" s="1225"/>
      <c r="AA344" s="1225"/>
      <c r="AB344" s="1225"/>
      <c r="AC344" s="1225"/>
      <c r="AD344" s="1225"/>
      <c r="AE344" s="1225"/>
      <c r="AF344" s="1225"/>
      <c r="AG344" s="1225"/>
      <c r="AH344" s="1225"/>
      <c r="AI344" s="1225"/>
      <c r="AJ344" s="1225"/>
      <c r="AK344" s="1225"/>
    </row>
    <row r="345" spans="2:37">
      <c r="B345" s="2"/>
      <c r="E345" s="1225"/>
      <c r="F345" s="1225"/>
      <c r="G345" s="1225"/>
      <c r="H345" s="1225"/>
      <c r="I345" s="1225"/>
      <c r="J345" s="1225"/>
      <c r="K345" s="1225"/>
      <c r="L345" s="1225"/>
      <c r="M345" s="1225"/>
      <c r="N345" s="1225"/>
      <c r="O345" s="1225"/>
      <c r="P345" s="1225"/>
      <c r="Q345" s="1225"/>
      <c r="R345" s="1225"/>
      <c r="S345" s="1225"/>
      <c r="T345" s="1225"/>
      <c r="U345" s="1225"/>
      <c r="V345" s="1225"/>
      <c r="W345" s="1225"/>
      <c r="X345" s="1225"/>
      <c r="Y345" s="1225"/>
      <c r="Z345" s="1225"/>
      <c r="AA345" s="1225"/>
      <c r="AB345" s="1225"/>
      <c r="AC345" s="1225"/>
      <c r="AD345" s="1225"/>
      <c r="AE345" s="1225"/>
      <c r="AF345" s="1225"/>
      <c r="AG345" s="1225"/>
      <c r="AH345" s="1225"/>
      <c r="AI345" s="1225"/>
      <c r="AJ345" s="1225"/>
      <c r="AK345" s="1225"/>
    </row>
    <row r="346" spans="2:37">
      <c r="B346" s="2"/>
      <c r="E346" s="1225"/>
      <c r="F346" s="1225"/>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row>
    <row r="347" spans="2:37">
      <c r="B347" s="2"/>
      <c r="E347" s="1225"/>
      <c r="F347" s="1225"/>
      <c r="G347" s="1225"/>
      <c r="H347" s="1225"/>
      <c r="I347" s="1225"/>
      <c r="J347" s="1225"/>
      <c r="K347" s="1225"/>
      <c r="L347" s="1225"/>
      <c r="M347" s="1225"/>
      <c r="N347" s="1225"/>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row>
    <row r="348" spans="2:37">
      <c r="B348" s="2"/>
      <c r="E348" s="3" t="s">
        <v>17</v>
      </c>
      <c r="F348" s="1220" t="s">
        <v>265</v>
      </c>
      <c r="G348" s="1220"/>
      <c r="H348" s="1220"/>
      <c r="I348" s="1220"/>
      <c r="J348" s="1220"/>
      <c r="K348" s="1220"/>
      <c r="L348" s="1220"/>
      <c r="M348" s="1220"/>
      <c r="N348" s="1220"/>
      <c r="O348" s="1220"/>
      <c r="P348" s="1220"/>
      <c r="Q348" s="1220"/>
      <c r="R348" s="1220"/>
      <c r="S348" s="1220"/>
      <c r="T348" s="1220"/>
      <c r="U348" s="1220"/>
      <c r="V348" s="1220"/>
      <c r="W348" s="1220"/>
      <c r="X348" s="1220"/>
      <c r="Y348" s="1220"/>
      <c r="Z348" s="1220"/>
      <c r="AA348" s="1220"/>
      <c r="AB348" s="1220"/>
      <c r="AC348" s="1220"/>
      <c r="AD348" s="1220"/>
      <c r="AE348" s="1220"/>
      <c r="AF348" s="1220"/>
      <c r="AG348" s="1220"/>
      <c r="AH348" s="1220"/>
      <c r="AI348" s="1220"/>
      <c r="AJ348" s="1220"/>
      <c r="AK348" s="1220"/>
    </row>
    <row r="349" spans="2:37">
      <c r="B349" s="2"/>
      <c r="E349" s="3"/>
      <c r="F349" s="1220"/>
      <c r="G349" s="1220"/>
      <c r="H349" s="1220"/>
      <c r="I349" s="1220"/>
      <c r="J349" s="1220"/>
      <c r="K349" s="1220"/>
      <c r="L349" s="1220"/>
      <c r="M349" s="1220"/>
      <c r="N349" s="1220"/>
      <c r="O349" s="1220"/>
      <c r="P349" s="1220"/>
      <c r="Q349" s="1220"/>
      <c r="R349" s="1220"/>
      <c r="S349" s="1220"/>
      <c r="T349" s="1220"/>
      <c r="U349" s="1220"/>
      <c r="V349" s="1220"/>
      <c r="W349" s="1220"/>
      <c r="X349" s="1220"/>
      <c r="Y349" s="1220"/>
      <c r="Z349" s="1220"/>
      <c r="AA349" s="1220"/>
      <c r="AB349" s="1220"/>
      <c r="AC349" s="1220"/>
      <c r="AD349" s="1220"/>
      <c r="AE349" s="1220"/>
      <c r="AF349" s="1220"/>
      <c r="AG349" s="1220"/>
      <c r="AH349" s="1220"/>
      <c r="AI349" s="1220"/>
      <c r="AJ349" s="1220"/>
      <c r="AK349" s="1220"/>
    </row>
    <row r="350" spans="2:37">
      <c r="B350" s="2"/>
      <c r="E350" s="3"/>
      <c r="F350" s="1220"/>
      <c r="G350" s="1220"/>
      <c r="H350" s="1220"/>
      <c r="I350" s="1220"/>
      <c r="J350" s="1220"/>
      <c r="K350" s="1220"/>
      <c r="L350" s="1220"/>
      <c r="M350" s="1220"/>
      <c r="N350" s="1220"/>
      <c r="O350" s="1220"/>
      <c r="P350" s="1220"/>
      <c r="Q350" s="1220"/>
      <c r="R350" s="1220"/>
      <c r="S350" s="1220"/>
      <c r="T350" s="1220"/>
      <c r="U350" s="1220"/>
      <c r="V350" s="1220"/>
      <c r="W350" s="1220"/>
      <c r="X350" s="1220"/>
      <c r="Y350" s="1220"/>
      <c r="Z350" s="1220"/>
      <c r="AA350" s="1220"/>
      <c r="AB350" s="1220"/>
      <c r="AC350" s="1220"/>
      <c r="AD350" s="1220"/>
      <c r="AE350" s="1220"/>
      <c r="AF350" s="1220"/>
      <c r="AG350" s="1220"/>
      <c r="AH350" s="1220"/>
      <c r="AI350" s="1220"/>
      <c r="AJ350" s="1220"/>
      <c r="AK350" s="1220"/>
    </row>
    <row r="351" spans="2:37">
      <c r="B351" s="2"/>
      <c r="E351" s="3"/>
      <c r="F351" s="1220"/>
      <c r="G351" s="1220"/>
      <c r="H351" s="1220"/>
      <c r="I351" s="1220"/>
      <c r="J351" s="1220"/>
      <c r="K351" s="1220"/>
      <c r="L351" s="1220"/>
      <c r="M351" s="1220"/>
      <c r="N351" s="1220"/>
      <c r="O351" s="1220"/>
      <c r="P351" s="1220"/>
      <c r="Q351" s="1220"/>
      <c r="R351" s="1220"/>
      <c r="S351" s="1220"/>
      <c r="T351" s="1220"/>
      <c r="U351" s="1220"/>
      <c r="V351" s="1220"/>
      <c r="W351" s="1220"/>
      <c r="X351" s="1220"/>
      <c r="Y351" s="1220"/>
      <c r="Z351" s="1220"/>
      <c r="AA351" s="1220"/>
      <c r="AB351" s="1220"/>
      <c r="AC351" s="1220"/>
      <c r="AD351" s="1220"/>
      <c r="AE351" s="1220"/>
      <c r="AF351" s="1220"/>
      <c r="AG351" s="1220"/>
      <c r="AH351" s="1220"/>
      <c r="AI351" s="1220"/>
      <c r="AJ351" s="1220"/>
      <c r="AK351" s="1220"/>
    </row>
    <row r="352" spans="2:37">
      <c r="B352" s="2"/>
      <c r="E352" s="3" t="s">
        <v>30</v>
      </c>
      <c r="F352" s="1220" t="s">
        <v>266</v>
      </c>
      <c r="G352" s="1220"/>
      <c r="H352" s="1220"/>
      <c r="I352" s="1220"/>
      <c r="J352" s="1220"/>
      <c r="K352" s="1220"/>
      <c r="L352" s="1220"/>
      <c r="M352" s="1220"/>
      <c r="N352" s="1220"/>
      <c r="O352" s="1220"/>
      <c r="P352" s="1220"/>
      <c r="Q352" s="1220"/>
      <c r="R352" s="1220"/>
      <c r="S352" s="1220"/>
      <c r="T352" s="1220"/>
      <c r="U352" s="1220"/>
      <c r="V352" s="1220"/>
      <c r="W352" s="1220"/>
      <c r="X352" s="1220"/>
      <c r="Y352" s="1220"/>
      <c r="Z352" s="1220"/>
      <c r="AA352" s="1220"/>
      <c r="AB352" s="1220"/>
      <c r="AC352" s="1220"/>
      <c r="AD352" s="1220"/>
      <c r="AE352" s="1220"/>
      <c r="AF352" s="1220"/>
      <c r="AG352" s="1220"/>
      <c r="AH352" s="1220"/>
      <c r="AI352" s="1220"/>
      <c r="AJ352" s="1220"/>
      <c r="AK352" s="1220"/>
    </row>
    <row r="353" spans="1:38">
      <c r="B353" s="2"/>
      <c r="F353" s="1220"/>
      <c r="G353" s="1220"/>
      <c r="H353" s="1220"/>
      <c r="I353" s="1220"/>
      <c r="J353" s="1220"/>
      <c r="K353" s="1220"/>
      <c r="L353" s="1220"/>
      <c r="M353" s="1220"/>
      <c r="N353" s="1220"/>
      <c r="O353" s="1220"/>
      <c r="P353" s="1220"/>
      <c r="Q353" s="1220"/>
      <c r="R353" s="1220"/>
      <c r="S353" s="1220"/>
      <c r="T353" s="1220"/>
      <c r="U353" s="1220"/>
      <c r="V353" s="1220"/>
      <c r="W353" s="1220"/>
      <c r="X353" s="1220"/>
      <c r="Y353" s="1220"/>
      <c r="Z353" s="1220"/>
      <c r="AA353" s="1220"/>
      <c r="AB353" s="1220"/>
      <c r="AC353" s="1220"/>
      <c r="AD353" s="1220"/>
      <c r="AE353" s="1220"/>
      <c r="AF353" s="1220"/>
      <c r="AG353" s="1220"/>
      <c r="AH353" s="1220"/>
      <c r="AI353" s="1220"/>
      <c r="AJ353" s="1220"/>
      <c r="AK353" s="1220"/>
    </row>
    <row r="354" spans="1:38">
      <c r="B354" s="2"/>
      <c r="F354" s="1220"/>
      <c r="G354" s="1220"/>
      <c r="H354" s="1220"/>
      <c r="I354" s="1220"/>
      <c r="J354" s="1220"/>
      <c r="K354" s="1220"/>
      <c r="L354" s="1220"/>
      <c r="M354" s="1220"/>
      <c r="N354" s="1220"/>
      <c r="O354" s="1220"/>
      <c r="P354" s="1220"/>
      <c r="Q354" s="1220"/>
      <c r="R354" s="1220"/>
      <c r="S354" s="1220"/>
      <c r="T354" s="1220"/>
      <c r="U354" s="1220"/>
      <c r="V354" s="1220"/>
      <c r="W354" s="1220"/>
      <c r="X354" s="1220"/>
      <c r="Y354" s="1220"/>
      <c r="Z354" s="1220"/>
      <c r="AA354" s="1220"/>
      <c r="AB354" s="1220"/>
      <c r="AC354" s="1220"/>
      <c r="AD354" s="1220"/>
      <c r="AE354" s="1220"/>
      <c r="AF354" s="1220"/>
      <c r="AG354" s="1220"/>
      <c r="AH354" s="1220"/>
      <c r="AI354" s="1220"/>
      <c r="AJ354" s="1220"/>
      <c r="AK354" s="1220"/>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6"/>
      <c r="N356" s="1146"/>
      <c r="O356" s="1146"/>
      <c r="P356" s="1146"/>
      <c r="Q356" s="1146"/>
      <c r="R356" s="1146"/>
      <c r="S356" s="1146"/>
      <c r="T356" s="1146"/>
      <c r="U356" s="5"/>
      <c r="V356" s="5"/>
      <c r="W356" s="5"/>
      <c r="X356" s="5"/>
      <c r="Y356" s="5"/>
      <c r="Z356" s="5"/>
      <c r="AA356" s="5"/>
      <c r="AB356" s="5"/>
      <c r="AC356" s="5"/>
      <c r="AD356" s="5"/>
      <c r="AE356" s="5"/>
      <c r="AF356" s="5"/>
      <c r="AG356" s="5"/>
      <c r="AH356" s="5"/>
      <c r="AI356" s="5"/>
      <c r="AJ356" s="5"/>
      <c r="AK356" s="5"/>
      <c r="AL356" s="5"/>
    </row>
    <row r="357" spans="1:38">
      <c r="B357" s="2"/>
      <c r="D357" s="436"/>
      <c r="E357" s="2"/>
      <c r="M357" s="3"/>
      <c r="N357" s="3"/>
      <c r="O357" s="3"/>
      <c r="P357" s="3"/>
      <c r="Q357" s="3"/>
      <c r="R357" s="3"/>
      <c r="S357" s="3"/>
      <c r="T357" s="3"/>
    </row>
    <row r="358" spans="1:38" ht="13.2" customHeight="1">
      <c r="B358" s="2"/>
      <c r="C358" s="11" t="s">
        <v>268</v>
      </c>
      <c r="D358" s="5"/>
      <c r="E358" s="5"/>
      <c r="F358" s="5"/>
      <c r="G358" s="5"/>
      <c r="H358" s="5"/>
      <c r="I358" s="378"/>
      <c r="J358" s="378"/>
      <c r="K358" s="378"/>
      <c r="L358" s="378"/>
      <c r="M358" s="378"/>
      <c r="N358" s="378"/>
      <c r="O358" s="378"/>
      <c r="P358" s="378"/>
      <c r="Q358" s="378"/>
      <c r="R358" s="378"/>
      <c r="S358" s="378"/>
      <c r="T358" s="378"/>
      <c r="U358" s="378"/>
      <c r="V358" s="378"/>
      <c r="W358" s="378"/>
      <c r="X358" s="378"/>
      <c r="Y358" s="378"/>
      <c r="Z358" s="378"/>
      <c r="AA358" s="378"/>
      <c r="AB358" s="378"/>
      <c r="AC358" s="378"/>
      <c r="AD358" s="378"/>
      <c r="AE358" s="378"/>
      <c r="AF358" s="378"/>
      <c r="AG358" s="378"/>
      <c r="AH358" s="378"/>
      <c r="AI358" s="378"/>
      <c r="AJ358" s="378"/>
      <c r="AK358" s="378"/>
    </row>
    <row r="359" spans="1:38" ht="13.2" customHeight="1">
      <c r="B359" s="2"/>
      <c r="C359" s="2"/>
      <c r="E359" s="379"/>
      <c r="F359" s="379"/>
      <c r="G359" s="379"/>
      <c r="H359" s="379"/>
      <c r="I359" s="379"/>
      <c r="J359" s="379"/>
      <c r="K359" s="379"/>
      <c r="L359" s="379"/>
      <c r="M359" s="379"/>
      <c r="N359" s="379"/>
      <c r="O359" s="379"/>
      <c r="P359" s="379"/>
      <c r="Q359" s="379"/>
      <c r="R359" s="379"/>
      <c r="S359" s="379"/>
      <c r="T359" s="379"/>
      <c r="U359" s="379"/>
      <c r="V359" s="379"/>
      <c r="W359" s="379"/>
      <c r="X359" s="379"/>
      <c r="Y359" s="379"/>
      <c r="Z359" s="379"/>
      <c r="AA359" s="379"/>
      <c r="AB359" s="379"/>
      <c r="AC359" s="379"/>
      <c r="AD359" s="379"/>
      <c r="AE359" s="379"/>
      <c r="AF359" s="379"/>
      <c r="AG359" s="379"/>
      <c r="AH359" s="379"/>
      <c r="AI359" s="379"/>
      <c r="AJ359" s="379"/>
      <c r="AK359" s="379"/>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c r="B368" s="2"/>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7" s="1229" customFormat="1">
      <c r="A369"/>
      <c r="B369" s="2"/>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9" customFormat="1">
      <c r="A370"/>
      <c r="B370" s="2"/>
      <c r="C370" s="2"/>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c r="B371" s="2"/>
      <c r="E371" s="3"/>
      <c r="F371" s="381"/>
      <c r="G371" s="381"/>
      <c r="H371" s="381"/>
      <c r="I371" s="381"/>
      <c r="J371" s="381"/>
      <c r="K371" s="381"/>
      <c r="L371" s="381"/>
      <c r="M371" s="381"/>
      <c r="N371" s="381"/>
      <c r="O371" s="381"/>
      <c r="P371" s="381"/>
      <c r="Q371" s="381"/>
      <c r="R371" s="381"/>
      <c r="S371" s="381"/>
      <c r="T371" s="381"/>
      <c r="U371" s="381"/>
      <c r="V371" s="381"/>
      <c r="W371" s="381"/>
      <c r="X371" s="381"/>
      <c r="Y371" s="381"/>
      <c r="Z371" s="381"/>
      <c r="AA371" s="381"/>
      <c r="AB371" s="381"/>
      <c r="AC371" s="381"/>
      <c r="AD371" s="381"/>
      <c r="AE371" s="381"/>
      <c r="AF371" s="381"/>
      <c r="AG371" s="381"/>
      <c r="AH371" s="381"/>
      <c r="AI371" s="381"/>
      <c r="AJ371" s="381"/>
      <c r="AK371" s="381"/>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0" t="s">
        <v>289</v>
      </c>
      <c r="G388" s="1220"/>
      <c r="H388" s="1220"/>
      <c r="I388" s="1220"/>
      <c r="J388" s="1220"/>
      <c r="K388" s="1220"/>
      <c r="L388" s="1220"/>
      <c r="M388" s="1220"/>
      <c r="N388" s="1220"/>
      <c r="O388" s="1220"/>
      <c r="P388" s="1220"/>
      <c r="Q388" s="1220"/>
      <c r="R388" s="1220"/>
      <c r="S388" s="1220"/>
      <c r="T388" s="1220"/>
      <c r="U388" s="1220"/>
      <c r="V388" s="1220"/>
      <c r="W388" s="1220"/>
      <c r="X388" s="1220"/>
      <c r="Y388" s="1220"/>
      <c r="Z388" s="1220"/>
      <c r="AA388" s="1220"/>
      <c r="AB388" s="1220"/>
      <c r="AC388" s="1220"/>
      <c r="AD388" s="1220"/>
      <c r="AE388" s="1220"/>
      <c r="AF388" s="1220"/>
      <c r="AG388" s="1220"/>
      <c r="AH388" s="1220"/>
      <c r="AI388" s="1220"/>
      <c r="AJ388" s="1220"/>
      <c r="AK388" s="1220"/>
    </row>
    <row r="389" spans="1:38">
      <c r="B389" s="2"/>
      <c r="E389" s="3"/>
      <c r="F389" s="1220"/>
      <c r="G389" s="1220"/>
      <c r="H389" s="1220"/>
      <c r="I389" s="1220"/>
      <c r="J389" s="1220"/>
      <c r="K389" s="1220"/>
      <c r="L389" s="1220"/>
      <c r="M389" s="1220"/>
      <c r="N389" s="1220"/>
      <c r="O389" s="1220"/>
      <c r="P389" s="1220"/>
      <c r="Q389" s="1220"/>
      <c r="R389" s="1220"/>
      <c r="S389" s="1220"/>
      <c r="T389" s="1220"/>
      <c r="U389" s="1220"/>
      <c r="V389" s="1220"/>
      <c r="W389" s="1220"/>
      <c r="X389" s="1220"/>
      <c r="Y389" s="1220"/>
      <c r="Z389" s="1220"/>
      <c r="AA389" s="1220"/>
      <c r="AB389" s="1220"/>
      <c r="AC389" s="1220"/>
      <c r="AD389" s="1220"/>
      <c r="AE389" s="1220"/>
      <c r="AF389" s="1220"/>
      <c r="AG389" s="1220"/>
      <c r="AH389" s="1220"/>
      <c r="AI389" s="1220"/>
      <c r="AJ389" s="1220"/>
      <c r="AK389" s="1220"/>
    </row>
    <row r="390" spans="1:38">
      <c r="B390" s="2"/>
      <c r="E390" s="3"/>
      <c r="F390" s="1220"/>
      <c r="G390" s="1220"/>
      <c r="H390" s="1220"/>
      <c r="I390" s="1220"/>
      <c r="J390" s="1220"/>
      <c r="K390" s="1220"/>
      <c r="L390" s="1220"/>
      <c r="M390" s="1220"/>
      <c r="N390" s="1220"/>
      <c r="O390" s="1220"/>
      <c r="P390" s="1220"/>
      <c r="Q390" s="1220"/>
      <c r="R390" s="1220"/>
      <c r="S390" s="1220"/>
      <c r="T390" s="1220"/>
      <c r="U390" s="1220"/>
      <c r="V390" s="1220"/>
      <c r="W390" s="1220"/>
      <c r="X390" s="1220"/>
      <c r="Y390" s="1220"/>
      <c r="Z390" s="1220"/>
      <c r="AA390" s="1220"/>
      <c r="AB390" s="1220"/>
      <c r="AC390" s="1220"/>
      <c r="AD390" s="1220"/>
      <c r="AE390" s="1220"/>
      <c r="AF390" s="1220"/>
      <c r="AG390" s="1220"/>
      <c r="AH390" s="1220"/>
      <c r="AI390" s="1220"/>
      <c r="AJ390" s="1220"/>
      <c r="AK390" s="1220"/>
    </row>
    <row r="391" spans="1:38">
      <c r="B391" s="2"/>
      <c r="E391" s="3"/>
      <c r="F391" s="367"/>
      <c r="G391" s="367"/>
      <c r="H391" s="367"/>
      <c r="I391" s="367"/>
      <c r="J391" s="367"/>
      <c r="K391" s="367"/>
      <c r="L391" s="367"/>
      <c r="M391" s="367"/>
      <c r="N391" s="367"/>
      <c r="O391" s="367"/>
      <c r="P391" s="367"/>
      <c r="Q391" s="367"/>
      <c r="R391" s="367"/>
      <c r="S391" s="367"/>
      <c r="T391" s="367"/>
      <c r="U391" s="367"/>
      <c r="V391" s="367"/>
      <c r="W391" s="367"/>
      <c r="X391" s="367"/>
      <c r="Y391" s="367"/>
      <c r="Z391" s="367"/>
      <c r="AA391" s="367"/>
      <c r="AB391" s="367"/>
      <c r="AC391" s="367"/>
      <c r="AD391" s="367"/>
      <c r="AE391" s="367"/>
      <c r="AF391" s="367"/>
      <c r="AG391" s="367"/>
      <c r="AH391" s="367"/>
      <c r="AI391" s="367"/>
      <c r="AJ391" s="367"/>
      <c r="AK391" s="367"/>
      <c r="AL391" s="379"/>
    </row>
    <row r="392" spans="1:38">
      <c r="B392" s="2"/>
      <c r="C392" s="2"/>
      <c r="D392" s="2" t="s">
        <v>105</v>
      </c>
      <c r="E392" s="2" t="s">
        <v>290</v>
      </c>
      <c r="F392" s="3"/>
      <c r="G392" s="2"/>
      <c r="I392" s="87"/>
      <c r="J392" s="3"/>
      <c r="K392" s="3"/>
      <c r="L392" s="3"/>
      <c r="M392" s="3"/>
      <c r="N392" s="3"/>
      <c r="O392" s="3"/>
      <c r="P392" s="3"/>
      <c r="Q392" s="3"/>
      <c r="R392" s="3"/>
      <c r="S392" s="3"/>
    </row>
    <row r="393" spans="1:38" ht="13.2" customHeight="1">
      <c r="B393" s="2"/>
      <c r="D393" s="2"/>
      <c r="E393" s="3" t="s">
        <v>291</v>
      </c>
      <c r="F393" s="381"/>
      <c r="G393" s="381"/>
      <c r="H393" s="381"/>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row>
    <row r="394" spans="1:38">
      <c r="B394" s="2"/>
      <c r="E394" t="s">
        <v>286</v>
      </c>
      <c r="F394" s="378"/>
      <c r="G394" s="378"/>
      <c r="H394" s="378"/>
      <c r="I394" s="378"/>
      <c r="J394" s="378"/>
      <c r="K394" s="378"/>
      <c r="L394" s="378"/>
      <c r="M394" s="378"/>
      <c r="N394" s="378"/>
      <c r="O394" s="378"/>
      <c r="P394" s="378"/>
      <c r="Q394" s="378"/>
      <c r="R394" s="378"/>
      <c r="S394" s="378"/>
      <c r="T394" s="378"/>
      <c r="U394" s="378"/>
      <c r="V394" s="378"/>
      <c r="W394" s="378"/>
      <c r="X394" s="378"/>
      <c r="Y394" s="378"/>
      <c r="Z394" s="378"/>
      <c r="AA394" s="378"/>
      <c r="AB394" s="378"/>
      <c r="AC394" s="378"/>
      <c r="AD394" s="378"/>
      <c r="AE394" s="378"/>
      <c r="AF394" s="378"/>
      <c r="AG394" s="378"/>
      <c r="AH394" s="378"/>
      <c r="AI394" s="378"/>
      <c r="AJ394" s="378"/>
      <c r="AK394" s="378"/>
      <c r="AL394" s="378"/>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66" zoomScaleNormal="100" workbookViewId="0">
      <selection activeCell="AN91" sqref="AN91"/>
    </sheetView>
  </sheetViews>
  <sheetFormatPr defaultColWidth="2.6640625" defaultRowHeight="15.75" customHeight="1"/>
  <cols>
    <col min="1" max="13" width="2.6640625" style="1076"/>
    <col min="14" max="14" width="4.6640625" style="1076" customWidth="1"/>
    <col min="15" max="37" width="2.6640625" style="1076"/>
    <col min="38" max="38" width="3" style="1076" customWidth="1"/>
    <col min="39" max="45" width="2.6640625" style="1076"/>
    <col min="46" max="46" width="4.6640625" style="1076" customWidth="1"/>
    <col min="47" max="64" width="2.6640625" style="1076"/>
    <col min="65" max="65" width="10.44140625" style="1076" hidden="1" customWidth="1"/>
    <col min="66" max="70" width="5.5546875" style="1076" bestFit="1" customWidth="1"/>
    <col min="71" max="71" width="6.33203125" style="1076" bestFit="1" customWidth="1"/>
    <col min="72" max="76" width="5.5546875" style="1076" bestFit="1" customWidth="1"/>
    <col min="77" max="77" width="6.33203125" style="1076" bestFit="1" customWidth="1"/>
    <col min="78" max="78" width="5.5546875" style="1076" bestFit="1" customWidth="1"/>
    <col min="79" max="16384" width="2.6640625" style="1076"/>
  </cols>
  <sheetData>
    <row r="1" spans="1:65" ht="15.75" customHeight="1">
      <c r="A1" s="2489" t="s">
        <v>2487</v>
      </c>
      <c r="B1" s="2490"/>
      <c r="C1" s="2490"/>
      <c r="D1" s="2490"/>
      <c r="E1" s="2490"/>
      <c r="F1" s="2490"/>
      <c r="G1" s="2490"/>
      <c r="H1" s="2490"/>
      <c r="I1" s="2490"/>
      <c r="J1" s="2490"/>
      <c r="K1" s="2490"/>
      <c r="L1" s="2490"/>
      <c r="M1" s="2490"/>
      <c r="N1" s="2490"/>
      <c r="O1" s="2490"/>
      <c r="P1" s="2490"/>
      <c r="Q1" s="2490"/>
      <c r="R1" s="2490"/>
      <c r="S1" s="2490"/>
      <c r="T1" s="2490"/>
      <c r="U1" s="2490"/>
      <c r="V1" s="2490"/>
      <c r="W1" s="2490"/>
      <c r="X1" s="2490"/>
      <c r="Y1" s="2490"/>
      <c r="Z1" s="2490"/>
      <c r="AA1" s="2490"/>
      <c r="AB1" s="2490"/>
      <c r="AC1" s="2490"/>
      <c r="AD1" s="2490"/>
      <c r="AE1" s="2490"/>
      <c r="AF1" s="2490"/>
      <c r="AG1" s="2490"/>
      <c r="AH1" s="2490"/>
      <c r="AI1" s="2490"/>
      <c r="AJ1" s="2490"/>
      <c r="AK1" s="2490"/>
      <c r="AL1" s="2490"/>
      <c r="AM1" s="2490"/>
      <c r="AN1" s="2490"/>
      <c r="AO1" s="2490"/>
      <c r="AP1" s="2490"/>
      <c r="AQ1" s="2490"/>
      <c r="AR1" s="2490"/>
      <c r="AS1" s="2490"/>
      <c r="AT1" s="2490"/>
      <c r="AU1" s="2490"/>
      <c r="AV1" s="2490"/>
      <c r="AW1" s="2490"/>
      <c r="AX1" s="2490"/>
      <c r="AY1" s="2490"/>
      <c r="AZ1" s="2490"/>
      <c r="BA1" s="2490"/>
      <c r="BB1" s="2490"/>
      <c r="BC1" s="2490"/>
      <c r="BD1" s="2490"/>
      <c r="BE1" s="2491"/>
    </row>
    <row r="2" spans="1:65" ht="15.75" customHeight="1">
      <c r="A2" s="2492" t="s">
        <v>2488</v>
      </c>
      <c r="B2" s="2493"/>
      <c r="C2" s="2493"/>
      <c r="D2" s="2493"/>
      <c r="E2" s="2493"/>
      <c r="F2" s="2493"/>
      <c r="G2" s="2493"/>
      <c r="H2" s="2493"/>
      <c r="I2" s="2493"/>
      <c r="J2" s="2493"/>
      <c r="K2" s="2493"/>
      <c r="L2" s="2493"/>
      <c r="M2" s="2493"/>
      <c r="N2" s="2493"/>
      <c r="O2" s="2493"/>
      <c r="P2" s="2493"/>
      <c r="Q2" s="2493"/>
      <c r="R2" s="2493"/>
      <c r="S2" s="2493"/>
      <c r="T2" s="2493"/>
      <c r="U2" s="2493"/>
      <c r="V2" s="2493"/>
      <c r="W2" s="2493"/>
      <c r="X2" s="2493"/>
      <c r="Y2" s="2493"/>
      <c r="Z2" s="2493"/>
      <c r="AA2" s="2493"/>
      <c r="AB2" s="2493"/>
      <c r="AC2" s="2493"/>
      <c r="AD2" s="2493"/>
      <c r="AE2" s="2493"/>
      <c r="AF2" s="2493"/>
      <c r="AG2" s="2493"/>
      <c r="AH2" s="2493"/>
      <c r="AI2" s="2493"/>
      <c r="AJ2" s="2493"/>
      <c r="AK2" s="2493"/>
      <c r="AL2" s="2493"/>
      <c r="AM2" s="2493"/>
      <c r="AN2" s="2493"/>
      <c r="AO2" s="2493"/>
      <c r="AP2" s="2493"/>
      <c r="AQ2" s="2493"/>
      <c r="AR2" s="2493"/>
      <c r="AS2" s="2493"/>
      <c r="AT2" s="2493"/>
      <c r="AU2" s="2493"/>
      <c r="AV2" s="2493"/>
      <c r="AW2" s="2493"/>
      <c r="AX2" s="2493"/>
      <c r="AY2" s="2493"/>
      <c r="AZ2" s="2493"/>
      <c r="BA2" s="2493"/>
      <c r="BB2" s="2493"/>
      <c r="BC2" s="2493"/>
      <c r="BD2" s="2493"/>
      <c r="BE2" s="2494"/>
      <c r="BF2" s="1077"/>
    </row>
    <row r="3" spans="1:65" ht="15.75" customHeight="1" thickBot="1">
      <c r="A3" s="1091"/>
      <c r="B3" s="1085"/>
      <c r="C3" s="1085"/>
      <c r="D3" s="1085"/>
      <c r="E3" s="1085"/>
      <c r="F3" s="1085"/>
      <c r="G3" s="1085"/>
      <c r="H3" s="1085"/>
      <c r="I3" s="1085"/>
      <c r="J3" s="1085"/>
      <c r="K3" s="1085"/>
      <c r="L3" s="1085"/>
      <c r="M3" s="1085"/>
      <c r="N3" s="1085"/>
      <c r="O3" s="1085"/>
      <c r="P3" s="1085"/>
      <c r="Q3" s="1085"/>
      <c r="R3" s="1085"/>
      <c r="S3" s="1085"/>
      <c r="T3" s="1085"/>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c r="AT3" s="1085"/>
      <c r="AU3" s="1085"/>
      <c r="AV3" s="1085"/>
      <c r="AW3" s="1085"/>
      <c r="AX3" s="1085"/>
      <c r="AY3" s="1085"/>
      <c r="AZ3" s="1085"/>
      <c r="BA3" s="1085"/>
      <c r="BB3" s="1085"/>
      <c r="BC3" s="1085"/>
      <c r="BD3" s="1085"/>
      <c r="BE3" s="1095"/>
    </row>
    <row r="4" spans="1:65" ht="15.75" customHeight="1" thickBot="1">
      <c r="A4" s="1091"/>
      <c r="B4" s="1093" t="s">
        <v>76</v>
      </c>
      <c r="C4" s="1093"/>
      <c r="D4" s="1093"/>
      <c r="E4" s="1093"/>
      <c r="F4" s="1093"/>
      <c r="G4" s="1085"/>
      <c r="H4" s="1085"/>
      <c r="I4" s="1085"/>
      <c r="J4" s="1085"/>
      <c r="K4" s="1085"/>
      <c r="L4" s="2495" t="str">
        <f>IF(Application!H18="","",Application!H18)</f>
        <v>VA Building 408</v>
      </c>
      <c r="M4" s="2496"/>
      <c r="N4" s="2496"/>
      <c r="O4" s="2496"/>
      <c r="P4" s="2496"/>
      <c r="Q4" s="2496"/>
      <c r="R4" s="2496"/>
      <c r="S4" s="2496"/>
      <c r="T4" s="2496"/>
      <c r="U4" s="2496"/>
      <c r="V4" s="2496"/>
      <c r="W4" s="2496"/>
      <c r="X4" s="2496"/>
      <c r="Y4" s="2496"/>
      <c r="Z4" s="2496"/>
      <c r="AA4" s="2496"/>
      <c r="AB4" s="2496"/>
      <c r="AC4" s="2497"/>
      <c r="AD4" s="1085"/>
      <c r="AE4" s="1085"/>
      <c r="AF4" s="2142" t="s">
        <v>2489</v>
      </c>
      <c r="AG4" s="2142"/>
      <c r="AH4" s="2142"/>
      <c r="AI4" s="2142"/>
      <c r="AJ4" s="2142"/>
      <c r="AK4" s="2142"/>
      <c r="AL4" s="2142"/>
      <c r="AM4" s="2142"/>
      <c r="AN4" s="2142"/>
      <c r="AO4" s="2142"/>
      <c r="AP4" s="2143"/>
      <c r="AQ4" s="2144"/>
      <c r="AR4" s="2144"/>
      <c r="AS4" s="2144"/>
      <c r="AT4" s="2144"/>
      <c r="AU4" s="2144"/>
      <c r="AV4" s="1085"/>
      <c r="AW4" s="1085"/>
      <c r="AX4" s="1085"/>
      <c r="AY4" s="1085"/>
      <c r="AZ4" s="1085"/>
      <c r="BA4" s="1085"/>
      <c r="BB4" s="1085"/>
      <c r="BC4" s="1085"/>
      <c r="BD4" s="1085"/>
      <c r="BE4" s="1095"/>
    </row>
    <row r="5" spans="1:65" ht="15.75" customHeight="1" thickBot="1">
      <c r="A5" s="1091"/>
      <c r="B5" s="1085"/>
      <c r="C5" s="1085"/>
      <c r="D5" s="1085"/>
      <c r="E5" s="1085"/>
      <c r="F5" s="1085"/>
      <c r="G5" s="1085"/>
      <c r="H5" s="1085"/>
      <c r="I5" s="1085"/>
      <c r="J5" s="1085"/>
      <c r="K5" s="1085"/>
      <c r="L5" s="1085"/>
      <c r="M5" s="1085"/>
      <c r="N5" s="1085"/>
      <c r="O5" s="1085"/>
      <c r="P5" s="1085"/>
      <c r="Q5" s="1085"/>
      <c r="R5" s="1085"/>
      <c r="S5" s="1085"/>
      <c r="T5" s="1085"/>
      <c r="U5" s="1085"/>
      <c r="V5" s="1085"/>
      <c r="W5" s="1085"/>
      <c r="X5" s="1085"/>
      <c r="Y5" s="1085"/>
      <c r="Z5" s="1085"/>
      <c r="AA5" s="1085"/>
      <c r="AB5" s="1085"/>
      <c r="AC5" s="1085"/>
      <c r="AD5" s="1085"/>
      <c r="AE5" s="1085"/>
      <c r="AF5" s="2142" t="s">
        <v>2490</v>
      </c>
      <c r="AG5" s="2142"/>
      <c r="AH5" s="2142"/>
      <c r="AI5" s="2142"/>
      <c r="AJ5" s="2142"/>
      <c r="AK5" s="2142"/>
      <c r="AL5" s="2142"/>
      <c r="AM5" s="2142"/>
      <c r="AN5" s="2142"/>
      <c r="AO5" s="2142"/>
      <c r="AP5" s="2143"/>
      <c r="AQ5" s="2144"/>
      <c r="AR5" s="2144"/>
      <c r="AS5" s="2144"/>
      <c r="AT5" s="2144"/>
      <c r="AU5" s="2144"/>
      <c r="AV5" s="1085"/>
      <c r="AW5" s="1085"/>
      <c r="AX5" s="1085"/>
      <c r="AY5" s="1085"/>
      <c r="AZ5" s="1085"/>
      <c r="BA5" s="1085"/>
      <c r="BB5" s="1085"/>
      <c r="BC5" s="1085"/>
      <c r="BD5" s="1085"/>
      <c r="BE5" s="1095"/>
    </row>
    <row r="6" spans="1:65" ht="15.75" customHeight="1" thickBot="1">
      <c r="A6" s="1091"/>
      <c r="B6" s="1093" t="s">
        <v>2491</v>
      </c>
      <c r="C6" s="1085"/>
      <c r="D6" s="1085"/>
      <c r="E6" s="1085"/>
      <c r="F6" s="1085"/>
      <c r="G6" s="1085"/>
      <c r="H6" s="1085"/>
      <c r="I6" s="1085"/>
      <c r="J6" s="1085"/>
      <c r="K6" s="1085"/>
      <c r="L6" s="2495" t="str">
        <f>IF(Application!H16="","",Application!H16)</f>
        <v>Housing Corporation of America</v>
      </c>
      <c r="M6" s="2496"/>
      <c r="N6" s="2496"/>
      <c r="O6" s="2496"/>
      <c r="P6" s="2496"/>
      <c r="Q6" s="2496"/>
      <c r="R6" s="2496"/>
      <c r="S6" s="2496"/>
      <c r="T6" s="2496"/>
      <c r="U6" s="2496"/>
      <c r="V6" s="2496"/>
      <c r="W6" s="2496"/>
      <c r="X6" s="2496"/>
      <c r="Y6" s="2496"/>
      <c r="Z6" s="2496"/>
      <c r="AA6" s="2496"/>
      <c r="AB6" s="2496"/>
      <c r="AC6" s="2497"/>
      <c r="AD6" s="1085"/>
      <c r="AE6" s="1085"/>
      <c r="AF6" s="2498" t="s">
        <v>2492</v>
      </c>
      <c r="AG6" s="2498"/>
      <c r="AH6" s="2498"/>
      <c r="AI6" s="2498"/>
      <c r="AJ6" s="2498"/>
      <c r="AK6" s="2498"/>
      <c r="AL6" s="2498"/>
      <c r="AM6" s="2498"/>
      <c r="AN6" s="2498"/>
      <c r="AO6" s="2498"/>
      <c r="AP6" s="2488">
        <v>4</v>
      </c>
      <c r="AQ6" s="2488"/>
      <c r="AR6" s="2488"/>
      <c r="AS6" s="2488"/>
      <c r="AT6" s="2488"/>
      <c r="AU6" s="2488"/>
      <c r="AV6" s="1085"/>
      <c r="AW6" s="1085"/>
      <c r="AX6" s="1085"/>
      <c r="AY6" s="1085"/>
      <c r="AZ6" s="1085"/>
      <c r="BA6" s="1085"/>
      <c r="BB6" s="1085"/>
      <c r="BC6" s="1085"/>
      <c r="BD6" s="1085"/>
      <c r="BE6" s="1095"/>
    </row>
    <row r="7" spans="1:65" ht="15" thickBot="1">
      <c r="A7" s="1091"/>
      <c r="B7" s="1085"/>
      <c r="C7" s="1085"/>
      <c r="D7" s="1085"/>
      <c r="E7" s="1085"/>
      <c r="F7" s="1085"/>
      <c r="G7" s="1085"/>
      <c r="H7" s="1085"/>
      <c r="I7" s="1085"/>
      <c r="J7" s="1085"/>
      <c r="K7" s="1085"/>
      <c r="L7" s="1085"/>
      <c r="M7" s="1085"/>
      <c r="N7" s="1085"/>
      <c r="O7" s="1085"/>
      <c r="P7" s="1085"/>
      <c r="Q7" s="1085"/>
      <c r="R7" s="1085"/>
      <c r="S7" s="1085"/>
      <c r="T7" s="1085"/>
      <c r="U7" s="1085"/>
      <c r="V7" s="1085"/>
      <c r="W7" s="1085"/>
      <c r="X7" s="1085"/>
      <c r="Y7" s="1085"/>
      <c r="Z7" s="1085"/>
      <c r="AA7" s="1085"/>
      <c r="AB7" s="1085"/>
      <c r="AC7" s="1085"/>
      <c r="AD7" s="1085"/>
      <c r="AE7" s="1085"/>
      <c r="AF7" s="2498" t="s">
        <v>2493</v>
      </c>
      <c r="AG7" s="2498"/>
      <c r="AH7" s="2498"/>
      <c r="AI7" s="2498"/>
      <c r="AJ7" s="2498"/>
      <c r="AK7" s="2498"/>
      <c r="AL7" s="2498"/>
      <c r="AM7" s="2498"/>
      <c r="AN7" s="2498"/>
      <c r="AO7" s="2498"/>
      <c r="AP7" s="2488">
        <v>2</v>
      </c>
      <c r="AQ7" s="2488"/>
      <c r="AR7" s="2488"/>
      <c r="AS7" s="2488"/>
      <c r="AT7" s="2488"/>
      <c r="AU7" s="2488"/>
      <c r="AV7" s="1085"/>
      <c r="AW7" s="1085"/>
      <c r="AX7" s="1085"/>
      <c r="AY7" s="1085"/>
      <c r="AZ7" s="1085"/>
      <c r="BA7" s="1085"/>
      <c r="BB7" s="1085"/>
      <c r="BC7" s="1085"/>
      <c r="BD7" s="1085"/>
      <c r="BE7" s="1095"/>
    </row>
    <row r="8" spans="1:65" ht="15" thickBot="1">
      <c r="A8" s="1091"/>
      <c r="B8" s="1093" t="s">
        <v>2494</v>
      </c>
      <c r="C8" s="1085"/>
      <c r="D8" s="1085"/>
      <c r="E8" s="1085"/>
      <c r="F8" s="1085"/>
      <c r="G8" s="1085"/>
      <c r="H8" s="1085"/>
      <c r="I8" s="1085"/>
      <c r="J8" s="1085"/>
      <c r="K8" s="1085"/>
      <c r="L8" s="1085"/>
      <c r="M8" s="1085"/>
      <c r="N8" s="1085"/>
      <c r="O8" s="1085"/>
      <c r="P8" s="1085"/>
      <c r="Q8" s="1085"/>
      <c r="R8" s="1085"/>
      <c r="S8" s="1085"/>
      <c r="T8" s="1085"/>
      <c r="U8" s="1085"/>
      <c r="V8" s="1085"/>
      <c r="W8" s="1085"/>
      <c r="X8" s="1085"/>
      <c r="Y8" s="1085"/>
      <c r="Z8" s="1085"/>
      <c r="AA8" s="1085"/>
      <c r="AB8" s="2499" t="str">
        <f>Application!T197</f>
        <v>No</v>
      </c>
      <c r="AC8" s="2500"/>
      <c r="AD8" s="2501"/>
      <c r="AE8" s="1085"/>
      <c r="AF8" s="2498" t="s">
        <v>2495</v>
      </c>
      <c r="AG8" s="2498"/>
      <c r="AH8" s="2498"/>
      <c r="AI8" s="2498"/>
      <c r="AJ8" s="2498"/>
      <c r="AK8" s="2498"/>
      <c r="AL8" s="2498"/>
      <c r="AM8" s="2498"/>
      <c r="AN8" s="2498"/>
      <c r="AO8" s="2498"/>
      <c r="AP8" s="2488" t="s">
        <v>1245</v>
      </c>
      <c r="AQ8" s="2488"/>
      <c r="AR8" s="2488"/>
      <c r="AS8" s="2488"/>
      <c r="AT8" s="2488"/>
      <c r="AU8" s="2488"/>
      <c r="AV8" s="1085"/>
      <c r="AW8" s="1085"/>
      <c r="AX8" s="1085"/>
      <c r="AY8" s="1085"/>
      <c r="AZ8" s="1085"/>
      <c r="BA8" s="1085"/>
      <c r="BB8" s="1085"/>
      <c r="BC8" s="1085"/>
      <c r="BD8" s="1085"/>
      <c r="BE8" s="1095"/>
      <c r="BM8" s="1076" t="s">
        <v>2423</v>
      </c>
    </row>
    <row r="9" spans="1:65" ht="14.4">
      <c r="A9" s="1085"/>
      <c r="B9" s="1085"/>
      <c r="C9" s="1085"/>
      <c r="D9" s="1085"/>
      <c r="E9" s="1085"/>
      <c r="F9" s="1085"/>
      <c r="G9" s="1085"/>
      <c r="H9" s="1085"/>
      <c r="I9" s="1085"/>
      <c r="J9" s="1085"/>
      <c r="K9" s="1085"/>
      <c r="L9" s="1085"/>
      <c r="M9" s="1085"/>
      <c r="N9" s="1085"/>
      <c r="O9" s="1085"/>
      <c r="P9" s="1085"/>
      <c r="Q9" s="1085"/>
      <c r="R9" s="1085"/>
      <c r="S9" s="1085"/>
      <c r="T9" s="1085"/>
      <c r="U9" s="1085"/>
      <c r="V9" s="1085"/>
      <c r="W9" s="1085"/>
      <c r="X9" s="1085"/>
      <c r="Y9" s="1085"/>
      <c r="Z9" s="1085"/>
      <c r="AA9" s="1085"/>
      <c r="AB9" s="1085"/>
      <c r="AC9" s="1085"/>
      <c r="AD9" s="1085"/>
      <c r="AE9" s="1085"/>
      <c r="AF9" s="2142" t="s">
        <v>2496</v>
      </c>
      <c r="AG9" s="2142"/>
      <c r="AH9" s="2142"/>
      <c r="AI9" s="2142"/>
      <c r="AJ9" s="2142"/>
      <c r="AK9" s="2142"/>
      <c r="AL9" s="2142"/>
      <c r="AM9" s="2142"/>
      <c r="AN9" s="2142"/>
      <c r="AO9" s="2142"/>
      <c r="AP9" s="2143">
        <v>46691</v>
      </c>
      <c r="AQ9" s="2144"/>
      <c r="AR9" s="2144"/>
      <c r="AS9" s="2144"/>
      <c r="AT9" s="2144"/>
      <c r="AU9" s="2144"/>
      <c r="AV9" s="1085"/>
      <c r="AW9" s="1085"/>
      <c r="AX9" s="1085"/>
      <c r="AY9" s="1085"/>
      <c r="AZ9" s="1085"/>
      <c r="BA9" s="1085"/>
      <c r="BB9" s="1085"/>
      <c r="BC9" s="1085"/>
      <c r="BD9" s="1085"/>
      <c r="BE9" s="1095"/>
      <c r="BM9" s="1076" t="s">
        <v>2497</v>
      </c>
    </row>
    <row r="10" spans="1:65" ht="14.4">
      <c r="A10" s="1091"/>
      <c r="B10" s="1093" t="s">
        <v>2498</v>
      </c>
      <c r="C10" s="1093"/>
      <c r="D10" s="1093"/>
      <c r="E10" s="1093"/>
      <c r="F10" s="1093"/>
      <c r="G10" s="1093"/>
      <c r="H10" s="1093"/>
      <c r="I10" s="1093"/>
      <c r="J10" s="1093"/>
      <c r="K10" s="1093"/>
      <c r="L10" s="1093"/>
      <c r="M10" s="1085"/>
      <c r="N10" s="2470">
        <f>Application!AO627</f>
        <v>14037650</v>
      </c>
      <c r="O10" s="2470"/>
      <c r="P10" s="2470"/>
      <c r="Q10" s="2470"/>
      <c r="R10" s="2470"/>
      <c r="S10" s="2470"/>
      <c r="T10" s="2470"/>
      <c r="U10" s="1085"/>
      <c r="V10" s="1085"/>
      <c r="W10" s="1085"/>
      <c r="X10" s="1134"/>
      <c r="Y10" s="1134"/>
      <c r="Z10" s="1134"/>
      <c r="AA10" s="1134"/>
      <c r="AB10" s="1134"/>
      <c r="AC10" s="1134"/>
      <c r="AD10" s="1134"/>
      <c r="AE10" s="1134"/>
      <c r="AF10" s="2142" t="s">
        <v>2499</v>
      </c>
      <c r="AG10" s="2142"/>
      <c r="AH10" s="2142"/>
      <c r="AI10" s="2142"/>
      <c r="AJ10" s="2142"/>
      <c r="AK10" s="2142"/>
      <c r="AL10" s="2142"/>
      <c r="AM10" s="2142"/>
      <c r="AN10" s="2142"/>
      <c r="AO10" s="2142"/>
      <c r="AP10" s="2143">
        <v>46691</v>
      </c>
      <c r="AQ10" s="2144"/>
      <c r="AR10" s="2144"/>
      <c r="AS10" s="2144"/>
      <c r="AT10" s="2144"/>
      <c r="AU10" s="2144"/>
      <c r="AV10" s="1134"/>
      <c r="AW10" s="1134"/>
      <c r="AX10" s="1085"/>
      <c r="AY10" s="1085"/>
      <c r="AZ10" s="1085"/>
      <c r="BA10" s="1085"/>
      <c r="BB10" s="1085"/>
      <c r="BC10" s="1085"/>
      <c r="BD10" s="1085"/>
      <c r="BE10" s="1095"/>
      <c r="BM10" s="1076" t="s">
        <v>2500</v>
      </c>
    </row>
    <row r="11" spans="1:65" ht="14.4">
      <c r="A11" s="1091"/>
      <c r="B11" s="1093" t="s">
        <v>2501</v>
      </c>
      <c r="C11" s="1093"/>
      <c r="D11" s="1093"/>
      <c r="E11" s="1093"/>
      <c r="F11" s="1093"/>
      <c r="G11" s="1093"/>
      <c r="H11" s="1093"/>
      <c r="I11" s="1093"/>
      <c r="J11" s="1093"/>
      <c r="K11" s="1093"/>
      <c r="L11" s="1093"/>
      <c r="M11" s="1085"/>
      <c r="N11" s="2470">
        <f>Application!AA933</f>
        <v>0</v>
      </c>
      <c r="O11" s="2470"/>
      <c r="P11" s="2470"/>
      <c r="Q11" s="2470"/>
      <c r="R11" s="2470"/>
      <c r="S11" s="2470"/>
      <c r="T11" s="2470"/>
      <c r="U11" s="1085"/>
      <c r="V11" s="1085"/>
      <c r="W11" s="1085"/>
      <c r="X11" s="1134"/>
      <c r="Y11" s="1134"/>
      <c r="Z11" s="1134"/>
      <c r="AA11" s="1134"/>
      <c r="AB11" s="1134"/>
      <c r="AC11" s="1134"/>
      <c r="AD11" s="1134"/>
      <c r="AE11" s="1134"/>
      <c r="AF11" s="2142" t="s">
        <v>2502</v>
      </c>
      <c r="AG11" s="2142"/>
      <c r="AH11" s="2142"/>
      <c r="AI11" s="2142"/>
      <c r="AJ11" s="2142"/>
      <c r="AK11" s="2142"/>
      <c r="AL11" s="2142"/>
      <c r="AM11" s="2142"/>
      <c r="AN11" s="2142"/>
      <c r="AO11" s="2142"/>
      <c r="AP11" s="2143">
        <v>46751</v>
      </c>
      <c r="AQ11" s="2144"/>
      <c r="AR11" s="2144"/>
      <c r="AS11" s="2144"/>
      <c r="AT11" s="2144"/>
      <c r="AU11" s="2144"/>
      <c r="AV11" s="1134"/>
      <c r="AW11" s="1134"/>
      <c r="AX11" s="1085"/>
      <c r="AY11" s="1085"/>
      <c r="AZ11" s="1085"/>
      <c r="BA11" s="1085"/>
      <c r="BB11" s="1085"/>
      <c r="BC11" s="1085"/>
      <c r="BD11" s="1085"/>
      <c r="BE11" s="1095"/>
      <c r="BM11" s="1076" t="s">
        <v>1245</v>
      </c>
    </row>
    <row r="12" spans="1:65" ht="15" thickBot="1">
      <c r="A12" s="1085"/>
      <c r="B12" s="1085"/>
      <c r="C12" s="1085"/>
      <c r="D12" s="1085"/>
      <c r="E12" s="1085"/>
      <c r="F12" s="1085"/>
      <c r="G12" s="1085"/>
      <c r="H12" s="1085"/>
      <c r="I12" s="1085"/>
      <c r="J12" s="1085"/>
      <c r="K12" s="1085"/>
      <c r="L12" s="1085"/>
      <c r="M12" s="1085"/>
      <c r="N12" s="1085"/>
      <c r="O12" s="1085"/>
      <c r="P12" s="1085"/>
      <c r="Q12" s="1085"/>
      <c r="R12" s="1085"/>
      <c r="S12" s="1085"/>
      <c r="T12" s="1085"/>
      <c r="U12" s="1085"/>
      <c r="V12" s="1085"/>
      <c r="W12" s="1085"/>
      <c r="X12" s="1134"/>
      <c r="Y12" s="1134"/>
      <c r="Z12" s="1134"/>
      <c r="AA12" s="1134"/>
      <c r="AB12" s="1134"/>
      <c r="AC12" s="1134"/>
      <c r="AD12" s="1134"/>
      <c r="AE12" s="1134"/>
      <c r="AF12" s="1134"/>
      <c r="AG12" s="1134"/>
      <c r="AH12" s="1134"/>
      <c r="AI12" s="1134"/>
      <c r="AJ12" s="1134"/>
      <c r="AK12" s="1134"/>
      <c r="AL12" s="1134"/>
      <c r="AM12" s="1134"/>
      <c r="AN12" s="1134"/>
      <c r="AO12" s="1134"/>
      <c r="AP12" s="1134"/>
      <c r="AQ12" s="1134"/>
      <c r="AR12" s="1134"/>
      <c r="AS12" s="1134"/>
      <c r="AT12" s="1134"/>
      <c r="AU12" s="1134"/>
      <c r="AV12" s="1085"/>
      <c r="AW12" s="1085"/>
      <c r="AX12" s="1085"/>
      <c r="AY12" s="1085"/>
      <c r="AZ12" s="1085"/>
      <c r="BA12" s="1085"/>
      <c r="BB12" s="1085"/>
      <c r="BC12" s="1085"/>
      <c r="BD12" s="1085"/>
      <c r="BE12" s="1081"/>
      <c r="BM12" s="1076" t="s">
        <v>2503</v>
      </c>
    </row>
    <row r="13" spans="1:65" ht="15" thickBot="1">
      <c r="A13" s="1085"/>
      <c r="B13" s="2477" t="s">
        <v>2504</v>
      </c>
      <c r="C13" s="2478"/>
      <c r="D13" s="2478"/>
      <c r="E13" s="2478"/>
      <c r="F13" s="2478"/>
      <c r="G13" s="2478"/>
      <c r="H13" s="2478"/>
      <c r="I13" s="2478"/>
      <c r="J13" s="2478"/>
      <c r="K13" s="2478"/>
      <c r="L13" s="2478"/>
      <c r="M13" s="2478"/>
      <c r="N13" s="2478"/>
      <c r="O13" s="2478"/>
      <c r="P13" s="2479"/>
      <c r="Q13" s="2480" t="s">
        <v>892</v>
      </c>
      <c r="R13" s="2481"/>
      <c r="S13" s="2481"/>
      <c r="T13" s="2482"/>
      <c r="U13" s="1134"/>
      <c r="V13" s="1085"/>
      <c r="W13" s="1085"/>
      <c r="X13" s="1085"/>
      <c r="Y13" s="1085"/>
      <c r="Z13" s="1085"/>
      <c r="AA13" s="2471" t="s">
        <v>2505</v>
      </c>
      <c r="AB13" s="2471"/>
      <c r="AC13" s="2471"/>
      <c r="AD13" s="2471"/>
      <c r="AE13" s="2471"/>
      <c r="AF13" s="2471"/>
      <c r="AG13" s="2471"/>
      <c r="AH13" s="2471"/>
      <c r="AI13" s="2471"/>
      <c r="AJ13" s="2471"/>
      <c r="AK13" s="2471"/>
      <c r="AL13" s="2471"/>
      <c r="AM13" s="2471"/>
      <c r="AN13" s="2471"/>
      <c r="AO13" s="2472">
        <f>Application!W473</f>
        <v>25</v>
      </c>
      <c r="AP13" s="2473"/>
      <c r="AQ13" s="2473"/>
      <c r="AR13" s="2473"/>
      <c r="AS13" s="2473"/>
      <c r="AT13" s="1134"/>
      <c r="AU13" s="1134"/>
      <c r="AV13" s="1134"/>
      <c r="AW13" s="1134"/>
      <c r="AX13" s="1134"/>
      <c r="AY13" s="1134"/>
      <c r="AZ13" s="1134"/>
      <c r="BA13" s="1134"/>
      <c r="BB13" s="1134"/>
      <c r="BC13" s="1134"/>
      <c r="BD13" s="1134"/>
      <c r="BE13" s="1081"/>
      <c r="BM13" s="1076" t="s">
        <v>2506</v>
      </c>
    </row>
    <row r="14" spans="1:65" ht="15" thickBot="1">
      <c r="A14" s="1085"/>
      <c r="B14" s="1085"/>
      <c r="C14" s="1085"/>
      <c r="D14" s="1085"/>
      <c r="E14" s="1085"/>
      <c r="F14" s="1085"/>
      <c r="G14" s="1085"/>
      <c r="H14" s="1085"/>
      <c r="I14" s="1085"/>
      <c r="J14" s="1085"/>
      <c r="K14" s="1085"/>
      <c r="L14" s="1085"/>
      <c r="M14" s="1085"/>
      <c r="N14" s="1085"/>
      <c r="O14" s="1085"/>
      <c r="P14" s="1085"/>
      <c r="Q14" s="1085"/>
      <c r="R14" s="1085"/>
      <c r="S14" s="1085"/>
      <c r="T14" s="1085"/>
      <c r="U14" s="1085"/>
      <c r="V14" s="1085"/>
      <c r="W14" s="1085"/>
      <c r="X14" s="1085"/>
      <c r="Y14" s="1085"/>
      <c r="Z14" s="1085"/>
      <c r="AA14" s="2474" t="s">
        <v>2507</v>
      </c>
      <c r="AB14" s="2474"/>
      <c r="AC14" s="2474"/>
      <c r="AD14" s="2474"/>
      <c r="AE14" s="2474"/>
      <c r="AF14" s="2474"/>
      <c r="AG14" s="2474"/>
      <c r="AH14" s="2474"/>
      <c r="AI14" s="2474"/>
      <c r="AJ14" s="2474"/>
      <c r="AK14" s="2474"/>
      <c r="AL14" s="2474"/>
      <c r="AM14" s="2474"/>
      <c r="AN14" s="2474"/>
      <c r="AO14" s="2475"/>
      <c r="AP14" s="2476"/>
      <c r="AQ14" s="2476"/>
      <c r="AR14" s="2476"/>
      <c r="AS14" s="2476"/>
      <c r="AT14" s="1134"/>
      <c r="AU14" s="1134"/>
      <c r="AV14" s="1134"/>
      <c r="AW14" s="1134"/>
      <c r="AX14" s="1134"/>
      <c r="AY14" s="1134"/>
      <c r="AZ14" s="1134"/>
      <c r="BA14" s="1134"/>
      <c r="BB14" s="1134"/>
      <c r="BC14" s="1134"/>
      <c r="BD14" s="1134"/>
      <c r="BE14" s="1081"/>
    </row>
    <row r="15" spans="1:65" ht="15" thickBot="1">
      <c r="A15" s="1085"/>
      <c r="B15" s="2483" t="s">
        <v>2508</v>
      </c>
      <c r="C15" s="2484"/>
      <c r="D15" s="2484"/>
      <c r="E15" s="2484"/>
      <c r="F15" s="2484"/>
      <c r="G15" s="2484"/>
      <c r="H15" s="2484"/>
      <c r="I15" s="2484"/>
      <c r="J15" s="2484"/>
      <c r="K15" s="2484"/>
      <c r="L15" s="2484"/>
      <c r="M15" s="2484"/>
      <c r="N15" s="2484"/>
      <c r="O15" s="2484"/>
      <c r="P15" s="2484"/>
      <c r="Q15" s="2484"/>
      <c r="R15" s="2485"/>
      <c r="S15" s="2486" t="str">
        <f>IF(Application!AB214="","",Application!AB214)</f>
        <v/>
      </c>
      <c r="T15" s="2486"/>
      <c r="U15" s="2486"/>
      <c r="V15" s="2486"/>
      <c r="W15" s="2487"/>
      <c r="X15" s="1134"/>
      <c r="Y15" s="1085"/>
      <c r="Z15" s="1085"/>
      <c r="AA15" s="2471" t="s">
        <v>2509</v>
      </c>
      <c r="AB15" s="2471"/>
      <c r="AC15" s="2471"/>
      <c r="AD15" s="2471"/>
      <c r="AE15" s="2471"/>
      <c r="AF15" s="2471"/>
      <c r="AG15" s="2471"/>
      <c r="AH15" s="2471"/>
      <c r="AI15" s="2471"/>
      <c r="AJ15" s="2471"/>
      <c r="AK15" s="2471"/>
      <c r="AL15" s="2471"/>
      <c r="AM15" s="2471"/>
      <c r="AN15" s="2471"/>
      <c r="AO15" s="2475"/>
      <c r="AP15" s="2476"/>
      <c r="AQ15" s="2476"/>
      <c r="AR15" s="2476"/>
      <c r="AS15" s="2476"/>
      <c r="AT15" s="1134"/>
      <c r="AU15" s="1134"/>
      <c r="AV15" s="1134"/>
      <c r="AW15" s="1134"/>
      <c r="AX15" s="1134"/>
      <c r="AY15" s="1134"/>
      <c r="AZ15" s="1134"/>
      <c r="BA15" s="1134"/>
      <c r="BB15" s="1134"/>
      <c r="BC15" s="1134"/>
      <c r="BD15" s="1134"/>
      <c r="BE15" s="1081"/>
    </row>
    <row r="16" spans="1:65" ht="15" thickBot="1">
      <c r="A16" s="1091"/>
      <c r="B16" s="1085"/>
      <c r="C16" s="1085"/>
      <c r="D16" s="1085"/>
      <c r="E16" s="1085"/>
      <c r="F16" s="1085"/>
      <c r="G16" s="1085"/>
      <c r="H16" s="1085"/>
      <c r="I16" s="1085"/>
      <c r="J16" s="1085"/>
      <c r="K16" s="1085"/>
      <c r="L16" s="1085"/>
      <c r="M16" s="1085"/>
      <c r="N16" s="1085"/>
      <c r="O16" s="1085"/>
      <c r="P16" s="1085"/>
      <c r="Q16" s="1085"/>
      <c r="R16" s="1085"/>
      <c r="S16" s="1085"/>
      <c r="T16" s="1085"/>
      <c r="U16" s="1085"/>
      <c r="V16" s="1085"/>
      <c r="W16" s="1085"/>
      <c r="X16" s="1085"/>
      <c r="Y16" s="1085"/>
      <c r="Z16" s="1085"/>
      <c r="AA16" s="1085"/>
      <c r="AB16" s="1085"/>
      <c r="AC16" s="1085"/>
      <c r="AD16" s="1085"/>
      <c r="AE16" s="1085"/>
      <c r="AF16" s="1085"/>
      <c r="AG16" s="1085"/>
      <c r="AH16" s="1085"/>
      <c r="AI16" s="1085"/>
      <c r="AJ16" s="1085"/>
      <c r="AK16" s="1085"/>
      <c r="AL16" s="1085"/>
      <c r="AM16" s="1085"/>
      <c r="AN16" s="1085"/>
      <c r="AO16" s="1085"/>
      <c r="AP16" s="1085"/>
      <c r="AQ16" s="1085"/>
      <c r="AR16" s="1085"/>
      <c r="AS16" s="1085"/>
      <c r="AT16" s="1085"/>
      <c r="AU16" s="1085"/>
      <c r="AV16" s="1085"/>
      <c r="AW16" s="1085"/>
      <c r="AX16" s="1085"/>
      <c r="AY16" s="1085"/>
      <c r="AZ16" s="1085"/>
      <c r="BA16" s="1085"/>
      <c r="BB16" s="1085"/>
      <c r="BC16" s="1085"/>
      <c r="BD16" s="1085"/>
      <c r="BE16" s="1081"/>
    </row>
    <row r="17" spans="1:58" ht="14.4">
      <c r="A17" s="1085"/>
      <c r="B17" s="2351" t="s">
        <v>2510</v>
      </c>
      <c r="C17" s="2352"/>
      <c r="D17" s="2352"/>
      <c r="E17" s="2352"/>
      <c r="F17" s="2352"/>
      <c r="G17" s="2352"/>
      <c r="H17" s="2352"/>
      <c r="I17" s="2352"/>
      <c r="J17" s="2352"/>
      <c r="K17" s="2352"/>
      <c r="L17" s="2352"/>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c r="AH17" s="2352"/>
      <c r="AI17" s="2352"/>
      <c r="AJ17" s="2352"/>
      <c r="AK17" s="2352"/>
      <c r="AL17" s="2352"/>
      <c r="AM17" s="2352"/>
      <c r="AN17" s="2352"/>
      <c r="AO17" s="2352"/>
      <c r="AP17" s="2352"/>
      <c r="AQ17" s="2352"/>
      <c r="AR17" s="2352"/>
      <c r="AS17" s="2352"/>
      <c r="AT17" s="2352"/>
      <c r="AU17" s="2352"/>
      <c r="AV17" s="2352"/>
      <c r="AW17" s="2352"/>
      <c r="AX17" s="2352"/>
      <c r="AY17" s="2353"/>
      <c r="AZ17" s="1085"/>
      <c r="BA17" s="1085"/>
      <c r="BB17" s="1085"/>
      <c r="BC17" s="1085"/>
      <c r="BD17" s="1085"/>
      <c r="BE17" s="1081"/>
      <c r="BF17" s="1077"/>
    </row>
    <row r="18" spans="1:58" ht="15.75" customHeight="1">
      <c r="A18" s="1085"/>
      <c r="B18" s="2463" t="s">
        <v>2511</v>
      </c>
      <c r="C18" s="2464"/>
      <c r="D18" s="2464"/>
      <c r="E18" s="2464"/>
      <c r="F18" s="2464"/>
      <c r="G18" s="2464"/>
      <c r="H18" s="2464"/>
      <c r="I18" s="2465"/>
      <c r="J18" s="2466" t="s">
        <v>2441</v>
      </c>
      <c r="K18" s="2467"/>
      <c r="L18" s="2467"/>
      <c r="M18" s="2467"/>
      <c r="N18" s="2467"/>
      <c r="O18" s="2468"/>
      <c r="P18" s="2466" t="s">
        <v>1380</v>
      </c>
      <c r="Q18" s="2467"/>
      <c r="R18" s="2467"/>
      <c r="S18" s="2467"/>
      <c r="T18" s="2467"/>
      <c r="U18" s="2468"/>
      <c r="V18" s="2466" t="s">
        <v>1381</v>
      </c>
      <c r="W18" s="2467"/>
      <c r="X18" s="2467"/>
      <c r="Y18" s="2467"/>
      <c r="Z18" s="2467"/>
      <c r="AA18" s="2468"/>
      <c r="AB18" s="2466" t="s">
        <v>1382</v>
      </c>
      <c r="AC18" s="2467"/>
      <c r="AD18" s="2467"/>
      <c r="AE18" s="2467"/>
      <c r="AF18" s="2467"/>
      <c r="AG18" s="2468"/>
      <c r="AH18" s="2466" t="s">
        <v>1383</v>
      </c>
      <c r="AI18" s="2467"/>
      <c r="AJ18" s="2467"/>
      <c r="AK18" s="2467"/>
      <c r="AL18" s="2467"/>
      <c r="AM18" s="2468"/>
      <c r="AN18" s="2466" t="s">
        <v>1384</v>
      </c>
      <c r="AO18" s="2467"/>
      <c r="AP18" s="2467"/>
      <c r="AQ18" s="2467"/>
      <c r="AR18" s="2467"/>
      <c r="AS18" s="2468"/>
      <c r="AT18" s="2466" t="s">
        <v>2512</v>
      </c>
      <c r="AU18" s="2467"/>
      <c r="AV18" s="2467"/>
      <c r="AW18" s="2467"/>
      <c r="AX18" s="2467"/>
      <c r="AY18" s="2469"/>
      <c r="AZ18" s="1085"/>
      <c r="BA18" s="1085"/>
      <c r="BB18" s="1085"/>
      <c r="BC18" s="1085"/>
      <c r="BD18" s="1085"/>
      <c r="BE18" s="1081"/>
    </row>
    <row r="19" spans="1:58" ht="14.4">
      <c r="A19" s="1085"/>
      <c r="B19" s="2440">
        <v>0.3</v>
      </c>
      <c r="C19" s="2441"/>
      <c r="D19" s="2441"/>
      <c r="E19" s="2441"/>
      <c r="F19" s="2441"/>
      <c r="G19" s="2441"/>
      <c r="H19" s="2441"/>
      <c r="I19" s="2442"/>
      <c r="J19" s="2443">
        <f t="shared" ref="J19:J28" si="0">SUM(P19:AS19)</f>
        <v>50</v>
      </c>
      <c r="K19" s="2444"/>
      <c r="L19" s="2444"/>
      <c r="M19" s="2444"/>
      <c r="N19" s="2444"/>
      <c r="O19" s="2445"/>
      <c r="P19" s="2443" cm="1">
        <f t="array" ref="P19">SUMPRODUCT((Application!$B$718:$B$752 = 'CalHFA Addendum'!P$18)*(Application!$AC$718:$AC$752 = 'CalHFA Addendum'!$B19),Application!$G$718:$G$752)</f>
        <v>0</v>
      </c>
      <c r="Q19" s="2444"/>
      <c r="R19" s="2444"/>
      <c r="S19" s="2444"/>
      <c r="T19" s="2444"/>
      <c r="U19" s="2445"/>
      <c r="V19" s="2443" cm="1">
        <f t="array" ref="V19">SUMPRODUCT((Application!$B$714:$B$738 = 'CalHFA Addendum'!V$18)*(Application!$AC$714:$AC$738 = 'CalHFA Addendum'!$B19),Application!$G$714:$G$738)</f>
        <v>50</v>
      </c>
      <c r="W19" s="2444"/>
      <c r="X19" s="2444"/>
      <c r="Y19" s="2444"/>
      <c r="Z19" s="2444"/>
      <c r="AA19" s="2445"/>
      <c r="AB19" s="2443" cm="1">
        <f t="array" ref="AB19">SUMPRODUCT((Application!$B$714:$B$738 = 'CalHFA Addendum'!AB$18)*(Application!$AC$714:$AC$738 = 'CalHFA Addendum'!$B19),Application!$G$714:$G$738)</f>
        <v>0</v>
      </c>
      <c r="AC19" s="2444"/>
      <c r="AD19" s="2444"/>
      <c r="AE19" s="2444"/>
      <c r="AF19" s="2444"/>
      <c r="AG19" s="2445"/>
      <c r="AH19" s="2443" cm="1">
        <f t="array" ref="AH19">SUMPRODUCT((Application!$B$714:$B$738 = 'CalHFA Addendum'!AH$18)*(Application!$AC$714:$AC$738 = 'CalHFA Addendum'!$B19),Application!$G$714:$G$738)</f>
        <v>0</v>
      </c>
      <c r="AI19" s="2444"/>
      <c r="AJ19" s="2444"/>
      <c r="AK19" s="2444"/>
      <c r="AL19" s="2444"/>
      <c r="AM19" s="2445"/>
      <c r="AN19" s="2443" cm="1">
        <f t="array" ref="AN19">SUMPRODUCT((Application!$B$714:$B$738 = 'CalHFA Addendum'!AN$18)*(Application!$AC$714:$AC$738 = 'CalHFA Addendum'!$B19),Application!$G$714:$G$738)</f>
        <v>0</v>
      </c>
      <c r="AO19" s="2444"/>
      <c r="AP19" s="2444"/>
      <c r="AQ19" s="2444"/>
      <c r="AR19" s="2444"/>
      <c r="AS19" s="2445"/>
      <c r="AT19" s="2446">
        <f t="shared" ref="AT19:AT29" si="1">J19/$J$29</f>
        <v>0.5</v>
      </c>
      <c r="AU19" s="2447"/>
      <c r="AV19" s="2447"/>
      <c r="AW19" s="2447"/>
      <c r="AX19" s="2447"/>
      <c r="AY19" s="2448"/>
      <c r="AZ19" s="1096"/>
      <c r="BA19" s="1085"/>
      <c r="BB19" s="1085"/>
      <c r="BC19" s="1085"/>
      <c r="BD19" s="1085"/>
      <c r="BE19" s="1081"/>
    </row>
    <row r="20" spans="1:58" ht="15" customHeight="1">
      <c r="A20" s="1085"/>
      <c r="B20" s="2440">
        <v>0.4</v>
      </c>
      <c r="C20" s="2441"/>
      <c r="D20" s="2441"/>
      <c r="E20" s="2441"/>
      <c r="F20" s="2441"/>
      <c r="G20" s="2441"/>
      <c r="H20" s="2441"/>
      <c r="I20" s="2442"/>
      <c r="J20" s="2443">
        <f t="shared" si="0"/>
        <v>0</v>
      </c>
      <c r="K20" s="2444"/>
      <c r="L20" s="2444"/>
      <c r="M20" s="2444"/>
      <c r="N20" s="2444"/>
      <c r="O20" s="2445"/>
      <c r="P20" s="2443" cm="1">
        <f t="array" ref="P20">SUMPRODUCT((Application!$B$718:$B$752 = 'CalHFA Addendum'!P$18)*(Application!$AC$718:$AC$752 = 'CalHFA Addendum'!$B20),Application!$G$718:$G$752)</f>
        <v>0</v>
      </c>
      <c r="Q20" s="2444"/>
      <c r="R20" s="2444"/>
      <c r="S20" s="2444"/>
      <c r="T20" s="2444"/>
      <c r="U20" s="2445"/>
      <c r="V20" s="2443" cm="1">
        <f t="array" ref="V20">SUMPRODUCT((Application!$B$714:$B$738 = 'CalHFA Addendum'!V$18)*(Application!$AC$714:$AC$738 = 'CalHFA Addendum'!$B20),Application!$G$714:$G$738)</f>
        <v>0</v>
      </c>
      <c r="W20" s="2444"/>
      <c r="X20" s="2444"/>
      <c r="Y20" s="2444"/>
      <c r="Z20" s="2444"/>
      <c r="AA20" s="2445"/>
      <c r="AB20" s="2443" cm="1">
        <f t="array" ref="AB20">SUMPRODUCT((Application!$B$714:$B$738 = 'CalHFA Addendum'!AB$18)*(Application!$AC$714:$AC$738 = 'CalHFA Addendum'!$B20),Application!$G$714:$G$738)</f>
        <v>0</v>
      </c>
      <c r="AC20" s="2444"/>
      <c r="AD20" s="2444"/>
      <c r="AE20" s="2444"/>
      <c r="AF20" s="2444"/>
      <c r="AG20" s="2445"/>
      <c r="AH20" s="2443" cm="1">
        <f t="array" ref="AH20">SUMPRODUCT((Application!$B$714:$B$738 = 'CalHFA Addendum'!AH$18)*(Application!$AC$714:$AC$738 = 'CalHFA Addendum'!$B20),Application!$G$714:$G$738)</f>
        <v>0</v>
      </c>
      <c r="AI20" s="2444"/>
      <c r="AJ20" s="2444"/>
      <c r="AK20" s="2444"/>
      <c r="AL20" s="2444"/>
      <c r="AM20" s="2445"/>
      <c r="AN20" s="2443" cm="1">
        <f t="array" ref="AN20">SUMPRODUCT((Application!$B$714:$B$738 = 'CalHFA Addendum'!AN$18)*(Application!$AC$714:$AC$738 = 'CalHFA Addendum'!$B20),Application!$G$714:$G$738)</f>
        <v>0</v>
      </c>
      <c r="AO20" s="2444"/>
      <c r="AP20" s="2444"/>
      <c r="AQ20" s="2444"/>
      <c r="AR20" s="2444"/>
      <c r="AS20" s="2445"/>
      <c r="AT20" s="2446">
        <f t="shared" si="1"/>
        <v>0</v>
      </c>
      <c r="AU20" s="2447"/>
      <c r="AV20" s="2447"/>
      <c r="AW20" s="2447"/>
      <c r="AX20" s="2447"/>
      <c r="AY20" s="2448"/>
      <c r="AZ20" s="1085"/>
      <c r="BA20" s="1085"/>
      <c r="BB20" s="1085"/>
      <c r="BC20" s="1085"/>
      <c r="BD20" s="1085"/>
      <c r="BE20" s="1081"/>
    </row>
    <row r="21" spans="1:58" ht="14.4">
      <c r="A21" s="1085"/>
      <c r="B21" s="2440">
        <v>0.5</v>
      </c>
      <c r="C21" s="2441"/>
      <c r="D21" s="2441"/>
      <c r="E21" s="2441"/>
      <c r="F21" s="2441"/>
      <c r="G21" s="2441"/>
      <c r="H21" s="2441"/>
      <c r="I21" s="2442"/>
      <c r="J21" s="2443">
        <f t="shared" si="0"/>
        <v>0</v>
      </c>
      <c r="K21" s="2444"/>
      <c r="L21" s="2444"/>
      <c r="M21" s="2444"/>
      <c r="N21" s="2444"/>
      <c r="O21" s="2445"/>
      <c r="P21" s="2443" cm="1">
        <f t="array" ref="P21">SUMPRODUCT((Application!$B$714:$B$738 = 'CalHFA Addendum'!P$18)*(Application!$AC$714:$AC$738 = 'CalHFA Addendum'!$B21),Application!$G$714:$G$738)</f>
        <v>0</v>
      </c>
      <c r="Q21" s="2444"/>
      <c r="R21" s="2444"/>
      <c r="S21" s="2444"/>
      <c r="T21" s="2444"/>
      <c r="U21" s="2445"/>
      <c r="V21" s="2443" cm="1">
        <f t="array" ref="V21">SUMPRODUCT((Application!$B$714:$B$738 = 'CalHFA Addendum'!V$18)*(Application!$AC$714:$AC$738 = 'CalHFA Addendum'!$B21),Application!$G$714:$G$738)</f>
        <v>0</v>
      </c>
      <c r="W21" s="2444"/>
      <c r="X21" s="2444"/>
      <c r="Y21" s="2444"/>
      <c r="Z21" s="2444"/>
      <c r="AA21" s="2445"/>
      <c r="AB21" s="2443" cm="1">
        <f t="array" ref="AB21">SUMPRODUCT((Application!$B$714:$B$738 = 'CalHFA Addendum'!AB$18)*(Application!$AC$714:$AC$738 = 'CalHFA Addendum'!$B21),Application!$G$714:$G$738)</f>
        <v>0</v>
      </c>
      <c r="AC21" s="2444"/>
      <c r="AD21" s="2444"/>
      <c r="AE21" s="2444"/>
      <c r="AF21" s="2444"/>
      <c r="AG21" s="2445"/>
      <c r="AH21" s="2443" cm="1">
        <f t="array" ref="AH21">SUMPRODUCT((Application!$B$714:$B$738 = 'CalHFA Addendum'!AH$18)*(Application!$AC$714:$AC$738 = 'CalHFA Addendum'!$B21),Application!$G$714:$G$738)</f>
        <v>0</v>
      </c>
      <c r="AI21" s="2444"/>
      <c r="AJ21" s="2444"/>
      <c r="AK21" s="2444"/>
      <c r="AL21" s="2444"/>
      <c r="AM21" s="2445"/>
      <c r="AN21" s="2443" cm="1">
        <f t="array" ref="AN21">SUMPRODUCT((Application!$B$714:$B$738 = 'CalHFA Addendum'!AN$18)*(Application!$AC$714:$AC$738 = 'CalHFA Addendum'!$B21),Application!$G$714:$G$738)</f>
        <v>0</v>
      </c>
      <c r="AO21" s="2444"/>
      <c r="AP21" s="2444"/>
      <c r="AQ21" s="2444"/>
      <c r="AR21" s="2444"/>
      <c r="AS21" s="2445"/>
      <c r="AT21" s="2446">
        <f t="shared" si="1"/>
        <v>0</v>
      </c>
      <c r="AU21" s="2447"/>
      <c r="AV21" s="2447"/>
      <c r="AW21" s="2447"/>
      <c r="AX21" s="2447"/>
      <c r="AY21" s="2448"/>
      <c r="AZ21" s="1085"/>
      <c r="BA21" s="1085"/>
      <c r="BB21" s="1085"/>
      <c r="BC21" s="1085"/>
      <c r="BD21" s="1085"/>
      <c r="BE21" s="1081"/>
    </row>
    <row r="22" spans="1:58" ht="14.4">
      <c r="A22" s="1085"/>
      <c r="B22" s="2440">
        <v>0.6</v>
      </c>
      <c r="C22" s="2441"/>
      <c r="D22" s="2441"/>
      <c r="E22" s="2441"/>
      <c r="F22" s="2441"/>
      <c r="G22" s="2441"/>
      <c r="H22" s="2441"/>
      <c r="I22" s="2442"/>
      <c r="J22" s="2443">
        <f t="shared" si="0"/>
        <v>25</v>
      </c>
      <c r="K22" s="2444"/>
      <c r="L22" s="2444"/>
      <c r="M22" s="2444"/>
      <c r="N22" s="2444"/>
      <c r="O22" s="2445"/>
      <c r="P22" s="2443" cm="1">
        <f t="array" ref="P22">SUMPRODUCT((Application!$B$714:$B$738 = 'CalHFA Addendum'!P$18)*(Application!$AC$714:$AC$738 = 'CalHFA Addendum'!$B22),Application!$G$714:$G$738)</f>
        <v>0</v>
      </c>
      <c r="Q22" s="2444"/>
      <c r="R22" s="2444"/>
      <c r="S22" s="2444"/>
      <c r="T22" s="2444"/>
      <c r="U22" s="2445"/>
      <c r="V22" s="2443" cm="1">
        <f t="array" ref="V22">SUMPRODUCT((Application!$B$714:$B$738 = 'CalHFA Addendum'!V$18)*(Application!$AC$714:$AC$738 = 'CalHFA Addendum'!$B22),Application!$G$714:$G$738)</f>
        <v>25</v>
      </c>
      <c r="W22" s="2444"/>
      <c r="X22" s="2444"/>
      <c r="Y22" s="2444"/>
      <c r="Z22" s="2444"/>
      <c r="AA22" s="2445"/>
      <c r="AB22" s="2443" cm="1">
        <f t="array" ref="AB22">SUMPRODUCT((Application!$B$714:$B$738 = 'CalHFA Addendum'!AB$18)*(Application!$AC$714:$AC$738 = 'CalHFA Addendum'!$B22),Application!$G$714:$G$738)</f>
        <v>0</v>
      </c>
      <c r="AC22" s="2444"/>
      <c r="AD22" s="2444"/>
      <c r="AE22" s="2444"/>
      <c r="AF22" s="2444"/>
      <c r="AG22" s="2445"/>
      <c r="AH22" s="2443" cm="1">
        <f t="array" ref="AH22">SUMPRODUCT((Application!$B$714:$B$738 = 'CalHFA Addendum'!AH$18)*(Application!$AC$714:$AC$738 = 'CalHFA Addendum'!$B22),Application!$G$714:$G$738)</f>
        <v>0</v>
      </c>
      <c r="AI22" s="2444"/>
      <c r="AJ22" s="2444"/>
      <c r="AK22" s="2444"/>
      <c r="AL22" s="2444"/>
      <c r="AM22" s="2445"/>
      <c r="AN22" s="2443" cm="1">
        <f t="array" ref="AN22">SUMPRODUCT((Application!$B$714:$B$738 = 'CalHFA Addendum'!AN$18)*(Application!$AC$714:$AC$738 = 'CalHFA Addendum'!$B22),Application!$G$714:$G$738)</f>
        <v>0</v>
      </c>
      <c r="AO22" s="2444"/>
      <c r="AP22" s="2444"/>
      <c r="AQ22" s="2444"/>
      <c r="AR22" s="2444"/>
      <c r="AS22" s="2445"/>
      <c r="AT22" s="2446">
        <f t="shared" si="1"/>
        <v>0.25</v>
      </c>
      <c r="AU22" s="2447"/>
      <c r="AV22" s="2447"/>
      <c r="AW22" s="2447"/>
      <c r="AX22" s="2447"/>
      <c r="AY22" s="2448"/>
      <c r="AZ22" s="1085"/>
      <c r="BA22" s="1085"/>
      <c r="BB22" s="1085"/>
      <c r="BC22" s="1085"/>
      <c r="BD22" s="1085"/>
      <c r="BE22" s="1081"/>
    </row>
    <row r="23" spans="1:58" ht="14.4">
      <c r="A23" s="1085"/>
      <c r="B23" s="2440">
        <v>0.7</v>
      </c>
      <c r="C23" s="2441"/>
      <c r="D23" s="2441"/>
      <c r="E23" s="2441"/>
      <c r="F23" s="2441"/>
      <c r="G23" s="2441"/>
      <c r="H23" s="2441"/>
      <c r="I23" s="2442"/>
      <c r="J23" s="2443">
        <f t="shared" si="0"/>
        <v>0</v>
      </c>
      <c r="K23" s="2444"/>
      <c r="L23" s="2444"/>
      <c r="M23" s="2444"/>
      <c r="N23" s="2444"/>
      <c r="O23" s="2445"/>
      <c r="P23" s="2443" cm="1">
        <f t="array" ref="P23">SUMPRODUCT((Application!$B$714:$B$738 = 'CalHFA Addendum'!P$18)*(Application!$AC$714:$AC$738 = 'CalHFA Addendum'!$B23),Application!$G$714:$G$738)</f>
        <v>0</v>
      </c>
      <c r="Q23" s="2444"/>
      <c r="R23" s="2444"/>
      <c r="S23" s="2444"/>
      <c r="T23" s="2444"/>
      <c r="U23" s="2445"/>
      <c r="V23" s="2443" cm="1">
        <f t="array" ref="V23">SUMPRODUCT((Application!$B$714:$B$738 = 'CalHFA Addendum'!V$18)*(Application!$AC$714:$AC$738 = 'CalHFA Addendum'!$B23),Application!$G$714:$G$738)</f>
        <v>0</v>
      </c>
      <c r="W23" s="2444"/>
      <c r="X23" s="2444"/>
      <c r="Y23" s="2444"/>
      <c r="Z23" s="2444"/>
      <c r="AA23" s="2445"/>
      <c r="AB23" s="2443" cm="1">
        <f t="array" ref="AB23">SUMPRODUCT((Application!$B$714:$B$738 = 'CalHFA Addendum'!AB$18)*(Application!$AC$714:$AC$738 = 'CalHFA Addendum'!$B23),Application!$G$714:$G$738)</f>
        <v>0</v>
      </c>
      <c r="AC23" s="2444"/>
      <c r="AD23" s="2444"/>
      <c r="AE23" s="2444"/>
      <c r="AF23" s="2444"/>
      <c r="AG23" s="2445"/>
      <c r="AH23" s="2443" cm="1">
        <f t="array" ref="AH23">SUMPRODUCT((Application!$B$714:$B$738 = 'CalHFA Addendum'!AH$18)*(Application!$AC$714:$AC$738 = 'CalHFA Addendum'!$B23),Application!$G$714:$G$738)</f>
        <v>0</v>
      </c>
      <c r="AI23" s="2444"/>
      <c r="AJ23" s="2444"/>
      <c r="AK23" s="2444"/>
      <c r="AL23" s="2444"/>
      <c r="AM23" s="2445"/>
      <c r="AN23" s="2443" cm="1">
        <f t="array" ref="AN23">SUMPRODUCT((Application!$B$714:$B$738 = 'CalHFA Addendum'!AN$18)*(Application!$AC$714:$AC$738 = 'CalHFA Addendum'!$B23),Application!$G$714:$G$738)</f>
        <v>0</v>
      </c>
      <c r="AO23" s="2444"/>
      <c r="AP23" s="2444"/>
      <c r="AQ23" s="2444"/>
      <c r="AR23" s="2444"/>
      <c r="AS23" s="2445"/>
      <c r="AT23" s="2446">
        <f t="shared" si="1"/>
        <v>0</v>
      </c>
      <c r="AU23" s="2447"/>
      <c r="AV23" s="2447"/>
      <c r="AW23" s="2447"/>
      <c r="AX23" s="2447"/>
      <c r="AY23" s="2448"/>
      <c r="AZ23" s="1085"/>
      <c r="BA23" s="1085"/>
      <c r="BB23" s="1085"/>
      <c r="BC23" s="1085"/>
      <c r="BD23" s="1085"/>
      <c r="BE23" s="1081"/>
    </row>
    <row r="24" spans="1:58" ht="14.4">
      <c r="A24" s="1085"/>
      <c r="B24" s="2440">
        <v>0.8</v>
      </c>
      <c r="C24" s="2441"/>
      <c r="D24" s="2441"/>
      <c r="E24" s="2441"/>
      <c r="F24" s="2441"/>
      <c r="G24" s="2441"/>
      <c r="H24" s="2441"/>
      <c r="I24" s="2442"/>
      <c r="J24" s="2443">
        <f t="shared" si="0"/>
        <v>25</v>
      </c>
      <c r="K24" s="2444"/>
      <c r="L24" s="2444"/>
      <c r="M24" s="2444"/>
      <c r="N24" s="2444"/>
      <c r="O24" s="2445"/>
      <c r="P24" s="2443" cm="1">
        <f t="array" ref="P24">SUMPRODUCT((Application!$B$714:$B$738 = 'CalHFA Addendum'!P$18)*(Application!$AC$714:$AC$738 = 'CalHFA Addendum'!$B24),Application!$G$714:$G$738)</f>
        <v>0</v>
      </c>
      <c r="Q24" s="2444"/>
      <c r="R24" s="2444"/>
      <c r="S24" s="2444"/>
      <c r="T24" s="2444"/>
      <c r="U24" s="2445"/>
      <c r="V24" s="2443" cm="1">
        <f t="array" ref="V24">SUMPRODUCT((Application!$B$714:$B$738 = 'CalHFA Addendum'!V$18)*(Application!$AC$714:$AC$738 = 'CalHFA Addendum'!$B24),Application!$G$714:$G$738)</f>
        <v>22</v>
      </c>
      <c r="W24" s="2444"/>
      <c r="X24" s="2444"/>
      <c r="Y24" s="2444"/>
      <c r="Z24" s="2444"/>
      <c r="AA24" s="2445"/>
      <c r="AB24" s="2443" cm="1">
        <f t="array" ref="AB24">SUMPRODUCT((Application!$B$714:$B$738 = 'CalHFA Addendum'!AB$18)*(Application!$AC$714:$AC$738 = 'CalHFA Addendum'!$B24),Application!$G$714:$G$738)</f>
        <v>3</v>
      </c>
      <c r="AC24" s="2444"/>
      <c r="AD24" s="2444"/>
      <c r="AE24" s="2444"/>
      <c r="AF24" s="2444"/>
      <c r="AG24" s="2445"/>
      <c r="AH24" s="2443" cm="1">
        <f t="array" ref="AH24">SUMPRODUCT((Application!$B$714:$B$738 = 'CalHFA Addendum'!AH$18)*(Application!$AC$714:$AC$738 = 'CalHFA Addendum'!$B24),Application!$G$714:$G$738)</f>
        <v>0</v>
      </c>
      <c r="AI24" s="2444"/>
      <c r="AJ24" s="2444"/>
      <c r="AK24" s="2444"/>
      <c r="AL24" s="2444"/>
      <c r="AM24" s="2445"/>
      <c r="AN24" s="2443" cm="1">
        <f t="array" ref="AN24">SUMPRODUCT((Application!$B$714:$B$738 = 'CalHFA Addendum'!AN$18)*(Application!$AC$714:$AC$738 = 'CalHFA Addendum'!$B24),Application!$G$714:$G$738)</f>
        <v>0</v>
      </c>
      <c r="AO24" s="2444"/>
      <c r="AP24" s="2444"/>
      <c r="AQ24" s="2444"/>
      <c r="AR24" s="2444"/>
      <c r="AS24" s="2445"/>
      <c r="AT24" s="2446">
        <f t="shared" si="1"/>
        <v>0.25</v>
      </c>
      <c r="AU24" s="2447"/>
      <c r="AV24" s="2447"/>
      <c r="AW24" s="2447"/>
      <c r="AX24" s="2447"/>
      <c r="AY24" s="2448"/>
      <c r="AZ24" s="1085"/>
      <c r="BA24" s="1085"/>
      <c r="BB24" s="1085"/>
      <c r="BC24" s="1085"/>
      <c r="BD24" s="1085"/>
      <c r="BE24" s="1081"/>
    </row>
    <row r="25" spans="1:58" ht="14.4">
      <c r="A25" s="1085"/>
      <c r="B25" s="2440">
        <v>0.9</v>
      </c>
      <c r="C25" s="2441"/>
      <c r="D25" s="2441"/>
      <c r="E25" s="2441"/>
      <c r="F25" s="2441"/>
      <c r="G25" s="2441"/>
      <c r="H25" s="2441"/>
      <c r="I25" s="2442"/>
      <c r="J25" s="2443">
        <f t="shared" si="0"/>
        <v>0</v>
      </c>
      <c r="K25" s="2444"/>
      <c r="L25" s="2444"/>
      <c r="M25" s="2444"/>
      <c r="N25" s="2444"/>
      <c r="O25" s="2445"/>
      <c r="P25" s="2443" cm="1">
        <f t="array" ref="P25">SUMPRODUCT((Application!$B$714:$B$738 = 'CalHFA Addendum'!P$18)*(Application!$AC$714:$AC$738 = 'CalHFA Addendum'!$B25),Application!$G$714:$G$738)</f>
        <v>0</v>
      </c>
      <c r="Q25" s="2444"/>
      <c r="R25" s="2444"/>
      <c r="S25" s="2444"/>
      <c r="T25" s="2444"/>
      <c r="U25" s="2445"/>
      <c r="V25" s="2443" cm="1">
        <f t="array" ref="V25">SUMPRODUCT((Application!$B$714:$B$738 = 'CalHFA Addendum'!V$18)*(Application!$AC$714:$AC$738 = 'CalHFA Addendum'!$B25),Application!$G$714:$G$738)</f>
        <v>0</v>
      </c>
      <c r="W25" s="2444"/>
      <c r="X25" s="2444"/>
      <c r="Y25" s="2444"/>
      <c r="Z25" s="2444"/>
      <c r="AA25" s="2445"/>
      <c r="AB25" s="2443" cm="1">
        <f t="array" ref="AB25">SUMPRODUCT((Application!$B$714:$B$738 = 'CalHFA Addendum'!AB$18)*(Application!$AC$714:$AC$738 = 'CalHFA Addendum'!$B25),Application!$G$714:$G$738)</f>
        <v>0</v>
      </c>
      <c r="AC25" s="2444"/>
      <c r="AD25" s="2444"/>
      <c r="AE25" s="2444"/>
      <c r="AF25" s="2444"/>
      <c r="AG25" s="2445"/>
      <c r="AH25" s="2443" cm="1">
        <f t="array" ref="AH25">SUMPRODUCT((Application!$B$714:$B$738 = 'CalHFA Addendum'!AH$18)*(Application!$AC$714:$AC$738 = 'CalHFA Addendum'!$B25),Application!$G$714:$G$738)</f>
        <v>0</v>
      </c>
      <c r="AI25" s="2444"/>
      <c r="AJ25" s="2444"/>
      <c r="AK25" s="2444"/>
      <c r="AL25" s="2444"/>
      <c r="AM25" s="2445"/>
      <c r="AN25" s="2443" cm="1">
        <f t="array" ref="AN25">SUMPRODUCT((Application!$B$714:$B$738 = 'CalHFA Addendum'!AN$18)*(Application!$AC$714:$AC$738 = 'CalHFA Addendum'!$B25),Application!$G$714:$G$738)</f>
        <v>0</v>
      </c>
      <c r="AO25" s="2444"/>
      <c r="AP25" s="2444"/>
      <c r="AQ25" s="2444"/>
      <c r="AR25" s="2444"/>
      <c r="AS25" s="2445"/>
      <c r="AT25" s="2446">
        <f t="shared" si="1"/>
        <v>0</v>
      </c>
      <c r="AU25" s="2447"/>
      <c r="AV25" s="2447"/>
      <c r="AW25" s="2447"/>
      <c r="AX25" s="2447"/>
      <c r="AY25" s="2448"/>
      <c r="AZ25" s="1085"/>
      <c r="BA25" s="1085"/>
      <c r="BB25" s="1085"/>
      <c r="BC25" s="1085"/>
      <c r="BD25" s="1085"/>
      <c r="BE25" s="1081"/>
    </row>
    <row r="26" spans="1:58" ht="14.4">
      <c r="A26" s="1085"/>
      <c r="B26" s="2440">
        <v>1</v>
      </c>
      <c r="C26" s="2441"/>
      <c r="D26" s="2441"/>
      <c r="E26" s="2441"/>
      <c r="F26" s="2441"/>
      <c r="G26" s="2441"/>
      <c r="H26" s="2441"/>
      <c r="I26" s="2442"/>
      <c r="J26" s="2443">
        <f t="shared" si="0"/>
        <v>0</v>
      </c>
      <c r="K26" s="2444"/>
      <c r="L26" s="2444"/>
      <c r="M26" s="2444"/>
      <c r="N26" s="2444"/>
      <c r="O26" s="2445"/>
      <c r="P26" s="2443" cm="1">
        <f t="array" ref="P26">SUMPRODUCT((Application!$B$714:$B$738 = 'CalHFA Addendum'!P$18)*(Application!$AC$714:$AC$738 = 'CalHFA Addendum'!$B26),Application!$G$714:$G$738)</f>
        <v>0</v>
      </c>
      <c r="Q26" s="2444"/>
      <c r="R26" s="2444"/>
      <c r="S26" s="2444"/>
      <c r="T26" s="2444"/>
      <c r="U26" s="2445"/>
      <c r="V26" s="2443" cm="1">
        <f t="array" ref="V26">SUMPRODUCT((Application!$B$714:$B$738 = 'CalHFA Addendum'!V$18)*(Application!$AC$714:$AC$738 = 'CalHFA Addendum'!$B26),Application!$G$714:$G$738)</f>
        <v>0</v>
      </c>
      <c r="W26" s="2444"/>
      <c r="X26" s="2444"/>
      <c r="Y26" s="2444"/>
      <c r="Z26" s="2444"/>
      <c r="AA26" s="2445"/>
      <c r="AB26" s="2443" cm="1">
        <f t="array" ref="AB26">SUMPRODUCT((Application!$B$714:$B$738 = 'CalHFA Addendum'!AB$18)*(Application!$AC$714:$AC$738 = 'CalHFA Addendum'!$B26),Application!$G$714:$G$738)</f>
        <v>0</v>
      </c>
      <c r="AC26" s="2444"/>
      <c r="AD26" s="2444"/>
      <c r="AE26" s="2444"/>
      <c r="AF26" s="2444"/>
      <c r="AG26" s="2445"/>
      <c r="AH26" s="2443" cm="1">
        <f t="array" ref="AH26">SUMPRODUCT((Application!$B$714:$B$738 = 'CalHFA Addendum'!AH$18)*(Application!$AC$714:$AC$738 = 'CalHFA Addendum'!$B26),Application!$G$714:$G$738)</f>
        <v>0</v>
      </c>
      <c r="AI26" s="2444"/>
      <c r="AJ26" s="2444"/>
      <c r="AK26" s="2444"/>
      <c r="AL26" s="2444"/>
      <c r="AM26" s="2445"/>
      <c r="AN26" s="2443" cm="1">
        <f t="array" ref="AN26">SUMPRODUCT((Application!$B$714:$B$738 = 'CalHFA Addendum'!AN$18)*(Application!$AC$714:$AC$738 = 'CalHFA Addendum'!$B26),Application!$G$714:$G$738)</f>
        <v>0</v>
      </c>
      <c r="AO26" s="2444"/>
      <c r="AP26" s="2444"/>
      <c r="AQ26" s="2444"/>
      <c r="AR26" s="2444"/>
      <c r="AS26" s="2445"/>
      <c r="AT26" s="2446">
        <f t="shared" si="1"/>
        <v>0</v>
      </c>
      <c r="AU26" s="2447"/>
      <c r="AV26" s="2447"/>
      <c r="AW26" s="2447"/>
      <c r="AX26" s="2447"/>
      <c r="AY26" s="2448"/>
      <c r="AZ26" s="1085"/>
      <c r="BA26" s="1085"/>
      <c r="BB26" s="1085"/>
      <c r="BC26" s="1085"/>
      <c r="BD26" s="1085"/>
      <c r="BE26" s="1081"/>
    </row>
    <row r="27" spans="1:58" ht="14.4">
      <c r="A27" s="1085"/>
      <c r="B27" s="2440">
        <v>1.1000000000000001</v>
      </c>
      <c r="C27" s="2441"/>
      <c r="D27" s="2441"/>
      <c r="E27" s="2441"/>
      <c r="F27" s="2441"/>
      <c r="G27" s="2441"/>
      <c r="H27" s="2441"/>
      <c r="I27" s="2442"/>
      <c r="J27" s="2443">
        <f t="shared" si="0"/>
        <v>0</v>
      </c>
      <c r="K27" s="2444"/>
      <c r="L27" s="2444"/>
      <c r="M27" s="2444"/>
      <c r="N27" s="2444"/>
      <c r="O27" s="2445"/>
      <c r="P27" s="2443" cm="1">
        <f t="array" ref="P27">SUMPRODUCT((Application!$B$714:$B$738 = 'CalHFA Addendum'!P$18)*(Application!$AC$714:$AC$738 = 'CalHFA Addendum'!$B27),Application!$G$714:$G$738)</f>
        <v>0</v>
      </c>
      <c r="Q27" s="2444"/>
      <c r="R27" s="2444"/>
      <c r="S27" s="2444"/>
      <c r="T27" s="2444"/>
      <c r="U27" s="2445"/>
      <c r="V27" s="2443" cm="1">
        <f t="array" ref="V27">SUMPRODUCT((Application!$B$714:$B$738 = 'CalHFA Addendum'!V$18)*(Application!$AC$714:$AC$738 = 'CalHFA Addendum'!$B27),Application!$G$714:$G$738)</f>
        <v>0</v>
      </c>
      <c r="W27" s="2444"/>
      <c r="X27" s="2444"/>
      <c r="Y27" s="2444"/>
      <c r="Z27" s="2444"/>
      <c r="AA27" s="2445"/>
      <c r="AB27" s="2443" cm="1">
        <f t="array" ref="AB27">SUMPRODUCT((Application!$B$714:$B$738 = 'CalHFA Addendum'!AB$18)*(Application!$AC$714:$AC$738 = 'CalHFA Addendum'!$B27),Application!$G$714:$G$738)</f>
        <v>0</v>
      </c>
      <c r="AC27" s="2444"/>
      <c r="AD27" s="2444"/>
      <c r="AE27" s="2444"/>
      <c r="AF27" s="2444"/>
      <c r="AG27" s="2445"/>
      <c r="AH27" s="2443" cm="1">
        <f t="array" ref="AH27">SUMPRODUCT((Application!$B$714:$B$738 = 'CalHFA Addendum'!AH$18)*(Application!$AC$714:$AC$738 = 'CalHFA Addendum'!$B27),Application!$G$714:$G$738)</f>
        <v>0</v>
      </c>
      <c r="AI27" s="2444"/>
      <c r="AJ27" s="2444"/>
      <c r="AK27" s="2444"/>
      <c r="AL27" s="2444"/>
      <c r="AM27" s="2445"/>
      <c r="AN27" s="2443" cm="1">
        <f t="array" ref="AN27">SUMPRODUCT((Application!$B$714:$B$738 = 'CalHFA Addendum'!AN$18)*(Application!$AC$714:$AC$738 = 'CalHFA Addendum'!$B27),Application!$G$714:$G$738)</f>
        <v>0</v>
      </c>
      <c r="AO27" s="2444"/>
      <c r="AP27" s="2444"/>
      <c r="AQ27" s="2444"/>
      <c r="AR27" s="2444"/>
      <c r="AS27" s="2445"/>
      <c r="AT27" s="2446">
        <f t="shared" si="1"/>
        <v>0</v>
      </c>
      <c r="AU27" s="2447"/>
      <c r="AV27" s="2447"/>
      <c r="AW27" s="2447"/>
      <c r="AX27" s="2447"/>
      <c r="AY27" s="2448"/>
      <c r="AZ27" s="1085"/>
      <c r="BA27" s="1085"/>
      <c r="BB27" s="1085"/>
      <c r="BC27" s="1085"/>
      <c r="BD27" s="1085"/>
      <c r="BE27" s="1081"/>
    </row>
    <row r="28" spans="1:58" ht="15" thickBot="1">
      <c r="A28" s="1085"/>
      <c r="B28" s="2449" t="s">
        <v>2513</v>
      </c>
      <c r="C28" s="2450"/>
      <c r="D28" s="2450"/>
      <c r="E28" s="2450"/>
      <c r="F28" s="2450"/>
      <c r="G28" s="2450"/>
      <c r="H28" s="2450"/>
      <c r="I28" s="2451"/>
      <c r="J28" s="2452">
        <f t="shared" si="0"/>
        <v>0</v>
      </c>
      <c r="K28" s="2453"/>
      <c r="L28" s="2453"/>
      <c r="M28" s="2453"/>
      <c r="N28" s="2453"/>
      <c r="O28" s="2454"/>
      <c r="P28" s="2452">
        <f>_xlfn.IFNA(VLOOKUP(P$18,Application!$J$758:$S$761,6,FALSE), 0)</f>
        <v>0</v>
      </c>
      <c r="Q28" s="2453"/>
      <c r="R28" s="2453"/>
      <c r="S28" s="2453"/>
      <c r="T28" s="2453"/>
      <c r="U28" s="2454"/>
      <c r="V28" s="2452">
        <f>_xlfn.IFNA(VLOOKUP(V$18,Application!$J$758:$S$761,6,FALSE), 0)</f>
        <v>0</v>
      </c>
      <c r="W28" s="2453"/>
      <c r="X28" s="2453"/>
      <c r="Y28" s="2453"/>
      <c r="Z28" s="2453"/>
      <c r="AA28" s="2454"/>
      <c r="AB28" s="2452">
        <f>_xlfn.IFNA(VLOOKUP(AB$18,Application!$J$758:$S$761,6,FALSE), 0)</f>
        <v>0</v>
      </c>
      <c r="AC28" s="2453"/>
      <c r="AD28" s="2453"/>
      <c r="AE28" s="2453"/>
      <c r="AF28" s="2453"/>
      <c r="AG28" s="2454"/>
      <c r="AH28" s="2452">
        <f>_xlfn.IFNA(VLOOKUP(AH$18,Application!$J$758:$S$761,6,FALSE), 0)</f>
        <v>0</v>
      </c>
      <c r="AI28" s="2453"/>
      <c r="AJ28" s="2453"/>
      <c r="AK28" s="2453"/>
      <c r="AL28" s="2453"/>
      <c r="AM28" s="2454"/>
      <c r="AN28" s="2452">
        <f>_xlfn.IFNA(VLOOKUP(AN$18,Application!$J$758:$S$761,6,FALSE), 0)</f>
        <v>0</v>
      </c>
      <c r="AO28" s="2453"/>
      <c r="AP28" s="2453"/>
      <c r="AQ28" s="2453"/>
      <c r="AR28" s="2453"/>
      <c r="AS28" s="2454"/>
      <c r="AT28" s="2455">
        <f t="shared" si="1"/>
        <v>0</v>
      </c>
      <c r="AU28" s="2456"/>
      <c r="AV28" s="2456"/>
      <c r="AW28" s="2456"/>
      <c r="AX28" s="2456"/>
      <c r="AY28" s="2457"/>
      <c r="AZ28" s="1085"/>
      <c r="BA28" s="1085"/>
      <c r="BB28" s="1085"/>
      <c r="BC28" s="1085"/>
      <c r="BD28" s="1085"/>
      <c r="BE28" s="1081"/>
    </row>
    <row r="29" spans="1:58" ht="15" thickBot="1">
      <c r="A29" s="1085"/>
      <c r="B29" s="2429" t="s">
        <v>2441</v>
      </c>
      <c r="C29" s="2407"/>
      <c r="D29" s="2407"/>
      <c r="E29" s="2407"/>
      <c r="F29" s="2407"/>
      <c r="G29" s="2407"/>
      <c r="H29" s="2407"/>
      <c r="I29" s="2408"/>
      <c r="J29" s="2406">
        <f>SUM(J19:O28)</f>
        <v>100</v>
      </c>
      <c r="K29" s="2407"/>
      <c r="L29" s="2407"/>
      <c r="M29" s="2407"/>
      <c r="N29" s="2407"/>
      <c r="O29" s="2408"/>
      <c r="P29" s="2406">
        <f>SUM(P19:U28)</f>
        <v>0</v>
      </c>
      <c r="Q29" s="2407"/>
      <c r="R29" s="2407"/>
      <c r="S29" s="2407"/>
      <c r="T29" s="2407"/>
      <c r="U29" s="2408"/>
      <c r="V29" s="2406">
        <f>SUM(V19:AA28)</f>
        <v>97</v>
      </c>
      <c r="W29" s="2407"/>
      <c r="X29" s="2407"/>
      <c r="Y29" s="2407"/>
      <c r="Z29" s="2407"/>
      <c r="AA29" s="2408"/>
      <c r="AB29" s="2406">
        <f>SUM(AB19:AG28)</f>
        <v>3</v>
      </c>
      <c r="AC29" s="2407"/>
      <c r="AD29" s="2407"/>
      <c r="AE29" s="2407"/>
      <c r="AF29" s="2407"/>
      <c r="AG29" s="2408"/>
      <c r="AH29" s="2406">
        <f>SUM(AH19:AM28)</f>
        <v>0</v>
      </c>
      <c r="AI29" s="2407"/>
      <c r="AJ29" s="2407"/>
      <c r="AK29" s="2407"/>
      <c r="AL29" s="2407"/>
      <c r="AM29" s="2408"/>
      <c r="AN29" s="2406">
        <f>SUM(AN19:AS28)</f>
        <v>0</v>
      </c>
      <c r="AO29" s="2407"/>
      <c r="AP29" s="2407"/>
      <c r="AQ29" s="2407"/>
      <c r="AR29" s="2407"/>
      <c r="AS29" s="2408"/>
      <c r="AT29" s="2422">
        <f t="shared" si="1"/>
        <v>1</v>
      </c>
      <c r="AU29" s="2423"/>
      <c r="AV29" s="2423"/>
      <c r="AW29" s="2423"/>
      <c r="AX29" s="2423"/>
      <c r="AY29" s="2424"/>
      <c r="AZ29" s="1085"/>
      <c r="BA29" s="1085"/>
      <c r="BB29" s="1085"/>
      <c r="BC29" s="1085"/>
      <c r="BD29" s="1085"/>
      <c r="BE29" s="1081"/>
    </row>
    <row r="30" spans="1:58" ht="15" thickBot="1">
      <c r="A30" s="1091"/>
      <c r="B30" s="1085"/>
      <c r="C30" s="1085"/>
      <c r="D30" s="1085"/>
      <c r="E30" s="1085"/>
      <c r="F30" s="1085"/>
      <c r="G30" s="1085"/>
      <c r="H30" s="1085"/>
      <c r="I30" s="1085"/>
      <c r="J30" s="1085"/>
      <c r="K30" s="1085"/>
      <c r="L30" s="1085"/>
      <c r="M30" s="1085"/>
      <c r="N30" s="1085"/>
      <c r="O30" s="1085"/>
      <c r="P30" s="1085"/>
      <c r="Q30" s="1085"/>
      <c r="R30" s="1085"/>
      <c r="S30" s="1085"/>
      <c r="T30" s="1085"/>
      <c r="U30" s="1085"/>
      <c r="V30" s="1085"/>
      <c r="W30" s="1085"/>
      <c r="X30" s="1085"/>
      <c r="Y30" s="1085"/>
      <c r="Z30" s="1085"/>
      <c r="AA30" s="1085"/>
      <c r="AB30" s="1085"/>
      <c r="AC30" s="1085"/>
      <c r="AD30" s="1085"/>
      <c r="AE30" s="1085"/>
      <c r="AF30" s="1085"/>
      <c r="AG30" s="1085"/>
      <c r="AH30" s="1085"/>
      <c r="AI30" s="1085"/>
      <c r="AJ30" s="1085"/>
      <c r="AK30" s="1085"/>
      <c r="AL30" s="1085"/>
      <c r="AM30" s="1085"/>
      <c r="AN30" s="1085"/>
      <c r="AO30" s="1085"/>
      <c r="AP30" s="1085"/>
      <c r="AQ30" s="1085"/>
      <c r="AR30" s="1085"/>
      <c r="AS30" s="1085"/>
      <c r="AT30" s="1085"/>
      <c r="AU30" s="1085"/>
      <c r="AV30" s="1085"/>
      <c r="AW30" s="1085"/>
      <c r="AX30" s="1085"/>
      <c r="AY30" s="1085"/>
      <c r="AZ30" s="1085"/>
      <c r="BA30" s="1085"/>
      <c r="BB30" s="1085"/>
      <c r="BC30" s="1085"/>
      <c r="BD30" s="1085"/>
      <c r="BE30" s="1081"/>
    </row>
    <row r="31" spans="1:58" ht="15" thickBot="1">
      <c r="A31" s="1085"/>
      <c r="B31" s="2410" t="s">
        <v>2514</v>
      </c>
      <c r="C31" s="2411"/>
      <c r="D31" s="2411"/>
      <c r="E31" s="2411"/>
      <c r="F31" s="2411"/>
      <c r="G31" s="2411"/>
      <c r="H31" s="2411"/>
      <c r="I31" s="2411"/>
      <c r="J31" s="2411"/>
      <c r="K31" s="2411"/>
      <c r="L31" s="2411"/>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2411"/>
      <c r="AT31" s="2411"/>
      <c r="AU31" s="2411"/>
      <c r="AV31" s="2411"/>
      <c r="AW31" s="2411"/>
      <c r="AX31" s="2411"/>
      <c r="AY31" s="2411"/>
      <c r="AZ31" s="2411"/>
      <c r="BA31" s="2411"/>
      <c r="BB31" s="2411"/>
      <c r="BC31" s="2411"/>
      <c r="BD31" s="2412"/>
      <c r="BE31" s="1081"/>
    </row>
    <row r="32" spans="1:58" ht="15" thickBot="1">
      <c r="A32" s="1085"/>
      <c r="B32" s="2425" t="s">
        <v>2515</v>
      </c>
      <c r="C32" s="2426"/>
      <c r="D32" s="2426"/>
      <c r="E32" s="2426"/>
      <c r="F32" s="2426"/>
      <c r="G32" s="2426"/>
      <c r="H32" s="2426"/>
      <c r="I32" s="2426"/>
      <c r="J32" s="2458" t="s">
        <v>2516</v>
      </c>
      <c r="K32" s="2459"/>
      <c r="L32" s="2459"/>
      <c r="M32" s="2459"/>
      <c r="N32" s="2458" t="s">
        <v>2517</v>
      </c>
      <c r="O32" s="2459"/>
      <c r="P32" s="2459"/>
      <c r="Q32" s="2461"/>
      <c r="R32" s="2419" t="s">
        <v>2518</v>
      </c>
      <c r="S32" s="2420"/>
      <c r="T32" s="2420"/>
      <c r="U32" s="2420"/>
      <c r="V32" s="2420"/>
      <c r="W32" s="2420"/>
      <c r="X32" s="2420"/>
      <c r="Y32" s="2420"/>
      <c r="Z32" s="2420"/>
      <c r="AA32" s="2420"/>
      <c r="AB32" s="2420"/>
      <c r="AC32" s="2420"/>
      <c r="AD32" s="2420"/>
      <c r="AE32" s="2420"/>
      <c r="AF32" s="2420"/>
      <c r="AG32" s="2420"/>
      <c r="AH32" s="2420"/>
      <c r="AI32" s="2420"/>
      <c r="AJ32" s="2420"/>
      <c r="AK32" s="2420"/>
      <c r="AL32" s="2420"/>
      <c r="AM32" s="2420"/>
      <c r="AN32" s="2420"/>
      <c r="AO32" s="2420"/>
      <c r="AP32" s="2420"/>
      <c r="AQ32" s="2420"/>
      <c r="AR32" s="2420"/>
      <c r="AS32" s="2420"/>
      <c r="AT32" s="2420"/>
      <c r="AU32" s="2420"/>
      <c r="AV32" s="2420"/>
      <c r="AW32" s="2420"/>
      <c r="AX32" s="2420"/>
      <c r="AY32" s="2420"/>
      <c r="AZ32" s="2420"/>
      <c r="BA32" s="2420"/>
      <c r="BB32" s="2420"/>
      <c r="BC32" s="2420"/>
      <c r="BD32" s="2421"/>
      <c r="BE32" s="1081"/>
    </row>
    <row r="33" spans="1:58" ht="15" customHeight="1">
      <c r="A33" s="1085"/>
      <c r="B33" s="2427"/>
      <c r="C33" s="2428"/>
      <c r="D33" s="2428"/>
      <c r="E33" s="2428"/>
      <c r="F33" s="2428"/>
      <c r="G33" s="2428"/>
      <c r="H33" s="2428"/>
      <c r="I33" s="2428"/>
      <c r="J33" s="2460"/>
      <c r="K33" s="2460"/>
      <c r="L33" s="2460"/>
      <c r="M33" s="2460"/>
      <c r="N33" s="2460"/>
      <c r="O33" s="2460"/>
      <c r="P33" s="2460"/>
      <c r="Q33" s="2462"/>
      <c r="R33" s="2413" t="s">
        <v>2519</v>
      </c>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c r="AO33" s="2414"/>
      <c r="AP33" s="2414"/>
      <c r="AQ33" s="2414"/>
      <c r="AR33" s="2414"/>
      <c r="AS33" s="2414"/>
      <c r="AT33" s="2414"/>
      <c r="AU33" s="2414"/>
      <c r="AV33" s="2414"/>
      <c r="AW33" s="2414"/>
      <c r="AX33" s="2414"/>
      <c r="AY33" s="2414"/>
      <c r="AZ33" s="2414"/>
      <c r="BA33" s="2414"/>
      <c r="BB33" s="2414"/>
      <c r="BC33" s="2414"/>
      <c r="BD33" s="2415"/>
      <c r="BE33" s="1081"/>
    </row>
    <row r="34" spans="1:58" ht="15.75" customHeight="1" thickBot="1">
      <c r="A34" s="1085"/>
      <c r="B34" s="2427"/>
      <c r="C34" s="2428"/>
      <c r="D34" s="2428"/>
      <c r="E34" s="2428"/>
      <c r="F34" s="2428"/>
      <c r="G34" s="2428"/>
      <c r="H34" s="2428"/>
      <c r="I34" s="2428"/>
      <c r="J34" s="2460"/>
      <c r="K34" s="2460"/>
      <c r="L34" s="2460"/>
      <c r="M34" s="2460"/>
      <c r="N34" s="2460"/>
      <c r="O34" s="2460"/>
      <c r="P34" s="2460"/>
      <c r="Q34" s="2462"/>
      <c r="R34" s="2416"/>
      <c r="S34" s="2417"/>
      <c r="T34" s="2417"/>
      <c r="U34" s="2417"/>
      <c r="V34" s="2417"/>
      <c r="W34" s="2417"/>
      <c r="X34" s="2417"/>
      <c r="Y34" s="2417"/>
      <c r="Z34" s="2417"/>
      <c r="AA34" s="2417"/>
      <c r="AB34" s="2417"/>
      <c r="AC34" s="2417"/>
      <c r="AD34" s="2417"/>
      <c r="AE34" s="2417"/>
      <c r="AF34" s="2417"/>
      <c r="AG34" s="2417"/>
      <c r="AH34" s="2417"/>
      <c r="AI34" s="2417"/>
      <c r="AJ34" s="2417"/>
      <c r="AK34" s="2417"/>
      <c r="AL34" s="2417"/>
      <c r="AM34" s="2417"/>
      <c r="AN34" s="2417"/>
      <c r="AO34" s="2417"/>
      <c r="AP34" s="2417"/>
      <c r="AQ34" s="2417"/>
      <c r="AR34" s="2417"/>
      <c r="AS34" s="2417"/>
      <c r="AT34" s="2417"/>
      <c r="AU34" s="2417"/>
      <c r="AV34" s="2417"/>
      <c r="AW34" s="2417"/>
      <c r="AX34" s="2417"/>
      <c r="AY34" s="2417"/>
      <c r="AZ34" s="2417"/>
      <c r="BA34" s="2417"/>
      <c r="BB34" s="2417"/>
      <c r="BC34" s="2417"/>
      <c r="BD34" s="2418"/>
      <c r="BE34" s="1081"/>
    </row>
    <row r="35" spans="1:58" ht="15.75" customHeight="1">
      <c r="A35" s="1085"/>
      <c r="B35" s="2427"/>
      <c r="C35" s="2428"/>
      <c r="D35" s="2428"/>
      <c r="E35" s="2428"/>
      <c r="F35" s="2428"/>
      <c r="G35" s="2428"/>
      <c r="H35" s="2428"/>
      <c r="I35" s="2428"/>
      <c r="J35" s="2460"/>
      <c r="K35" s="2460"/>
      <c r="L35" s="2460"/>
      <c r="M35" s="2460"/>
      <c r="N35" s="2460"/>
      <c r="O35" s="2460"/>
      <c r="P35" s="2460"/>
      <c r="Q35" s="2460"/>
      <c r="R35" s="2409">
        <v>0.3</v>
      </c>
      <c r="S35" s="2409"/>
      <c r="T35" s="2409"/>
      <c r="U35" s="2409"/>
      <c r="V35" s="2409">
        <v>0.4</v>
      </c>
      <c r="W35" s="2409"/>
      <c r="X35" s="2409"/>
      <c r="Y35" s="2409"/>
      <c r="Z35" s="2409">
        <v>0.5</v>
      </c>
      <c r="AA35" s="2409"/>
      <c r="AB35" s="2409"/>
      <c r="AC35" s="2409"/>
      <c r="AD35" s="2409">
        <v>0.6</v>
      </c>
      <c r="AE35" s="2409"/>
      <c r="AF35" s="2409"/>
      <c r="AG35" s="2409"/>
      <c r="AH35" s="2409">
        <v>0.7</v>
      </c>
      <c r="AI35" s="2409"/>
      <c r="AJ35" s="2409"/>
      <c r="AK35" s="2409"/>
      <c r="AL35" s="2430">
        <v>0.8</v>
      </c>
      <c r="AM35" s="2431"/>
      <c r="AN35" s="2431"/>
      <c r="AO35" s="2432"/>
      <c r="AP35" s="2433">
        <v>1.2</v>
      </c>
      <c r="AQ35" s="2434"/>
      <c r="AR35" s="2435"/>
      <c r="AS35" s="2436" t="s">
        <v>2520</v>
      </c>
      <c r="AT35" s="2437"/>
      <c r="AU35" s="2437"/>
      <c r="AV35" s="2437"/>
      <c r="AW35" s="2437"/>
      <c r="AX35" s="2438"/>
      <c r="AY35" s="2436" t="s">
        <v>2521</v>
      </c>
      <c r="AZ35" s="2437"/>
      <c r="BA35" s="2437"/>
      <c r="BB35" s="2437"/>
      <c r="BC35" s="2437"/>
      <c r="BD35" s="2439"/>
      <c r="BE35" s="1081"/>
    </row>
    <row r="36" spans="1:58" ht="15.75" customHeight="1">
      <c r="A36" s="1085"/>
      <c r="B36" s="2167" t="s">
        <v>2522</v>
      </c>
      <c r="C36" s="2168"/>
      <c r="D36" s="2168"/>
      <c r="E36" s="2168"/>
      <c r="F36" s="2168"/>
      <c r="G36" s="2168"/>
      <c r="H36" s="2168"/>
      <c r="I36" s="2168"/>
      <c r="J36" s="2399" t="s">
        <v>2523</v>
      </c>
      <c r="K36" s="2399"/>
      <c r="L36" s="2399"/>
      <c r="M36" s="2399"/>
      <c r="N36" s="2399"/>
      <c r="O36" s="2399"/>
      <c r="P36" s="2399"/>
      <c r="Q36" s="2399"/>
      <c r="R36" s="2145"/>
      <c r="S36" s="2145"/>
      <c r="T36" s="2145"/>
      <c r="U36" s="2145"/>
      <c r="V36" s="2145"/>
      <c r="W36" s="2145"/>
      <c r="X36" s="2145"/>
      <c r="Y36" s="2145"/>
      <c r="Z36" s="2145"/>
      <c r="AA36" s="2145"/>
      <c r="AB36" s="2145"/>
      <c r="AC36" s="2145"/>
      <c r="AD36" s="2145"/>
      <c r="AE36" s="2145"/>
      <c r="AF36" s="2145"/>
      <c r="AG36" s="2145"/>
      <c r="AH36" s="2145"/>
      <c r="AI36" s="2145"/>
      <c r="AJ36" s="2145"/>
      <c r="AK36" s="2145"/>
      <c r="AL36" s="2146"/>
      <c r="AM36" s="2147"/>
      <c r="AN36" s="2147"/>
      <c r="AO36" s="2148"/>
      <c r="AP36" s="2146"/>
      <c r="AQ36" s="2147"/>
      <c r="AR36" s="2148"/>
      <c r="AS36" s="2149">
        <f t="shared" ref="AS36:AS47" si="2">SUM(R36:AR36)</f>
        <v>0</v>
      </c>
      <c r="AT36" s="2150"/>
      <c r="AU36" s="2150"/>
      <c r="AV36" s="2150"/>
      <c r="AW36" s="2150"/>
      <c r="AX36" s="2151"/>
      <c r="AY36" s="2403">
        <f t="shared" ref="AY36:AY47" si="3">AS36/$J$29</f>
        <v>0</v>
      </c>
      <c r="AZ36" s="2404"/>
      <c r="BA36" s="2404"/>
      <c r="BB36" s="2404"/>
      <c r="BC36" s="2404"/>
      <c r="BD36" s="2405"/>
      <c r="BE36" s="1081"/>
    </row>
    <row r="37" spans="1:58" ht="15.75" customHeight="1">
      <c r="A37" s="1085"/>
      <c r="B37" s="2167" t="s">
        <v>2524</v>
      </c>
      <c r="C37" s="2168"/>
      <c r="D37" s="2168"/>
      <c r="E37" s="2168"/>
      <c r="F37" s="2168"/>
      <c r="G37" s="2168"/>
      <c r="H37" s="2168"/>
      <c r="I37" s="2168"/>
      <c r="J37" s="2399" t="s">
        <v>2525</v>
      </c>
      <c r="K37" s="2399"/>
      <c r="L37" s="2399"/>
      <c r="M37" s="2399"/>
      <c r="N37" s="2399"/>
      <c r="O37" s="2399"/>
      <c r="P37" s="2399"/>
      <c r="Q37" s="2399"/>
      <c r="R37" s="2145"/>
      <c r="S37" s="2145"/>
      <c r="T37" s="2145"/>
      <c r="U37" s="2145"/>
      <c r="V37" s="2145"/>
      <c r="W37" s="2145"/>
      <c r="X37" s="2145"/>
      <c r="Y37" s="2145"/>
      <c r="Z37" s="2145"/>
      <c r="AA37" s="2145"/>
      <c r="AB37" s="2145"/>
      <c r="AC37" s="2145"/>
      <c r="AD37" s="2145"/>
      <c r="AE37" s="2145"/>
      <c r="AF37" s="2145"/>
      <c r="AG37" s="2145"/>
      <c r="AH37" s="2145"/>
      <c r="AI37" s="2145"/>
      <c r="AJ37" s="2145"/>
      <c r="AK37" s="2145"/>
      <c r="AL37" s="2146"/>
      <c r="AM37" s="2147"/>
      <c r="AN37" s="2147"/>
      <c r="AO37" s="2148"/>
      <c r="AP37" s="2146"/>
      <c r="AQ37" s="2147"/>
      <c r="AR37" s="2148"/>
      <c r="AS37" s="2149">
        <f t="shared" si="2"/>
        <v>0</v>
      </c>
      <c r="AT37" s="2150"/>
      <c r="AU37" s="2150"/>
      <c r="AV37" s="2150"/>
      <c r="AW37" s="2150"/>
      <c r="AX37" s="2151"/>
      <c r="AY37" s="2403">
        <f t="shared" si="3"/>
        <v>0</v>
      </c>
      <c r="AZ37" s="2404"/>
      <c r="BA37" s="2404"/>
      <c r="BB37" s="2404"/>
      <c r="BC37" s="2404"/>
      <c r="BD37" s="2405"/>
      <c r="BE37" s="1081"/>
    </row>
    <row r="38" spans="1:58" ht="15.75" customHeight="1">
      <c r="A38" s="1085"/>
      <c r="B38" s="2167" t="s">
        <v>2526</v>
      </c>
      <c r="C38" s="2168"/>
      <c r="D38" s="2168"/>
      <c r="E38" s="2168"/>
      <c r="F38" s="2168"/>
      <c r="G38" s="2168"/>
      <c r="H38" s="2168"/>
      <c r="I38" s="2168"/>
      <c r="J38" s="2399" t="s">
        <v>2527</v>
      </c>
      <c r="K38" s="2399"/>
      <c r="L38" s="2399"/>
      <c r="M38" s="2399"/>
      <c r="N38" s="2399"/>
      <c r="O38" s="2399"/>
      <c r="P38" s="2399"/>
      <c r="Q38" s="2399"/>
      <c r="R38" s="2145"/>
      <c r="S38" s="2145"/>
      <c r="T38" s="2145"/>
      <c r="U38" s="2145"/>
      <c r="V38" s="2145"/>
      <c r="W38" s="2145"/>
      <c r="X38" s="2145"/>
      <c r="Y38" s="2145"/>
      <c r="Z38" s="2145"/>
      <c r="AA38" s="2145"/>
      <c r="AB38" s="2145"/>
      <c r="AC38" s="2145"/>
      <c r="AD38" s="2145"/>
      <c r="AE38" s="2145"/>
      <c r="AF38" s="2145"/>
      <c r="AG38" s="2145"/>
      <c r="AH38" s="2145"/>
      <c r="AI38" s="2145"/>
      <c r="AJ38" s="2145"/>
      <c r="AK38" s="2145"/>
      <c r="AL38" s="2146"/>
      <c r="AM38" s="2147"/>
      <c r="AN38" s="2147"/>
      <c r="AO38" s="2148"/>
      <c r="AP38" s="2146"/>
      <c r="AQ38" s="2147"/>
      <c r="AR38" s="2148"/>
      <c r="AS38" s="2149">
        <f t="shared" si="2"/>
        <v>0</v>
      </c>
      <c r="AT38" s="2150"/>
      <c r="AU38" s="2150"/>
      <c r="AV38" s="2150"/>
      <c r="AW38" s="2150"/>
      <c r="AX38" s="2151"/>
      <c r="AY38" s="2403">
        <f t="shared" si="3"/>
        <v>0</v>
      </c>
      <c r="AZ38" s="2404"/>
      <c r="BA38" s="2404"/>
      <c r="BB38" s="2404"/>
      <c r="BC38" s="2404"/>
      <c r="BD38" s="2405"/>
      <c r="BE38" s="1081"/>
    </row>
    <row r="39" spans="1:58" ht="15.75" customHeight="1">
      <c r="A39" s="1085"/>
      <c r="B39" s="2167" t="s">
        <v>2528</v>
      </c>
      <c r="C39" s="2168"/>
      <c r="D39" s="2168"/>
      <c r="E39" s="2168"/>
      <c r="F39" s="2168"/>
      <c r="G39" s="2168"/>
      <c r="H39" s="2168"/>
      <c r="I39" s="2168"/>
      <c r="J39" s="2399"/>
      <c r="K39" s="2399"/>
      <c r="L39" s="2399"/>
      <c r="M39" s="2399"/>
      <c r="N39" s="2399"/>
      <c r="O39" s="2399"/>
      <c r="P39" s="2399"/>
      <c r="Q39" s="2399"/>
      <c r="R39" s="2145"/>
      <c r="S39" s="2145"/>
      <c r="T39" s="2145"/>
      <c r="U39" s="2145"/>
      <c r="V39" s="2145"/>
      <c r="W39" s="2145"/>
      <c r="X39" s="2145"/>
      <c r="Y39" s="2145"/>
      <c r="Z39" s="2145"/>
      <c r="AA39" s="2145"/>
      <c r="AB39" s="2145"/>
      <c r="AC39" s="2145"/>
      <c r="AD39" s="2145"/>
      <c r="AE39" s="2145"/>
      <c r="AF39" s="2145"/>
      <c r="AG39" s="2145"/>
      <c r="AH39" s="2145"/>
      <c r="AI39" s="2145"/>
      <c r="AJ39" s="2145"/>
      <c r="AK39" s="2145"/>
      <c r="AL39" s="2146"/>
      <c r="AM39" s="2147"/>
      <c r="AN39" s="2147"/>
      <c r="AO39" s="2148"/>
      <c r="AP39" s="2146"/>
      <c r="AQ39" s="2147"/>
      <c r="AR39" s="2148"/>
      <c r="AS39" s="2149">
        <f t="shared" si="2"/>
        <v>0</v>
      </c>
      <c r="AT39" s="2150"/>
      <c r="AU39" s="2150"/>
      <c r="AV39" s="2150"/>
      <c r="AW39" s="2150"/>
      <c r="AX39" s="2151"/>
      <c r="AY39" s="2403">
        <f t="shared" si="3"/>
        <v>0</v>
      </c>
      <c r="AZ39" s="2404"/>
      <c r="BA39" s="2404"/>
      <c r="BB39" s="2404"/>
      <c r="BC39" s="2404"/>
      <c r="BD39" s="2405"/>
      <c r="BE39" s="1081"/>
    </row>
    <row r="40" spans="1:58" ht="15.75" customHeight="1">
      <c r="A40" s="1085"/>
      <c r="B40" s="2167" t="s">
        <v>2528</v>
      </c>
      <c r="C40" s="2168"/>
      <c r="D40" s="2168"/>
      <c r="E40" s="2168"/>
      <c r="F40" s="2168"/>
      <c r="G40" s="2168"/>
      <c r="H40" s="2168"/>
      <c r="I40" s="2168"/>
      <c r="J40" s="2399"/>
      <c r="K40" s="2399"/>
      <c r="L40" s="2399"/>
      <c r="M40" s="2399"/>
      <c r="N40" s="2399"/>
      <c r="O40" s="2399"/>
      <c r="P40" s="2399"/>
      <c r="Q40" s="2399"/>
      <c r="R40" s="2145"/>
      <c r="S40" s="2145"/>
      <c r="T40" s="2145"/>
      <c r="U40" s="2145"/>
      <c r="V40" s="2145"/>
      <c r="W40" s="2145"/>
      <c r="X40" s="2145"/>
      <c r="Y40" s="2145"/>
      <c r="Z40" s="2145"/>
      <c r="AA40" s="2145"/>
      <c r="AB40" s="2145"/>
      <c r="AC40" s="2145"/>
      <c r="AD40" s="2145"/>
      <c r="AE40" s="2145"/>
      <c r="AF40" s="2145"/>
      <c r="AG40" s="2145"/>
      <c r="AH40" s="2145"/>
      <c r="AI40" s="2145"/>
      <c r="AJ40" s="2145"/>
      <c r="AK40" s="2145"/>
      <c r="AL40" s="2146"/>
      <c r="AM40" s="2147"/>
      <c r="AN40" s="2147"/>
      <c r="AO40" s="2148"/>
      <c r="AP40" s="2146"/>
      <c r="AQ40" s="2147"/>
      <c r="AR40" s="2148"/>
      <c r="AS40" s="2149">
        <f t="shared" si="2"/>
        <v>0</v>
      </c>
      <c r="AT40" s="2150"/>
      <c r="AU40" s="2150"/>
      <c r="AV40" s="2150"/>
      <c r="AW40" s="2150"/>
      <c r="AX40" s="2151"/>
      <c r="AY40" s="2403">
        <f t="shared" si="3"/>
        <v>0</v>
      </c>
      <c r="AZ40" s="2404"/>
      <c r="BA40" s="2404"/>
      <c r="BB40" s="2404"/>
      <c r="BC40" s="2404"/>
      <c r="BD40" s="2405"/>
      <c r="BE40" s="1081"/>
    </row>
    <row r="41" spans="1:58" ht="15.75" customHeight="1">
      <c r="A41" s="1085"/>
      <c r="B41" s="2167" t="s">
        <v>2529</v>
      </c>
      <c r="C41" s="2168"/>
      <c r="D41" s="2168"/>
      <c r="E41" s="2168"/>
      <c r="F41" s="2168"/>
      <c r="G41" s="2168"/>
      <c r="H41" s="2168"/>
      <c r="I41" s="2168"/>
      <c r="J41" s="2399"/>
      <c r="K41" s="2399"/>
      <c r="L41" s="2399"/>
      <c r="M41" s="2399"/>
      <c r="N41" s="2399"/>
      <c r="O41" s="2399"/>
      <c r="P41" s="2399"/>
      <c r="Q41" s="2399"/>
      <c r="R41" s="2145"/>
      <c r="S41" s="2145"/>
      <c r="T41" s="2145"/>
      <c r="U41" s="2145"/>
      <c r="V41" s="2145"/>
      <c r="W41" s="2145"/>
      <c r="X41" s="2145"/>
      <c r="Y41" s="2145"/>
      <c r="Z41" s="2145"/>
      <c r="AA41" s="2145"/>
      <c r="AB41" s="2145"/>
      <c r="AC41" s="2145"/>
      <c r="AD41" s="2145"/>
      <c r="AE41" s="2145"/>
      <c r="AF41" s="2145"/>
      <c r="AG41" s="2145"/>
      <c r="AH41" s="2145"/>
      <c r="AI41" s="2145"/>
      <c r="AJ41" s="2145"/>
      <c r="AK41" s="2145"/>
      <c r="AL41" s="2146"/>
      <c r="AM41" s="2147"/>
      <c r="AN41" s="2147"/>
      <c r="AO41" s="2148"/>
      <c r="AP41" s="2146"/>
      <c r="AQ41" s="2147"/>
      <c r="AR41" s="2148"/>
      <c r="AS41" s="2149">
        <f t="shared" si="2"/>
        <v>0</v>
      </c>
      <c r="AT41" s="2150"/>
      <c r="AU41" s="2150"/>
      <c r="AV41" s="2150"/>
      <c r="AW41" s="2150"/>
      <c r="AX41" s="2151"/>
      <c r="AY41" s="2403">
        <f t="shared" si="3"/>
        <v>0</v>
      </c>
      <c r="AZ41" s="2404"/>
      <c r="BA41" s="2404"/>
      <c r="BB41" s="2404"/>
      <c r="BC41" s="2404"/>
      <c r="BD41" s="2405"/>
      <c r="BE41" s="1081"/>
    </row>
    <row r="42" spans="1:58" ht="15.75" customHeight="1">
      <c r="A42" s="1085"/>
      <c r="B42" s="2167" t="s">
        <v>2529</v>
      </c>
      <c r="C42" s="2168"/>
      <c r="D42" s="2168"/>
      <c r="E42" s="2168"/>
      <c r="F42" s="2168"/>
      <c r="G42" s="2168"/>
      <c r="H42" s="2168"/>
      <c r="I42" s="2168"/>
      <c r="J42" s="2399"/>
      <c r="K42" s="2399"/>
      <c r="L42" s="2399"/>
      <c r="M42" s="2399"/>
      <c r="N42" s="2399"/>
      <c r="O42" s="2399"/>
      <c r="P42" s="2399"/>
      <c r="Q42" s="2399"/>
      <c r="R42" s="2145"/>
      <c r="S42" s="2145"/>
      <c r="T42" s="2145"/>
      <c r="U42" s="2145"/>
      <c r="V42" s="2145"/>
      <c r="W42" s="2145"/>
      <c r="X42" s="2145"/>
      <c r="Y42" s="2145"/>
      <c r="Z42" s="2145"/>
      <c r="AA42" s="2145"/>
      <c r="AB42" s="2145"/>
      <c r="AC42" s="2145"/>
      <c r="AD42" s="2145"/>
      <c r="AE42" s="2145"/>
      <c r="AF42" s="2145"/>
      <c r="AG42" s="2145"/>
      <c r="AH42" s="2145"/>
      <c r="AI42" s="2145"/>
      <c r="AJ42" s="2145"/>
      <c r="AK42" s="2145"/>
      <c r="AL42" s="2146"/>
      <c r="AM42" s="2147"/>
      <c r="AN42" s="2147"/>
      <c r="AO42" s="2148"/>
      <c r="AP42" s="2146"/>
      <c r="AQ42" s="2147"/>
      <c r="AR42" s="2148"/>
      <c r="AS42" s="2149">
        <f t="shared" si="2"/>
        <v>0</v>
      </c>
      <c r="AT42" s="2150"/>
      <c r="AU42" s="2150"/>
      <c r="AV42" s="2150"/>
      <c r="AW42" s="2150"/>
      <c r="AX42" s="2151"/>
      <c r="AY42" s="2403">
        <f t="shared" si="3"/>
        <v>0</v>
      </c>
      <c r="AZ42" s="2404"/>
      <c r="BA42" s="2404"/>
      <c r="BB42" s="2404"/>
      <c r="BC42" s="2404"/>
      <c r="BD42" s="2405"/>
      <c r="BE42" s="1081"/>
    </row>
    <row r="43" spans="1:58" ht="15.75" customHeight="1">
      <c r="A43" s="1085"/>
      <c r="B43" s="2138" t="s">
        <v>2530</v>
      </c>
      <c r="C43" s="2139"/>
      <c r="D43" s="2139"/>
      <c r="E43" s="2139"/>
      <c r="F43" s="2139"/>
      <c r="G43" s="2139"/>
      <c r="H43" s="2139"/>
      <c r="I43" s="2139"/>
      <c r="J43" s="2399"/>
      <c r="K43" s="2399"/>
      <c r="L43" s="2399"/>
      <c r="M43" s="2399"/>
      <c r="N43" s="2399"/>
      <c r="O43" s="2399"/>
      <c r="P43" s="2399"/>
      <c r="Q43" s="2399"/>
      <c r="R43" s="2145"/>
      <c r="S43" s="2145"/>
      <c r="T43" s="2145"/>
      <c r="U43" s="2145"/>
      <c r="V43" s="2145"/>
      <c r="W43" s="2145"/>
      <c r="X43" s="2145"/>
      <c r="Y43" s="2145"/>
      <c r="Z43" s="2145"/>
      <c r="AA43" s="2145"/>
      <c r="AB43" s="2145"/>
      <c r="AC43" s="2145"/>
      <c r="AD43" s="2145"/>
      <c r="AE43" s="2145"/>
      <c r="AF43" s="2145"/>
      <c r="AG43" s="2145"/>
      <c r="AH43" s="2145"/>
      <c r="AI43" s="2145"/>
      <c r="AJ43" s="2145"/>
      <c r="AK43" s="2145"/>
      <c r="AL43" s="2146"/>
      <c r="AM43" s="2147"/>
      <c r="AN43" s="2147"/>
      <c r="AO43" s="2148"/>
      <c r="AP43" s="2146"/>
      <c r="AQ43" s="2147"/>
      <c r="AR43" s="2148"/>
      <c r="AS43" s="2149">
        <f t="shared" si="2"/>
        <v>0</v>
      </c>
      <c r="AT43" s="2150"/>
      <c r="AU43" s="2150"/>
      <c r="AV43" s="2150"/>
      <c r="AW43" s="2150"/>
      <c r="AX43" s="2151"/>
      <c r="AY43" s="2403">
        <f t="shared" si="3"/>
        <v>0</v>
      </c>
      <c r="AZ43" s="2404"/>
      <c r="BA43" s="2404"/>
      <c r="BB43" s="2404"/>
      <c r="BC43" s="2404"/>
      <c r="BD43" s="2405"/>
      <c r="BE43" s="1081"/>
    </row>
    <row r="44" spans="1:58" ht="15.75" customHeight="1">
      <c r="A44" s="1085"/>
      <c r="B44" s="2138" t="s">
        <v>2531</v>
      </c>
      <c r="C44" s="2139"/>
      <c r="D44" s="2139"/>
      <c r="E44" s="2139"/>
      <c r="F44" s="2139"/>
      <c r="G44" s="2139"/>
      <c r="H44" s="2139"/>
      <c r="I44" s="2139"/>
      <c r="J44" s="2399"/>
      <c r="K44" s="2399"/>
      <c r="L44" s="2399"/>
      <c r="M44" s="2399"/>
      <c r="N44" s="2399"/>
      <c r="O44" s="2399"/>
      <c r="P44" s="2399"/>
      <c r="Q44" s="2399"/>
      <c r="R44" s="2145"/>
      <c r="S44" s="2145"/>
      <c r="T44" s="2145"/>
      <c r="U44" s="2145"/>
      <c r="V44" s="2145"/>
      <c r="W44" s="2145"/>
      <c r="X44" s="2145"/>
      <c r="Y44" s="2145"/>
      <c r="Z44" s="2145"/>
      <c r="AA44" s="2145"/>
      <c r="AB44" s="2145"/>
      <c r="AC44" s="2145"/>
      <c r="AD44" s="2145"/>
      <c r="AE44" s="2145"/>
      <c r="AF44" s="2145"/>
      <c r="AG44" s="2145"/>
      <c r="AH44" s="2145"/>
      <c r="AI44" s="2145"/>
      <c r="AJ44" s="2145"/>
      <c r="AK44" s="2145"/>
      <c r="AL44" s="2146"/>
      <c r="AM44" s="2147"/>
      <c r="AN44" s="2147"/>
      <c r="AO44" s="2148"/>
      <c r="AP44" s="2146"/>
      <c r="AQ44" s="2147"/>
      <c r="AR44" s="2148"/>
      <c r="AS44" s="2149">
        <f t="shared" si="2"/>
        <v>0</v>
      </c>
      <c r="AT44" s="2150"/>
      <c r="AU44" s="2150"/>
      <c r="AV44" s="2150"/>
      <c r="AW44" s="2150"/>
      <c r="AX44" s="2151"/>
      <c r="AY44" s="2403">
        <f t="shared" si="3"/>
        <v>0</v>
      </c>
      <c r="AZ44" s="2404"/>
      <c r="BA44" s="2404"/>
      <c r="BB44" s="2404"/>
      <c r="BC44" s="2404"/>
      <c r="BD44" s="2405"/>
      <c r="BE44" s="1081"/>
    </row>
    <row r="45" spans="1:58" ht="15.75" customHeight="1">
      <c r="A45" s="1085"/>
      <c r="B45" s="2138" t="s">
        <v>2532</v>
      </c>
      <c r="C45" s="2139"/>
      <c r="D45" s="2139"/>
      <c r="E45" s="2139"/>
      <c r="F45" s="2139"/>
      <c r="G45" s="2139"/>
      <c r="H45" s="2139"/>
      <c r="I45" s="2139"/>
      <c r="J45" s="2399"/>
      <c r="K45" s="2399"/>
      <c r="L45" s="2399"/>
      <c r="M45" s="2399"/>
      <c r="N45" s="2399"/>
      <c r="O45" s="2399"/>
      <c r="P45" s="2399"/>
      <c r="Q45" s="2399"/>
      <c r="R45" s="2145"/>
      <c r="S45" s="2145"/>
      <c r="T45" s="2145"/>
      <c r="U45" s="2145"/>
      <c r="V45" s="2145"/>
      <c r="W45" s="2145"/>
      <c r="X45" s="2145"/>
      <c r="Y45" s="2145"/>
      <c r="Z45" s="2145"/>
      <c r="AA45" s="2145"/>
      <c r="AB45" s="2145"/>
      <c r="AC45" s="2145"/>
      <c r="AD45" s="2145"/>
      <c r="AE45" s="2145"/>
      <c r="AF45" s="2145"/>
      <c r="AG45" s="2145"/>
      <c r="AH45" s="2145"/>
      <c r="AI45" s="2145"/>
      <c r="AJ45" s="2145"/>
      <c r="AK45" s="2145"/>
      <c r="AL45" s="2146"/>
      <c r="AM45" s="2147"/>
      <c r="AN45" s="2147"/>
      <c r="AO45" s="2148"/>
      <c r="AP45" s="2146"/>
      <c r="AQ45" s="2147"/>
      <c r="AR45" s="2148"/>
      <c r="AS45" s="2149">
        <f t="shared" si="2"/>
        <v>0</v>
      </c>
      <c r="AT45" s="2150"/>
      <c r="AU45" s="2150"/>
      <c r="AV45" s="2150"/>
      <c r="AW45" s="2150"/>
      <c r="AX45" s="2151"/>
      <c r="AY45" s="2403">
        <f t="shared" si="3"/>
        <v>0</v>
      </c>
      <c r="AZ45" s="2404"/>
      <c r="BA45" s="2404"/>
      <c r="BB45" s="2404"/>
      <c r="BC45" s="2404"/>
      <c r="BD45" s="2405"/>
      <c r="BE45" s="1081"/>
    </row>
    <row r="46" spans="1:58" ht="15.75" customHeight="1">
      <c r="A46" s="1085"/>
      <c r="B46" s="2138" t="s">
        <v>2533</v>
      </c>
      <c r="C46" s="2139"/>
      <c r="D46" s="2139"/>
      <c r="E46" s="2139"/>
      <c r="F46" s="2139"/>
      <c r="G46" s="2139"/>
      <c r="H46" s="2139"/>
      <c r="I46" s="2139"/>
      <c r="J46" s="2399"/>
      <c r="K46" s="2399"/>
      <c r="L46" s="2399"/>
      <c r="M46" s="2399"/>
      <c r="N46" s="2399"/>
      <c r="O46" s="2399"/>
      <c r="P46" s="2399"/>
      <c r="Q46" s="2399"/>
      <c r="R46" s="2145"/>
      <c r="S46" s="2145"/>
      <c r="T46" s="2145"/>
      <c r="U46" s="2145"/>
      <c r="V46" s="2145"/>
      <c r="W46" s="2145"/>
      <c r="X46" s="2145"/>
      <c r="Y46" s="2145"/>
      <c r="Z46" s="2145"/>
      <c r="AA46" s="2145"/>
      <c r="AB46" s="2145"/>
      <c r="AC46" s="2145"/>
      <c r="AD46" s="2145"/>
      <c r="AE46" s="2145"/>
      <c r="AF46" s="2145"/>
      <c r="AG46" s="2145"/>
      <c r="AH46" s="2145"/>
      <c r="AI46" s="2145"/>
      <c r="AJ46" s="2145"/>
      <c r="AK46" s="2145"/>
      <c r="AL46" s="2146"/>
      <c r="AM46" s="2147"/>
      <c r="AN46" s="2147"/>
      <c r="AO46" s="2148"/>
      <c r="AP46" s="2146"/>
      <c r="AQ46" s="2147"/>
      <c r="AR46" s="2148"/>
      <c r="AS46" s="2149">
        <f t="shared" si="2"/>
        <v>0</v>
      </c>
      <c r="AT46" s="2150"/>
      <c r="AU46" s="2150"/>
      <c r="AV46" s="2150"/>
      <c r="AW46" s="2150"/>
      <c r="AX46" s="2151"/>
      <c r="AY46" s="2403">
        <f t="shared" si="3"/>
        <v>0</v>
      </c>
      <c r="AZ46" s="2404"/>
      <c r="BA46" s="2404"/>
      <c r="BB46" s="2404"/>
      <c r="BC46" s="2404"/>
      <c r="BD46" s="2405"/>
      <c r="BE46" s="1081"/>
    </row>
    <row r="47" spans="1:58" ht="15.75" customHeight="1" thickBot="1">
      <c r="A47" s="1085"/>
      <c r="B47" s="2396" t="s">
        <v>1099</v>
      </c>
      <c r="C47" s="2397"/>
      <c r="D47" s="2397"/>
      <c r="E47" s="2397"/>
      <c r="F47" s="2397"/>
      <c r="G47" s="2397"/>
      <c r="H47" s="2397"/>
      <c r="I47" s="2397"/>
      <c r="J47" s="2398"/>
      <c r="K47" s="2398"/>
      <c r="L47" s="2398"/>
      <c r="M47" s="2398"/>
      <c r="N47" s="2398"/>
      <c r="O47" s="2398"/>
      <c r="P47" s="2398"/>
      <c r="Q47" s="2398"/>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3"/>
      <c r="AM47" s="2394"/>
      <c r="AN47" s="2394"/>
      <c r="AO47" s="2395"/>
      <c r="AP47" s="2393"/>
      <c r="AQ47" s="2394"/>
      <c r="AR47" s="2395"/>
      <c r="AS47" s="2149">
        <f t="shared" si="2"/>
        <v>0</v>
      </c>
      <c r="AT47" s="2150"/>
      <c r="AU47" s="2150"/>
      <c r="AV47" s="2150"/>
      <c r="AW47" s="2150"/>
      <c r="AX47" s="2151"/>
      <c r="AY47" s="2400">
        <f t="shared" si="3"/>
        <v>0</v>
      </c>
      <c r="AZ47" s="2401"/>
      <c r="BA47" s="2401"/>
      <c r="BB47" s="2401"/>
      <c r="BC47" s="2401"/>
      <c r="BD47" s="2402"/>
      <c r="BE47" s="1081"/>
    </row>
    <row r="48" spans="1:58" ht="15.75" customHeight="1">
      <c r="A48" s="1085"/>
      <c r="B48" s="1133" t="s">
        <v>2534</v>
      </c>
      <c r="C48" s="1085"/>
      <c r="D48" s="1085"/>
      <c r="E48" s="1085"/>
      <c r="F48" s="1085"/>
      <c r="G48" s="1085"/>
      <c r="H48" s="1085"/>
      <c r="I48" s="1085"/>
      <c r="J48" s="1085"/>
      <c r="K48" s="1085"/>
      <c r="L48" s="1085"/>
      <c r="M48" s="1085"/>
      <c r="N48" s="1085"/>
      <c r="O48" s="1085"/>
      <c r="P48" s="1085"/>
      <c r="Q48" s="1085"/>
      <c r="R48" s="1085"/>
      <c r="S48" s="1085"/>
      <c r="T48" s="1085"/>
      <c r="U48" s="1085"/>
      <c r="V48" s="1085"/>
      <c r="W48" s="1085"/>
      <c r="X48" s="1085"/>
      <c r="Y48" s="1085"/>
      <c r="Z48" s="1085"/>
      <c r="AA48" s="1085"/>
      <c r="AB48" s="1085"/>
      <c r="AC48" s="1085"/>
      <c r="AD48" s="1085"/>
      <c r="AE48" s="1085"/>
      <c r="AF48" s="1085"/>
      <c r="AG48" s="1085"/>
      <c r="AH48" s="1085"/>
      <c r="AI48" s="1085"/>
      <c r="AJ48" s="1085"/>
      <c r="AK48" s="1085"/>
      <c r="AL48" s="1085"/>
      <c r="AM48" s="1085"/>
      <c r="AN48" s="1085"/>
      <c r="AO48" s="1085"/>
      <c r="AP48" s="1085"/>
      <c r="AQ48" s="1085"/>
      <c r="AR48" s="1085"/>
      <c r="AS48" s="1085"/>
      <c r="AT48" s="1085"/>
      <c r="AU48" s="1085"/>
      <c r="AV48" s="1085"/>
      <c r="AW48" s="1085"/>
      <c r="AX48" s="1085"/>
      <c r="AY48" s="1085"/>
      <c r="AZ48" s="1085"/>
      <c r="BA48" s="1085"/>
      <c r="BB48" s="1085"/>
      <c r="BC48" s="1085"/>
      <c r="BD48" s="1085"/>
      <c r="BE48" s="1081"/>
      <c r="BF48" s="1077"/>
    </row>
    <row r="49" spans="1:58" ht="15.75" customHeight="1" thickBot="1">
      <c r="A49" s="1085"/>
      <c r="B49" s="1133" t="s">
        <v>2535</v>
      </c>
      <c r="C49" s="1085"/>
      <c r="D49" s="1085"/>
      <c r="E49" s="1085"/>
      <c r="F49" s="1085"/>
      <c r="G49" s="1085"/>
      <c r="H49" s="1085"/>
      <c r="I49" s="1085"/>
      <c r="J49" s="1085"/>
      <c r="K49" s="1085"/>
      <c r="L49" s="1085"/>
      <c r="M49" s="1085"/>
      <c r="N49" s="1085"/>
      <c r="O49" s="1085"/>
      <c r="P49" s="1085"/>
      <c r="Q49" s="1085"/>
      <c r="R49" s="1085"/>
      <c r="S49" s="1085"/>
      <c r="T49" s="1085"/>
      <c r="U49" s="1085"/>
      <c r="V49" s="1085"/>
      <c r="W49" s="1085"/>
      <c r="X49" s="1085"/>
      <c r="Y49" s="1085"/>
      <c r="Z49" s="1085"/>
      <c r="AA49" s="1085"/>
      <c r="AB49" s="1085"/>
      <c r="AC49" s="1085"/>
      <c r="AD49" s="1085"/>
      <c r="AE49" s="1085"/>
      <c r="AF49" s="1085"/>
      <c r="AG49" s="1085"/>
      <c r="AH49" s="1085"/>
      <c r="AI49" s="1085"/>
      <c r="AJ49" s="1085"/>
      <c r="AK49" s="1085"/>
      <c r="AL49" s="1085"/>
      <c r="AM49" s="1085"/>
      <c r="AN49" s="1085"/>
      <c r="AO49" s="1085"/>
      <c r="AP49" s="1093"/>
      <c r="AQ49" s="1093"/>
      <c r="AR49" s="1093"/>
      <c r="AS49" s="1093"/>
      <c r="AT49" s="1093"/>
      <c r="AU49" s="1093"/>
      <c r="AV49" s="1093"/>
      <c r="AW49" s="1093"/>
      <c r="AX49" s="1085"/>
      <c r="AY49" s="1085"/>
      <c r="AZ49" s="1085"/>
      <c r="BA49" s="1085"/>
      <c r="BB49" s="1085"/>
      <c r="BC49" s="1085"/>
      <c r="BD49" s="1085"/>
      <c r="BE49" s="1081"/>
      <c r="BF49" s="1077"/>
    </row>
    <row r="50" spans="1:58" ht="15.75" customHeight="1">
      <c r="A50" s="1085"/>
      <c r="B50" s="2340" t="s">
        <v>2536</v>
      </c>
      <c r="C50" s="2136"/>
      <c r="D50" s="2136"/>
      <c r="E50" s="2136"/>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c r="AN50" s="2136"/>
      <c r="AO50" s="2137"/>
      <c r="AP50" s="1093"/>
      <c r="AQ50" s="1093"/>
      <c r="AR50" s="1093"/>
      <c r="AS50" s="1093"/>
      <c r="AT50" s="1093"/>
      <c r="AU50" s="1093"/>
      <c r="AV50" s="1093"/>
      <c r="AW50" s="1093"/>
      <c r="AX50" s="1085"/>
      <c r="AY50" s="1085"/>
      <c r="AZ50" s="1085"/>
      <c r="BA50" s="1085"/>
      <c r="BB50" s="1085"/>
      <c r="BC50" s="1085"/>
      <c r="BD50" s="1085"/>
      <c r="BE50" s="1081"/>
    </row>
    <row r="51" spans="1:58" ht="33.75" customHeight="1">
      <c r="A51" s="1085"/>
      <c r="B51" s="2098" t="s">
        <v>2537</v>
      </c>
      <c r="C51" s="2099"/>
      <c r="D51" s="2099"/>
      <c r="E51" s="2099"/>
      <c r="F51" s="2099"/>
      <c r="G51" s="2099"/>
      <c r="H51" s="2099"/>
      <c r="I51" s="2099"/>
      <c r="J51" s="2099" t="s">
        <v>2538</v>
      </c>
      <c r="K51" s="2099"/>
      <c r="L51" s="2099"/>
      <c r="M51" s="2099"/>
      <c r="N51" s="2099"/>
      <c r="O51" s="2099"/>
      <c r="P51" s="2099"/>
      <c r="Q51" s="2099"/>
      <c r="R51" s="2390" t="s">
        <v>2539</v>
      </c>
      <c r="S51" s="2390"/>
      <c r="T51" s="2390"/>
      <c r="U51" s="2390"/>
      <c r="V51" s="2390"/>
      <c r="W51" s="2390"/>
      <c r="X51" s="2390"/>
      <c r="Y51" s="2390"/>
      <c r="Z51" s="2390" t="s">
        <v>2540</v>
      </c>
      <c r="AA51" s="2390"/>
      <c r="AB51" s="2390"/>
      <c r="AC51" s="2390"/>
      <c r="AD51" s="2390"/>
      <c r="AE51" s="2390"/>
      <c r="AF51" s="2390"/>
      <c r="AG51" s="2390"/>
      <c r="AH51" s="2390" t="s">
        <v>2541</v>
      </c>
      <c r="AI51" s="2390"/>
      <c r="AJ51" s="2390"/>
      <c r="AK51" s="2390"/>
      <c r="AL51" s="2390"/>
      <c r="AM51" s="2390"/>
      <c r="AN51" s="2390"/>
      <c r="AO51" s="2391"/>
      <c r="AP51" s="1093"/>
      <c r="AQ51" s="1093"/>
      <c r="AR51" s="1093"/>
      <c r="AS51" s="1093"/>
      <c r="AT51" s="1093"/>
      <c r="AU51" s="1093"/>
      <c r="AV51" s="1093"/>
      <c r="AW51" s="1093"/>
      <c r="AX51" s="1096"/>
      <c r="AY51" s="1085"/>
      <c r="AZ51" s="1085"/>
      <c r="BA51" s="1085"/>
      <c r="BB51" s="1085"/>
      <c r="BC51" s="1085"/>
      <c r="BD51" s="1085"/>
      <c r="BE51" s="1081"/>
    </row>
    <row r="52" spans="1:58" ht="15.75" customHeight="1">
      <c r="A52" s="1085"/>
      <c r="B52" s="2138" t="s">
        <v>2542</v>
      </c>
      <c r="C52" s="2139"/>
      <c r="D52" s="2139"/>
      <c r="E52" s="2139"/>
      <c r="F52" s="2139"/>
      <c r="G52" s="2139"/>
      <c r="H52" s="2139"/>
      <c r="I52" s="2139"/>
      <c r="J52" s="2272">
        <v>0</v>
      </c>
      <c r="K52" s="2272"/>
      <c r="L52" s="2272"/>
      <c r="M52" s="2272"/>
      <c r="N52" s="2272"/>
      <c r="O52" s="2272"/>
      <c r="P52" s="2272"/>
      <c r="Q52" s="2272"/>
      <c r="R52" s="2378">
        <v>26000</v>
      </c>
      <c r="S52" s="2378"/>
      <c r="T52" s="2378"/>
      <c r="U52" s="2378"/>
      <c r="V52" s="2378"/>
      <c r="W52" s="2378"/>
      <c r="X52" s="2378"/>
      <c r="Y52" s="2378"/>
      <c r="Z52" s="2379">
        <v>12</v>
      </c>
      <c r="AA52" s="2379"/>
      <c r="AB52" s="2379"/>
      <c r="AC52" s="2379"/>
      <c r="AD52" s="2379"/>
      <c r="AE52" s="2379"/>
      <c r="AF52" s="2379"/>
      <c r="AG52" s="2379"/>
      <c r="AH52" s="2380"/>
      <c r="AI52" s="2380"/>
      <c r="AJ52" s="2380"/>
      <c r="AK52" s="2380"/>
      <c r="AL52" s="2380"/>
      <c r="AM52" s="2380"/>
      <c r="AN52" s="2380"/>
      <c r="AO52" s="2381"/>
      <c r="AP52" s="1093"/>
      <c r="AQ52" s="1093"/>
      <c r="AR52" s="1093"/>
      <c r="AS52" s="1093"/>
      <c r="AT52" s="1093"/>
      <c r="AU52" s="1093"/>
      <c r="AV52" s="1093"/>
      <c r="AW52" s="1093"/>
      <c r="AX52" s="1096"/>
      <c r="AY52" s="1085"/>
      <c r="AZ52" s="1085"/>
      <c r="BA52" s="1085"/>
      <c r="BB52" s="1085"/>
      <c r="BC52" s="1085"/>
      <c r="BD52" s="1085"/>
      <c r="BE52" s="1081"/>
    </row>
    <row r="53" spans="1:58" ht="15.75" customHeight="1">
      <c r="A53" s="1085"/>
      <c r="B53" s="2138"/>
      <c r="C53" s="2139"/>
      <c r="D53" s="2139"/>
      <c r="E53" s="2139"/>
      <c r="F53" s="2139"/>
      <c r="G53" s="2139"/>
      <c r="H53" s="2139"/>
      <c r="I53" s="2139"/>
      <c r="J53" s="2272"/>
      <c r="K53" s="2272"/>
      <c r="L53" s="2272"/>
      <c r="M53" s="2272"/>
      <c r="N53" s="2272"/>
      <c r="O53" s="2272"/>
      <c r="P53" s="2272"/>
      <c r="Q53" s="2272"/>
      <c r="R53" s="2378"/>
      <c r="S53" s="2378"/>
      <c r="T53" s="2378"/>
      <c r="U53" s="2378"/>
      <c r="V53" s="2378"/>
      <c r="W53" s="2378"/>
      <c r="X53" s="2378"/>
      <c r="Y53" s="2378"/>
      <c r="Z53" s="2379"/>
      <c r="AA53" s="2379"/>
      <c r="AB53" s="2379"/>
      <c r="AC53" s="2379"/>
      <c r="AD53" s="2379"/>
      <c r="AE53" s="2379"/>
      <c r="AF53" s="2379"/>
      <c r="AG53" s="2379"/>
      <c r="AH53" s="2380"/>
      <c r="AI53" s="2380"/>
      <c r="AJ53" s="2380"/>
      <c r="AK53" s="2380"/>
      <c r="AL53" s="2380"/>
      <c r="AM53" s="2380"/>
      <c r="AN53" s="2380"/>
      <c r="AO53" s="2381"/>
      <c r="AP53" s="1093"/>
      <c r="AQ53" s="1093"/>
      <c r="AR53" s="1093"/>
      <c r="AS53" s="1093"/>
      <c r="AT53" s="1093"/>
      <c r="AU53" s="1093"/>
      <c r="AV53" s="1093"/>
      <c r="AW53" s="1093"/>
      <c r="AX53" s="1085"/>
      <c r="AY53" s="1085"/>
      <c r="AZ53" s="1085"/>
      <c r="BA53" s="1085"/>
      <c r="BB53" s="1085"/>
      <c r="BC53" s="1085"/>
      <c r="BD53" s="1085"/>
      <c r="BE53" s="1081"/>
    </row>
    <row r="54" spans="1:58" ht="15.75" customHeight="1">
      <c r="A54" s="1085"/>
      <c r="B54" s="2138"/>
      <c r="C54" s="2139"/>
      <c r="D54" s="2139"/>
      <c r="E54" s="2139"/>
      <c r="F54" s="2139"/>
      <c r="G54" s="2139"/>
      <c r="H54" s="2139"/>
      <c r="I54" s="2139"/>
      <c r="J54" s="2272"/>
      <c r="K54" s="2272"/>
      <c r="L54" s="2272"/>
      <c r="M54" s="2272"/>
      <c r="N54" s="2272"/>
      <c r="O54" s="2272"/>
      <c r="P54" s="2272"/>
      <c r="Q54" s="2272"/>
      <c r="R54" s="2378"/>
      <c r="S54" s="2378"/>
      <c r="T54" s="2378"/>
      <c r="U54" s="2378"/>
      <c r="V54" s="2378"/>
      <c r="W54" s="2378"/>
      <c r="X54" s="2378"/>
      <c r="Y54" s="2378"/>
      <c r="Z54" s="2379"/>
      <c r="AA54" s="2379"/>
      <c r="AB54" s="2379"/>
      <c r="AC54" s="2379"/>
      <c r="AD54" s="2379"/>
      <c r="AE54" s="2379"/>
      <c r="AF54" s="2379"/>
      <c r="AG54" s="2379"/>
      <c r="AH54" s="2380"/>
      <c r="AI54" s="2380"/>
      <c r="AJ54" s="2380"/>
      <c r="AK54" s="2380"/>
      <c r="AL54" s="2380"/>
      <c r="AM54" s="2380"/>
      <c r="AN54" s="2380"/>
      <c r="AO54" s="2381"/>
      <c r="AP54" s="1093"/>
      <c r="AQ54" s="1093"/>
      <c r="AR54" s="1093"/>
      <c r="AS54" s="1093"/>
      <c r="AT54" s="1093"/>
      <c r="AU54" s="1093"/>
      <c r="AV54" s="1093"/>
      <c r="AW54" s="1093"/>
      <c r="AX54" s="1085"/>
      <c r="AY54" s="1085"/>
      <c r="AZ54" s="1085"/>
      <c r="BA54" s="1085"/>
      <c r="BB54" s="1085"/>
      <c r="BC54" s="1085"/>
      <c r="BD54" s="1085"/>
      <c r="BE54" s="1081"/>
    </row>
    <row r="55" spans="1:58" ht="15.75" customHeight="1">
      <c r="A55" s="1085"/>
      <c r="B55" s="2138"/>
      <c r="C55" s="2139"/>
      <c r="D55" s="2139"/>
      <c r="E55" s="2139"/>
      <c r="F55" s="2139"/>
      <c r="G55" s="2139"/>
      <c r="H55" s="2139"/>
      <c r="I55" s="2139"/>
      <c r="J55" s="2272"/>
      <c r="K55" s="2272"/>
      <c r="L55" s="2272"/>
      <c r="M55" s="2272"/>
      <c r="N55" s="2272"/>
      <c r="O55" s="2272"/>
      <c r="P55" s="2272"/>
      <c r="Q55" s="2272"/>
      <c r="R55" s="2378"/>
      <c r="S55" s="2378"/>
      <c r="T55" s="2378"/>
      <c r="U55" s="2378"/>
      <c r="V55" s="2378"/>
      <c r="W55" s="2378"/>
      <c r="X55" s="2378"/>
      <c r="Y55" s="2378"/>
      <c r="Z55" s="2379"/>
      <c r="AA55" s="2379"/>
      <c r="AB55" s="2379"/>
      <c r="AC55" s="2379"/>
      <c r="AD55" s="2379"/>
      <c r="AE55" s="2379"/>
      <c r="AF55" s="2379"/>
      <c r="AG55" s="2379"/>
      <c r="AH55" s="2380"/>
      <c r="AI55" s="2380"/>
      <c r="AJ55" s="2380"/>
      <c r="AK55" s="2380"/>
      <c r="AL55" s="2380"/>
      <c r="AM55" s="2380"/>
      <c r="AN55" s="2380"/>
      <c r="AO55" s="2381"/>
      <c r="AP55" s="1093"/>
      <c r="AQ55" s="1093"/>
      <c r="AR55" s="1093"/>
      <c r="AS55" s="1093"/>
      <c r="AT55" s="1093" t="s">
        <v>253</v>
      </c>
      <c r="AU55" s="1093"/>
      <c r="AV55" s="1093"/>
      <c r="AW55" s="1093"/>
      <c r="AX55" s="1085"/>
      <c r="AY55" s="1085"/>
      <c r="AZ55" s="1085"/>
      <c r="BA55" s="1085"/>
      <c r="BB55" s="1085"/>
      <c r="BC55" s="1085"/>
      <c r="BD55" s="1085"/>
      <c r="BE55" s="1081"/>
    </row>
    <row r="56" spans="1:58" ht="15.75" customHeight="1">
      <c r="A56" s="1085"/>
      <c r="B56" s="2138"/>
      <c r="C56" s="2139"/>
      <c r="D56" s="2139"/>
      <c r="E56" s="2139"/>
      <c r="F56" s="2139"/>
      <c r="G56" s="2139"/>
      <c r="H56" s="2139"/>
      <c r="I56" s="2139"/>
      <c r="J56" s="2272"/>
      <c r="K56" s="2272"/>
      <c r="L56" s="2272"/>
      <c r="M56" s="2272"/>
      <c r="N56" s="2272"/>
      <c r="O56" s="2272"/>
      <c r="P56" s="2272"/>
      <c r="Q56" s="2272"/>
      <c r="R56" s="2378"/>
      <c r="S56" s="2378"/>
      <c r="T56" s="2378"/>
      <c r="U56" s="2378"/>
      <c r="V56" s="2378"/>
      <c r="W56" s="2378"/>
      <c r="X56" s="2378"/>
      <c r="Y56" s="2378"/>
      <c r="Z56" s="2379"/>
      <c r="AA56" s="2379"/>
      <c r="AB56" s="2379"/>
      <c r="AC56" s="2379"/>
      <c r="AD56" s="2379"/>
      <c r="AE56" s="2379"/>
      <c r="AF56" s="2379"/>
      <c r="AG56" s="2379"/>
      <c r="AH56" s="2380"/>
      <c r="AI56" s="2380"/>
      <c r="AJ56" s="2380"/>
      <c r="AK56" s="2380"/>
      <c r="AL56" s="2380"/>
      <c r="AM56" s="2380"/>
      <c r="AN56" s="2380"/>
      <c r="AO56" s="2381"/>
      <c r="AP56" s="1093"/>
      <c r="AQ56" s="1093"/>
      <c r="AR56" s="1093"/>
      <c r="AS56" s="1093"/>
      <c r="AT56" s="1093"/>
      <c r="AU56" s="1093"/>
      <c r="AV56" s="1093"/>
      <c r="AW56" s="1093"/>
      <c r="AX56" s="1085"/>
      <c r="AY56" s="1085"/>
      <c r="AZ56" s="1085"/>
      <c r="BA56" s="1085"/>
      <c r="BB56" s="1085"/>
      <c r="BC56" s="1085"/>
      <c r="BD56" s="1085"/>
      <c r="BE56" s="1081"/>
    </row>
    <row r="57" spans="1:58" s="1131" customFormat="1" ht="15.75" customHeight="1" thickBot="1">
      <c r="A57" s="1093"/>
      <c r="B57" s="2092" t="s">
        <v>2441</v>
      </c>
      <c r="C57" s="2093"/>
      <c r="D57" s="2093"/>
      <c r="E57" s="2093"/>
      <c r="F57" s="2093"/>
      <c r="G57" s="2093"/>
      <c r="H57" s="2093"/>
      <c r="I57" s="2093"/>
      <c r="J57" s="2093"/>
      <c r="K57" s="2093"/>
      <c r="L57" s="2093"/>
      <c r="M57" s="2093"/>
      <c r="N57" s="2093"/>
      <c r="O57" s="2093"/>
      <c r="P57" s="2093"/>
      <c r="Q57" s="2093"/>
      <c r="R57" s="2382">
        <f>SUM(R52:Y56)</f>
        <v>26000</v>
      </c>
      <c r="S57" s="2382"/>
      <c r="T57" s="2382"/>
      <c r="U57" s="2382"/>
      <c r="V57" s="2382"/>
      <c r="W57" s="2382"/>
      <c r="X57" s="2382"/>
      <c r="Y57" s="2382"/>
      <c r="Z57" s="2383">
        <f>SUM(Z52:AG56)</f>
        <v>12</v>
      </c>
      <c r="AA57" s="2383"/>
      <c r="AB57" s="2383"/>
      <c r="AC57" s="2383"/>
      <c r="AD57" s="2383"/>
      <c r="AE57" s="2383"/>
      <c r="AF57" s="2383"/>
      <c r="AG57" s="2383"/>
      <c r="AH57" s="2384"/>
      <c r="AI57" s="2384"/>
      <c r="AJ57" s="2384"/>
      <c r="AK57" s="2384"/>
      <c r="AL57" s="2384"/>
      <c r="AM57" s="2384"/>
      <c r="AN57" s="2384"/>
      <c r="AO57" s="2385"/>
      <c r="AP57" s="1093"/>
      <c r="AQ57" s="1093"/>
      <c r="AR57" s="1093"/>
      <c r="AS57" s="1093"/>
      <c r="AT57" s="1093"/>
      <c r="AU57" s="1093"/>
      <c r="AV57" s="1093"/>
      <c r="AW57" s="1093"/>
      <c r="AX57" s="1093"/>
      <c r="AY57" s="1093"/>
      <c r="AZ57" s="1093"/>
      <c r="BA57" s="1093"/>
      <c r="BB57" s="1093"/>
      <c r="BC57" s="1093"/>
      <c r="BD57" s="1093"/>
      <c r="BE57" s="1132"/>
    </row>
    <row r="58" spans="1:58" ht="15.75" customHeight="1" thickBot="1">
      <c r="A58" s="1085"/>
      <c r="B58" s="1085"/>
      <c r="C58" s="1085"/>
      <c r="D58" s="1085"/>
      <c r="E58" s="1085"/>
      <c r="F58" s="1085"/>
      <c r="G58" s="1085"/>
      <c r="H58" s="1085"/>
      <c r="I58" s="1085"/>
      <c r="J58" s="1085"/>
      <c r="K58" s="1085"/>
      <c r="L58" s="1085"/>
      <c r="M58" s="1085"/>
      <c r="N58" s="1085"/>
      <c r="O58" s="1085"/>
      <c r="P58" s="1085"/>
      <c r="Q58" s="1085"/>
      <c r="R58" s="1085"/>
      <c r="S58" s="1085"/>
      <c r="T58" s="1085"/>
      <c r="U58" s="1085"/>
      <c r="V58" s="1085"/>
      <c r="W58" s="1085"/>
      <c r="X58" s="1085"/>
      <c r="Y58" s="1085"/>
      <c r="Z58" s="1085"/>
      <c r="AA58" s="1085"/>
      <c r="AB58" s="1085"/>
      <c r="AC58" s="1085"/>
      <c r="AD58" s="1085"/>
      <c r="AE58" s="1085"/>
      <c r="AF58" s="1085"/>
      <c r="AG58" s="1085"/>
      <c r="AH58" s="1085"/>
      <c r="AI58" s="1085"/>
      <c r="AJ58" s="1085"/>
      <c r="AK58" s="1085"/>
      <c r="AL58" s="1085"/>
      <c r="AM58" s="1085"/>
      <c r="AN58" s="1085"/>
      <c r="AO58" s="1085"/>
      <c r="AP58" s="1085"/>
      <c r="AQ58" s="1085"/>
      <c r="AR58" s="1085"/>
      <c r="AS58" s="1085"/>
      <c r="AT58" s="1085"/>
      <c r="AU58" s="1085"/>
      <c r="AV58" s="1085"/>
      <c r="AW58" s="1085"/>
      <c r="AX58" s="1085"/>
      <c r="AY58" s="1085"/>
      <c r="AZ58" s="1085"/>
      <c r="BA58" s="1085"/>
      <c r="BB58" s="1085"/>
      <c r="BC58" s="1085"/>
      <c r="BD58" s="1085"/>
      <c r="BE58" s="1081"/>
    </row>
    <row r="59" spans="1:58" ht="15.75" customHeight="1">
      <c r="A59" s="1085"/>
      <c r="B59" s="2386" t="s">
        <v>2537</v>
      </c>
      <c r="C59" s="2387"/>
      <c r="D59" s="2387"/>
      <c r="E59" s="2387"/>
      <c r="F59" s="2387"/>
      <c r="G59" s="2387"/>
      <c r="H59" s="2387"/>
      <c r="I59" s="2388"/>
      <c r="J59" s="2352" t="s">
        <v>2543</v>
      </c>
      <c r="K59" s="2352"/>
      <c r="L59" s="2352"/>
      <c r="M59" s="2352"/>
      <c r="N59" s="2352"/>
      <c r="O59" s="2352"/>
      <c r="P59" s="2352"/>
      <c r="Q59" s="2352"/>
      <c r="R59" s="2352"/>
      <c r="S59" s="2352"/>
      <c r="T59" s="2352"/>
      <c r="U59" s="2352"/>
      <c r="V59" s="2352"/>
      <c r="W59" s="2352"/>
      <c r="X59" s="2352"/>
      <c r="Y59" s="2352"/>
      <c r="Z59" s="2352"/>
      <c r="AA59" s="2352"/>
      <c r="AB59" s="2352"/>
      <c r="AC59" s="2352"/>
      <c r="AD59" s="2352"/>
      <c r="AE59" s="2352"/>
      <c r="AF59" s="2352"/>
      <c r="AG59" s="2352"/>
      <c r="AH59" s="2352"/>
      <c r="AI59" s="2352"/>
      <c r="AJ59" s="2352"/>
      <c r="AK59" s="2352"/>
      <c r="AL59" s="2352"/>
      <c r="AM59" s="2352"/>
      <c r="AN59" s="2352"/>
      <c r="AO59" s="2352"/>
      <c r="AP59" s="2352"/>
      <c r="AQ59" s="2352"/>
      <c r="AR59" s="2352"/>
      <c r="AS59" s="2352"/>
      <c r="AT59" s="2352"/>
      <c r="AU59" s="2352"/>
      <c r="AV59" s="2352"/>
      <c r="AW59" s="2353"/>
      <c r="AX59" s="1085"/>
      <c r="AY59" s="1085"/>
      <c r="AZ59" s="1085"/>
      <c r="BA59" s="1085"/>
      <c r="BB59" s="1085"/>
      <c r="BC59" s="1085"/>
      <c r="BD59" s="1085"/>
      <c r="BE59" s="1081"/>
    </row>
    <row r="60" spans="1:58" ht="15.75" customHeight="1">
      <c r="A60" s="1085"/>
      <c r="B60" s="2371" t="str">
        <f>IF(B52="", "", B52)</f>
        <v>Thomas Safran &amp; Associates</v>
      </c>
      <c r="C60" s="2372"/>
      <c r="D60" s="2372"/>
      <c r="E60" s="2372"/>
      <c r="F60" s="2372"/>
      <c r="G60" s="2372"/>
      <c r="H60" s="2372"/>
      <c r="I60" s="2373"/>
      <c r="J60" s="2374" t="s">
        <v>2544</v>
      </c>
      <c r="K60" s="2275"/>
      <c r="L60" s="2275"/>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c r="AS60" s="2275"/>
      <c r="AT60" s="2275"/>
      <c r="AU60" s="2275"/>
      <c r="AV60" s="2275"/>
      <c r="AW60" s="2276"/>
      <c r="AX60" s="1085"/>
      <c r="AY60" s="1085"/>
      <c r="AZ60" s="1085"/>
      <c r="BA60" s="1085"/>
      <c r="BB60" s="1085"/>
      <c r="BC60" s="1085"/>
      <c r="BD60" s="1085"/>
      <c r="BE60" s="1081"/>
    </row>
    <row r="61" spans="1:58" ht="15.75" customHeight="1">
      <c r="A61" s="1085"/>
      <c r="B61" s="2371" t="str">
        <f>IF(B53="", "", B53)</f>
        <v/>
      </c>
      <c r="C61" s="2372"/>
      <c r="D61" s="2372"/>
      <c r="E61" s="2372"/>
      <c r="F61" s="2372"/>
      <c r="G61" s="2372"/>
      <c r="H61" s="2372"/>
      <c r="I61" s="2373"/>
      <c r="J61" s="2374"/>
      <c r="K61" s="2275"/>
      <c r="L61" s="2275"/>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c r="AS61" s="2275"/>
      <c r="AT61" s="2275"/>
      <c r="AU61" s="2275"/>
      <c r="AV61" s="2275"/>
      <c r="AW61" s="2276"/>
      <c r="AX61" s="1085"/>
      <c r="AY61" s="1085"/>
      <c r="AZ61" s="1085"/>
      <c r="BA61" s="1085"/>
      <c r="BB61" s="1085"/>
      <c r="BC61" s="1085"/>
      <c r="BD61" s="1085"/>
      <c r="BE61" s="1081"/>
    </row>
    <row r="62" spans="1:58" ht="15.75" customHeight="1">
      <c r="A62" s="1085"/>
      <c r="B62" s="2371" t="str">
        <f>IF(B54="", "", B54)</f>
        <v/>
      </c>
      <c r="C62" s="2372"/>
      <c r="D62" s="2372"/>
      <c r="E62" s="2372"/>
      <c r="F62" s="2372"/>
      <c r="G62" s="2372"/>
      <c r="H62" s="2372"/>
      <c r="I62" s="2373"/>
      <c r="J62" s="2374"/>
      <c r="K62" s="2275"/>
      <c r="L62" s="2275"/>
      <c r="M62" s="2275"/>
      <c r="N62" s="2275"/>
      <c r="O62" s="2275"/>
      <c r="P62" s="2275"/>
      <c r="Q62" s="2275"/>
      <c r="R62" s="2275"/>
      <c r="S62" s="2275"/>
      <c r="T62" s="2275"/>
      <c r="U62" s="2275"/>
      <c r="V62" s="2275"/>
      <c r="W62" s="2275"/>
      <c r="X62" s="2275"/>
      <c r="Y62" s="2275"/>
      <c r="Z62" s="2275"/>
      <c r="AA62" s="2275"/>
      <c r="AB62" s="2275"/>
      <c r="AC62" s="2275"/>
      <c r="AD62" s="2275"/>
      <c r="AE62" s="2275"/>
      <c r="AF62" s="2275"/>
      <c r="AG62" s="2275"/>
      <c r="AH62" s="2275"/>
      <c r="AI62" s="2275"/>
      <c r="AJ62" s="2275"/>
      <c r="AK62" s="2275"/>
      <c r="AL62" s="2275"/>
      <c r="AM62" s="2275"/>
      <c r="AN62" s="2275"/>
      <c r="AO62" s="2275"/>
      <c r="AP62" s="2275"/>
      <c r="AQ62" s="2275"/>
      <c r="AR62" s="2275"/>
      <c r="AS62" s="2275"/>
      <c r="AT62" s="2275"/>
      <c r="AU62" s="2275"/>
      <c r="AV62" s="2275"/>
      <c r="AW62" s="2276"/>
      <c r="AX62" s="1085"/>
      <c r="AY62" s="1085"/>
      <c r="AZ62" s="1085"/>
      <c r="BA62" s="1085"/>
      <c r="BB62" s="1085"/>
      <c r="BC62" s="1085"/>
      <c r="BD62" s="1085"/>
      <c r="BE62" s="1081"/>
    </row>
    <row r="63" spans="1:58" ht="15.75" customHeight="1">
      <c r="A63" s="1085"/>
      <c r="B63" s="2371" t="str">
        <f>IF(B55="", "", B55)</f>
        <v/>
      </c>
      <c r="C63" s="2372"/>
      <c r="D63" s="2372"/>
      <c r="E63" s="2372"/>
      <c r="F63" s="2372"/>
      <c r="G63" s="2372"/>
      <c r="H63" s="2372"/>
      <c r="I63" s="2373"/>
      <c r="J63" s="2374"/>
      <c r="K63" s="2275"/>
      <c r="L63" s="2275"/>
      <c r="M63" s="2275"/>
      <c r="N63" s="2275"/>
      <c r="O63" s="2275"/>
      <c r="P63" s="2275"/>
      <c r="Q63" s="2275"/>
      <c r="R63" s="2275"/>
      <c r="S63" s="2275"/>
      <c r="T63" s="2275"/>
      <c r="U63" s="2275"/>
      <c r="V63" s="2275"/>
      <c r="W63" s="2275"/>
      <c r="X63" s="2275"/>
      <c r="Y63" s="2275"/>
      <c r="Z63" s="2275"/>
      <c r="AA63" s="2275"/>
      <c r="AB63" s="2275"/>
      <c r="AC63" s="2275"/>
      <c r="AD63" s="2275"/>
      <c r="AE63" s="2275"/>
      <c r="AF63" s="2275"/>
      <c r="AG63" s="2275"/>
      <c r="AH63" s="2275"/>
      <c r="AI63" s="2275"/>
      <c r="AJ63" s="2275"/>
      <c r="AK63" s="2275"/>
      <c r="AL63" s="2275"/>
      <c r="AM63" s="2275"/>
      <c r="AN63" s="2275"/>
      <c r="AO63" s="2275"/>
      <c r="AP63" s="2275"/>
      <c r="AQ63" s="2275"/>
      <c r="AR63" s="2275"/>
      <c r="AS63" s="2275"/>
      <c r="AT63" s="2275"/>
      <c r="AU63" s="2275"/>
      <c r="AV63" s="2275"/>
      <c r="AW63" s="2276"/>
      <c r="AX63" s="1085"/>
      <c r="AY63" s="1085"/>
      <c r="AZ63" s="1085"/>
      <c r="BA63" s="1085"/>
      <c r="BB63" s="1085"/>
      <c r="BC63" s="1085"/>
      <c r="BD63" s="1085"/>
      <c r="BE63" s="1081"/>
    </row>
    <row r="64" spans="1:58" ht="15.75" customHeight="1" thickBot="1">
      <c r="A64" s="1085"/>
      <c r="B64" s="2375" t="str">
        <f>IF(B56="", "", B56)</f>
        <v/>
      </c>
      <c r="C64" s="2376"/>
      <c r="D64" s="2376"/>
      <c r="E64" s="2376"/>
      <c r="F64" s="2376"/>
      <c r="G64" s="2376"/>
      <c r="H64" s="2376"/>
      <c r="I64" s="2377"/>
      <c r="J64" s="2389"/>
      <c r="K64" s="2369"/>
      <c r="L64" s="2369"/>
      <c r="M64" s="2369"/>
      <c r="N64" s="2369"/>
      <c r="O64" s="2369"/>
      <c r="P64" s="2369"/>
      <c r="Q64" s="2369"/>
      <c r="R64" s="2369"/>
      <c r="S64" s="2369"/>
      <c r="T64" s="2369"/>
      <c r="U64" s="2369"/>
      <c r="V64" s="2369"/>
      <c r="W64" s="2369"/>
      <c r="X64" s="2369"/>
      <c r="Y64" s="2369"/>
      <c r="Z64" s="2369"/>
      <c r="AA64" s="2369"/>
      <c r="AB64" s="2369"/>
      <c r="AC64" s="2369"/>
      <c r="AD64" s="2369"/>
      <c r="AE64" s="2369"/>
      <c r="AF64" s="2369"/>
      <c r="AG64" s="2369"/>
      <c r="AH64" s="2369"/>
      <c r="AI64" s="2369"/>
      <c r="AJ64" s="2369"/>
      <c r="AK64" s="2369"/>
      <c r="AL64" s="2369"/>
      <c r="AM64" s="2369"/>
      <c r="AN64" s="2369"/>
      <c r="AO64" s="2369"/>
      <c r="AP64" s="2369"/>
      <c r="AQ64" s="2369"/>
      <c r="AR64" s="2369"/>
      <c r="AS64" s="2369"/>
      <c r="AT64" s="2369"/>
      <c r="AU64" s="2369"/>
      <c r="AV64" s="2369"/>
      <c r="AW64" s="2370"/>
      <c r="AX64" s="1085"/>
      <c r="AY64" s="1085"/>
      <c r="AZ64" s="1085"/>
      <c r="BA64" s="1085"/>
      <c r="BB64" s="1085"/>
      <c r="BC64" s="1085"/>
      <c r="BD64" s="1085"/>
      <c r="BE64" s="1081"/>
    </row>
    <row r="65" spans="1:65" ht="15.75" customHeight="1">
      <c r="A65" s="1085"/>
      <c r="B65" s="1085"/>
      <c r="C65" s="1085"/>
      <c r="D65" s="1085"/>
      <c r="E65" s="1085"/>
      <c r="F65" s="1085"/>
      <c r="G65" s="1085"/>
      <c r="H65" s="1085"/>
      <c r="I65" s="1085"/>
      <c r="J65" s="1085"/>
      <c r="K65" s="1085"/>
      <c r="L65" s="1085"/>
      <c r="M65" s="1085"/>
      <c r="N65" s="1085"/>
      <c r="O65" s="1085"/>
      <c r="P65" s="1085"/>
      <c r="Q65" s="1085"/>
      <c r="R65" s="1085"/>
      <c r="S65" s="1085"/>
      <c r="T65" s="1085"/>
      <c r="U65" s="1085"/>
      <c r="V65" s="1085"/>
      <c r="W65" s="1085"/>
      <c r="X65" s="1085"/>
      <c r="Y65" s="1085"/>
      <c r="Z65" s="1085"/>
      <c r="AA65" s="1085"/>
      <c r="AB65" s="1085"/>
      <c r="AC65" s="1085"/>
      <c r="AD65" s="1085"/>
      <c r="AE65" s="1085"/>
      <c r="AF65" s="1085"/>
      <c r="AG65" s="1085"/>
      <c r="AH65" s="1085"/>
      <c r="AI65" s="1085"/>
      <c r="AJ65" s="1085"/>
      <c r="AK65" s="1085"/>
      <c r="AL65" s="1085"/>
      <c r="AM65" s="1085"/>
      <c r="AN65" s="1085"/>
      <c r="AO65" s="1085"/>
      <c r="AP65" s="1085"/>
      <c r="AQ65" s="1085"/>
      <c r="AR65" s="1085"/>
      <c r="AS65" s="1085"/>
      <c r="AT65" s="1085"/>
      <c r="AU65" s="1085"/>
      <c r="AV65" s="1085"/>
      <c r="AW65" s="1085"/>
      <c r="AX65" s="1085"/>
      <c r="AY65" s="1085"/>
      <c r="AZ65" s="1085"/>
      <c r="BA65" s="1085"/>
      <c r="BB65" s="1085"/>
      <c r="BC65" s="1085"/>
      <c r="BD65" s="1085"/>
      <c r="BE65" s="1081"/>
    </row>
    <row r="66" spans="1:65" ht="15.75" customHeight="1">
      <c r="A66" s="1085"/>
      <c r="B66" s="1131" t="s">
        <v>2545</v>
      </c>
      <c r="C66" s="1131"/>
      <c r="D66" s="1131"/>
      <c r="E66" s="1131"/>
      <c r="F66" s="1131"/>
      <c r="G66" s="1131"/>
      <c r="H66" s="1131"/>
      <c r="I66" s="1131"/>
      <c r="J66" s="1131"/>
      <c r="K66" s="1131"/>
      <c r="L66" s="1085"/>
      <c r="M66" s="1085"/>
      <c r="N66" s="1085"/>
      <c r="O66" s="1085"/>
      <c r="P66" s="1085"/>
      <c r="Q66" s="1085"/>
      <c r="R66" s="1085"/>
      <c r="S66" s="1085"/>
      <c r="T66" s="1085"/>
      <c r="U66" s="1085"/>
      <c r="V66" s="1085"/>
      <c r="W66" s="1085"/>
      <c r="X66" s="1085"/>
      <c r="Y66" s="1085"/>
      <c r="Z66" s="1085"/>
      <c r="AA66" s="1085"/>
      <c r="AB66" s="1085"/>
      <c r="AC66" s="1085"/>
      <c r="AD66" s="1085"/>
      <c r="AE66" s="1085"/>
      <c r="AF66" s="1085"/>
      <c r="AG66" s="1085"/>
      <c r="AH66" s="1085"/>
      <c r="AI66" s="1085"/>
      <c r="AJ66" s="1085"/>
      <c r="AK66" s="1085"/>
      <c r="AL66" s="1085"/>
      <c r="AM66" s="1085"/>
      <c r="AN66" s="1085"/>
      <c r="AO66" s="1085"/>
      <c r="AP66" s="1085"/>
      <c r="AQ66" s="1085"/>
      <c r="AR66" s="1085"/>
      <c r="AS66" s="1085"/>
      <c r="AT66" s="1085"/>
      <c r="AU66" s="1085"/>
      <c r="AV66" s="1085"/>
      <c r="AW66" s="1085"/>
      <c r="AX66" s="1085"/>
      <c r="AY66" s="1085"/>
      <c r="AZ66" s="1085"/>
      <c r="BA66" s="1085"/>
      <c r="BB66" s="1085"/>
      <c r="BC66" s="1085"/>
      <c r="BD66" s="1085"/>
      <c r="BE66" s="1081"/>
    </row>
    <row r="67" spans="1:65" ht="15.75" customHeight="1" thickBot="1">
      <c r="A67" s="1085"/>
      <c r="B67" s="1085"/>
      <c r="C67" s="1085"/>
      <c r="D67" s="1085"/>
      <c r="E67" s="1085"/>
      <c r="F67" s="1085"/>
      <c r="G67" s="1085"/>
      <c r="H67" s="1085"/>
      <c r="I67" s="1085"/>
      <c r="J67" s="1085"/>
      <c r="K67" s="1085"/>
      <c r="L67" s="1085"/>
      <c r="M67" s="1085"/>
      <c r="N67" s="1085"/>
      <c r="O67" s="1085"/>
      <c r="P67" s="1085"/>
      <c r="Q67" s="1085"/>
      <c r="R67" s="1085"/>
      <c r="S67" s="1085"/>
      <c r="T67" s="1085"/>
      <c r="U67" s="1085"/>
      <c r="V67" s="1085"/>
      <c r="W67" s="1085"/>
      <c r="X67" s="1085"/>
      <c r="Y67" s="1085"/>
      <c r="Z67" s="1085"/>
      <c r="AA67" s="1085"/>
      <c r="AB67" s="1085"/>
      <c r="AC67" s="1085"/>
      <c r="AD67" s="1085"/>
      <c r="AE67" s="1085"/>
      <c r="AF67" s="1085"/>
      <c r="AG67" s="1085"/>
      <c r="AH67" s="1085"/>
      <c r="AI67" s="1085"/>
      <c r="AJ67" s="1085"/>
      <c r="AK67" s="1085"/>
      <c r="AL67" s="1085"/>
      <c r="AM67" s="1085"/>
      <c r="AN67" s="1085"/>
      <c r="AO67" s="1085"/>
      <c r="AP67" s="1085"/>
      <c r="AQ67" s="1085"/>
      <c r="AR67" s="1085"/>
      <c r="AS67" s="1085"/>
      <c r="AT67" s="1085"/>
      <c r="AU67" s="1085"/>
      <c r="AV67" s="1085"/>
      <c r="AW67" s="1085"/>
      <c r="AX67" s="1085"/>
      <c r="AY67" s="1085"/>
      <c r="AZ67" s="1085"/>
      <c r="BA67" s="1085"/>
      <c r="BB67" s="1085"/>
      <c r="BC67" s="1085"/>
      <c r="BD67" s="1085"/>
      <c r="BE67" s="1081"/>
    </row>
    <row r="68" spans="1:65" ht="15.75" customHeight="1" thickBot="1">
      <c r="A68" s="1085"/>
      <c r="B68" s="2351" t="s">
        <v>2546</v>
      </c>
      <c r="C68" s="2352"/>
      <c r="D68" s="2352"/>
      <c r="E68" s="2352"/>
      <c r="F68" s="2352"/>
      <c r="G68" s="2352"/>
      <c r="H68" s="2352"/>
      <c r="I68" s="2352"/>
      <c r="J68" s="2352"/>
      <c r="K68" s="2352"/>
      <c r="L68" s="2352"/>
      <c r="M68" s="2352"/>
      <c r="N68" s="2352"/>
      <c r="O68" s="2352"/>
      <c r="P68" s="2352"/>
      <c r="Q68" s="2352"/>
      <c r="R68" s="2352"/>
      <c r="S68" s="2352"/>
      <c r="T68" s="2352"/>
      <c r="U68" s="2352"/>
      <c r="V68" s="2352"/>
      <c r="W68" s="2352"/>
      <c r="X68" s="2352"/>
      <c r="Y68" s="2352"/>
      <c r="Z68" s="2352"/>
      <c r="AA68" s="2353"/>
      <c r="AB68" s="1085"/>
      <c r="AC68" s="2103" t="s">
        <v>2547</v>
      </c>
      <c r="AD68" s="2104"/>
      <c r="AE68" s="2104"/>
      <c r="AF68" s="2104"/>
      <c r="AG68" s="2104"/>
      <c r="AH68" s="2104"/>
      <c r="AI68" s="2104"/>
      <c r="AJ68" s="2104"/>
      <c r="AK68" s="2104"/>
      <c r="AL68" s="2104"/>
      <c r="AM68" s="2104"/>
      <c r="AN68" s="2104"/>
      <c r="AO68" s="2104"/>
      <c r="AP68" s="2104"/>
      <c r="AQ68" s="2104"/>
      <c r="AR68" s="2104"/>
      <c r="AS68" s="2104"/>
      <c r="AT68" s="2104"/>
      <c r="AU68" s="2104"/>
      <c r="AV68" s="2154" t="s">
        <v>892</v>
      </c>
      <c r="AW68" s="2155"/>
      <c r="AX68" s="2155"/>
      <c r="AY68" s="2155"/>
      <c r="AZ68" s="2155"/>
      <c r="BA68" s="2155"/>
      <c r="BB68" s="2155"/>
      <c r="BC68" s="2156"/>
      <c r="BD68" s="1085"/>
      <c r="BE68" s="1081"/>
      <c r="BM68" s="1130" t="s">
        <v>2548</v>
      </c>
    </row>
    <row r="69" spans="1:65" ht="15.75" customHeight="1" thickTop="1" thickBot="1">
      <c r="A69" s="1085"/>
      <c r="B69" s="2157" t="s">
        <v>2549</v>
      </c>
      <c r="C69" s="2158"/>
      <c r="D69" s="2158"/>
      <c r="E69" s="2158"/>
      <c r="F69" s="2158"/>
      <c r="G69" s="2158"/>
      <c r="H69" s="2158"/>
      <c r="I69" s="2158"/>
      <c r="J69" s="2158"/>
      <c r="K69" s="2158"/>
      <c r="L69" s="2158"/>
      <c r="M69" s="2158"/>
      <c r="N69" s="2158"/>
      <c r="O69" s="2159" t="s">
        <v>2550</v>
      </c>
      <c r="P69" s="2160"/>
      <c r="Q69" s="2160"/>
      <c r="R69" s="2160"/>
      <c r="S69" s="2160"/>
      <c r="T69" s="2160"/>
      <c r="U69" s="2160"/>
      <c r="V69" s="2160"/>
      <c r="W69" s="2160"/>
      <c r="X69" s="2160"/>
      <c r="Y69" s="2160"/>
      <c r="Z69" s="2160"/>
      <c r="AA69" s="2161"/>
      <c r="AB69" s="1085"/>
      <c r="AC69" s="2162" t="s">
        <v>2551</v>
      </c>
      <c r="AD69" s="2163"/>
      <c r="AE69" s="2163"/>
      <c r="AF69" s="2163"/>
      <c r="AG69" s="2163"/>
      <c r="AH69" s="2163"/>
      <c r="AI69" s="2163"/>
      <c r="AJ69" s="2163"/>
      <c r="AK69" s="2163"/>
      <c r="AL69" s="2163"/>
      <c r="AM69" s="2163"/>
      <c r="AN69" s="2163"/>
      <c r="AO69" s="2163"/>
      <c r="AP69" s="2163"/>
      <c r="AQ69" s="2163"/>
      <c r="AR69" s="2163"/>
      <c r="AS69" s="2163"/>
      <c r="AT69" s="2163"/>
      <c r="AU69" s="2163"/>
      <c r="AV69" s="2164"/>
      <c r="AW69" s="2165"/>
      <c r="AX69" s="2165"/>
      <c r="AY69" s="2165"/>
      <c r="AZ69" s="2165"/>
      <c r="BA69" s="2165"/>
      <c r="BB69" s="2165"/>
      <c r="BC69" s="2166"/>
      <c r="BD69" s="1085"/>
      <c r="BE69" s="1081"/>
      <c r="BM69" s="1129" t="s">
        <v>836</v>
      </c>
    </row>
    <row r="70" spans="1:65" ht="15.75" customHeight="1">
      <c r="A70" s="1085"/>
      <c r="B70" s="2167" t="s">
        <v>2552</v>
      </c>
      <c r="C70" s="2168"/>
      <c r="D70" s="2168"/>
      <c r="E70" s="2168"/>
      <c r="F70" s="2168"/>
      <c r="G70" s="2168"/>
      <c r="H70" s="2168"/>
      <c r="I70" s="2168"/>
      <c r="J70" s="2168"/>
      <c r="K70" s="2168"/>
      <c r="L70" s="2168"/>
      <c r="M70" s="2168"/>
      <c r="N70" s="2168"/>
      <c r="O70" s="2132">
        <v>0</v>
      </c>
      <c r="P70" s="2132"/>
      <c r="Q70" s="2132"/>
      <c r="R70" s="2132"/>
      <c r="S70" s="2132"/>
      <c r="T70" s="2132"/>
      <c r="U70" s="2132"/>
      <c r="V70" s="2132"/>
      <c r="W70" s="2132"/>
      <c r="X70" s="2132"/>
      <c r="Y70" s="2132"/>
      <c r="Z70" s="2132"/>
      <c r="AA70" s="2133"/>
      <c r="AB70" s="1085"/>
      <c r="AC70" s="2340" t="s">
        <v>2553</v>
      </c>
      <c r="AD70" s="2136"/>
      <c r="AE70" s="2136"/>
      <c r="AF70" s="2365"/>
      <c r="AG70" s="2365"/>
      <c r="AH70" s="2365"/>
      <c r="AI70" s="2365"/>
      <c r="AJ70" s="2365"/>
      <c r="AK70" s="2365"/>
      <c r="AL70" s="2365"/>
      <c r="AM70" s="2365"/>
      <c r="AN70" s="2365"/>
      <c r="AO70" s="2365"/>
      <c r="AP70" s="2365"/>
      <c r="AQ70" s="2365"/>
      <c r="AR70" s="2365"/>
      <c r="AS70" s="2365"/>
      <c r="AT70" s="2365"/>
      <c r="AU70" s="2366"/>
      <c r="AV70" s="1085"/>
      <c r="AW70" s="1085"/>
      <c r="AX70" s="1085"/>
      <c r="AY70" s="1085"/>
      <c r="AZ70" s="1085"/>
      <c r="BA70" s="1085"/>
      <c r="BB70" s="1085"/>
      <c r="BC70" s="1085"/>
      <c r="BD70" s="1085"/>
      <c r="BE70" s="1081"/>
      <c r="BM70" s="1128" t="s">
        <v>892</v>
      </c>
    </row>
    <row r="71" spans="1:65" ht="15.75" customHeight="1" thickBot="1">
      <c r="A71" s="1085"/>
      <c r="B71" s="2167" t="s">
        <v>2554</v>
      </c>
      <c r="C71" s="2168"/>
      <c r="D71" s="2168"/>
      <c r="E71" s="2168"/>
      <c r="F71" s="2168"/>
      <c r="G71" s="2168"/>
      <c r="H71" s="2168"/>
      <c r="I71" s="2168"/>
      <c r="J71" s="2168"/>
      <c r="K71" s="2168"/>
      <c r="L71" s="2168"/>
      <c r="M71" s="2168"/>
      <c r="N71" s="2168"/>
      <c r="O71" s="2132">
        <v>0</v>
      </c>
      <c r="P71" s="2132"/>
      <c r="Q71" s="2132"/>
      <c r="R71" s="2132"/>
      <c r="S71" s="2132"/>
      <c r="T71" s="2132"/>
      <c r="U71" s="2132"/>
      <c r="V71" s="2132"/>
      <c r="W71" s="2132"/>
      <c r="X71" s="2132"/>
      <c r="Y71" s="2132"/>
      <c r="Z71" s="2132"/>
      <c r="AA71" s="2133"/>
      <c r="AB71" s="1085"/>
      <c r="AC71" s="2367" t="s">
        <v>2555</v>
      </c>
      <c r="AD71" s="2368"/>
      <c r="AE71" s="2368"/>
      <c r="AF71" s="2369"/>
      <c r="AG71" s="2369"/>
      <c r="AH71" s="2369"/>
      <c r="AI71" s="2369"/>
      <c r="AJ71" s="2369"/>
      <c r="AK71" s="2369"/>
      <c r="AL71" s="2369"/>
      <c r="AM71" s="2369"/>
      <c r="AN71" s="2369"/>
      <c r="AO71" s="2369"/>
      <c r="AP71" s="2369"/>
      <c r="AQ71" s="2369"/>
      <c r="AR71" s="2369"/>
      <c r="AS71" s="2369"/>
      <c r="AT71" s="2369"/>
      <c r="AU71" s="2370"/>
      <c r="AV71" s="1085"/>
      <c r="AW71" s="1085"/>
      <c r="AX71" s="1085"/>
      <c r="AY71" s="1085"/>
      <c r="AZ71" s="1085"/>
      <c r="BA71" s="1085"/>
      <c r="BB71" s="1085"/>
      <c r="BC71" s="1085"/>
      <c r="BD71" s="1085"/>
      <c r="BE71" s="1081"/>
      <c r="BM71" s="1076" t="s">
        <v>2556</v>
      </c>
    </row>
    <row r="72" spans="1:65" ht="15.75" customHeight="1">
      <c r="A72" s="1085"/>
      <c r="B72" s="2167" t="s">
        <v>2557</v>
      </c>
      <c r="C72" s="2168"/>
      <c r="D72" s="2168"/>
      <c r="E72" s="2168"/>
      <c r="F72" s="2168"/>
      <c r="G72" s="2168"/>
      <c r="H72" s="2168"/>
      <c r="I72" s="2168"/>
      <c r="J72" s="2168"/>
      <c r="K72" s="2168"/>
      <c r="L72" s="2168"/>
      <c r="M72" s="2168"/>
      <c r="N72" s="2168"/>
      <c r="O72" s="2132">
        <v>0</v>
      </c>
      <c r="P72" s="2132"/>
      <c r="Q72" s="2132"/>
      <c r="R72" s="2132"/>
      <c r="S72" s="2132"/>
      <c r="T72" s="2132"/>
      <c r="U72" s="2132"/>
      <c r="V72" s="2132"/>
      <c r="W72" s="2132"/>
      <c r="X72" s="2132"/>
      <c r="Y72" s="2132"/>
      <c r="Z72" s="2132"/>
      <c r="AA72" s="2133"/>
      <c r="AB72" s="1085"/>
      <c r="AC72" s="2134" t="s">
        <v>2558</v>
      </c>
      <c r="AD72" s="2135"/>
      <c r="AE72" s="2135"/>
      <c r="AF72" s="2135"/>
      <c r="AG72" s="2135"/>
      <c r="AH72" s="2135"/>
      <c r="AI72" s="2135"/>
      <c r="AJ72" s="2135"/>
      <c r="AK72" s="2135"/>
      <c r="AL72" s="2135"/>
      <c r="AM72" s="2135"/>
      <c r="AN72" s="2135"/>
      <c r="AO72" s="2135"/>
      <c r="AP72" s="2135"/>
      <c r="AQ72" s="2135"/>
      <c r="AR72" s="2135"/>
      <c r="AS72" s="2135"/>
      <c r="AT72" s="2135"/>
      <c r="AU72" s="2135"/>
      <c r="AV72" s="2136"/>
      <c r="AW72" s="2136"/>
      <c r="AX72" s="2136"/>
      <c r="AY72" s="2136"/>
      <c r="AZ72" s="2136"/>
      <c r="BA72" s="2136"/>
      <c r="BB72" s="2136"/>
      <c r="BC72" s="2137"/>
      <c r="BD72" s="1085"/>
      <c r="BE72" s="1081"/>
    </row>
    <row r="73" spans="1:65" ht="15.75" customHeight="1">
      <c r="A73" s="1085"/>
      <c r="B73" s="2138" t="s">
        <v>2559</v>
      </c>
      <c r="C73" s="2139"/>
      <c r="D73" s="2139"/>
      <c r="E73" s="2139"/>
      <c r="F73" s="2139"/>
      <c r="G73" s="2139"/>
      <c r="H73" s="2139"/>
      <c r="I73" s="2139"/>
      <c r="J73" s="2139"/>
      <c r="K73" s="2139"/>
      <c r="L73" s="2139"/>
      <c r="M73" s="2139"/>
      <c r="N73" s="2139"/>
      <c r="O73" s="2132">
        <v>0</v>
      </c>
      <c r="P73" s="2132"/>
      <c r="Q73" s="2132"/>
      <c r="R73" s="2132"/>
      <c r="S73" s="2132"/>
      <c r="T73" s="2132"/>
      <c r="U73" s="2132"/>
      <c r="V73" s="2132"/>
      <c r="W73" s="2132"/>
      <c r="X73" s="2132"/>
      <c r="Y73" s="2132"/>
      <c r="Z73" s="2132"/>
      <c r="AA73" s="2133"/>
      <c r="AB73" s="1085"/>
      <c r="AC73" s="2322" t="s">
        <v>2560</v>
      </c>
      <c r="AD73" s="2323"/>
      <c r="AE73" s="2323"/>
      <c r="AF73" s="2323"/>
      <c r="AG73" s="2323"/>
      <c r="AH73" s="2323"/>
      <c r="AI73" s="2323"/>
      <c r="AJ73" s="2323"/>
      <c r="AK73" s="2323"/>
      <c r="AL73" s="2323"/>
      <c r="AM73" s="2323"/>
      <c r="AN73" s="2323"/>
      <c r="AO73" s="2323"/>
      <c r="AP73" s="2323"/>
      <c r="AQ73" s="2323"/>
      <c r="AR73" s="2323"/>
      <c r="AS73" s="2323"/>
      <c r="AT73" s="2323"/>
      <c r="AU73" s="2323"/>
      <c r="AV73" s="2323"/>
      <c r="AW73" s="2323"/>
      <c r="AX73" s="2323"/>
      <c r="AY73" s="2323"/>
      <c r="AZ73" s="2323"/>
      <c r="BA73" s="2323"/>
      <c r="BB73" s="2323"/>
      <c r="BC73" s="2324"/>
      <c r="BD73" s="1085"/>
      <c r="BE73" s="1081"/>
    </row>
    <row r="74" spans="1:65" ht="15.75" customHeight="1">
      <c r="A74" s="1085"/>
      <c r="B74" s="2271"/>
      <c r="C74" s="2272"/>
      <c r="D74" s="2272"/>
      <c r="E74" s="2272"/>
      <c r="F74" s="2272"/>
      <c r="G74" s="2272"/>
      <c r="H74" s="2272"/>
      <c r="I74" s="2272"/>
      <c r="J74" s="2272"/>
      <c r="K74" s="2272"/>
      <c r="L74" s="2272"/>
      <c r="M74" s="2272"/>
      <c r="N74" s="2272"/>
      <c r="O74" s="2132"/>
      <c r="P74" s="2132"/>
      <c r="Q74" s="2132"/>
      <c r="R74" s="2132"/>
      <c r="S74" s="2132"/>
      <c r="T74" s="2132"/>
      <c r="U74" s="2132"/>
      <c r="V74" s="2132"/>
      <c r="W74" s="2132"/>
      <c r="X74" s="2132"/>
      <c r="Y74" s="2132"/>
      <c r="Z74" s="2132"/>
      <c r="AA74" s="2133"/>
      <c r="AB74" s="1085"/>
      <c r="AC74" s="2322"/>
      <c r="AD74" s="2323"/>
      <c r="AE74" s="2323"/>
      <c r="AF74" s="2323"/>
      <c r="AG74" s="2323"/>
      <c r="AH74" s="2323"/>
      <c r="AI74" s="2323"/>
      <c r="AJ74" s="2323"/>
      <c r="AK74" s="2323"/>
      <c r="AL74" s="2323"/>
      <c r="AM74" s="2323"/>
      <c r="AN74" s="2323"/>
      <c r="AO74" s="2323"/>
      <c r="AP74" s="2323"/>
      <c r="AQ74" s="2323"/>
      <c r="AR74" s="2323"/>
      <c r="AS74" s="2323"/>
      <c r="AT74" s="2323"/>
      <c r="AU74" s="2323"/>
      <c r="AV74" s="2323"/>
      <c r="AW74" s="2323"/>
      <c r="AX74" s="2323"/>
      <c r="AY74" s="2323"/>
      <c r="AZ74" s="2323"/>
      <c r="BA74" s="2323"/>
      <c r="BB74" s="2323"/>
      <c r="BC74" s="2324"/>
      <c r="BD74" s="1085"/>
      <c r="BE74" s="1081"/>
    </row>
    <row r="75" spans="1:65" ht="15.75" customHeight="1" thickBot="1">
      <c r="A75" s="1085"/>
      <c r="B75" s="2363" t="s">
        <v>1567</v>
      </c>
      <c r="C75" s="2364"/>
      <c r="D75" s="2364"/>
      <c r="E75" s="2364"/>
      <c r="F75" s="2364"/>
      <c r="G75" s="2364"/>
      <c r="H75" s="2364"/>
      <c r="I75" s="2364"/>
      <c r="J75" s="2364"/>
      <c r="K75" s="2364"/>
      <c r="L75" s="2364"/>
      <c r="M75" s="2364"/>
      <c r="N75" s="2364"/>
      <c r="O75" s="2140">
        <f>SUM(O70:AA74)</f>
        <v>0</v>
      </c>
      <c r="P75" s="2140"/>
      <c r="Q75" s="2140"/>
      <c r="R75" s="2140"/>
      <c r="S75" s="2140"/>
      <c r="T75" s="2140"/>
      <c r="U75" s="2140"/>
      <c r="V75" s="2140"/>
      <c r="W75" s="2140"/>
      <c r="X75" s="2140"/>
      <c r="Y75" s="2140"/>
      <c r="Z75" s="2140"/>
      <c r="AA75" s="2141"/>
      <c r="AB75" s="1085"/>
      <c r="AC75" s="2322"/>
      <c r="AD75" s="2323"/>
      <c r="AE75" s="2323"/>
      <c r="AF75" s="2323"/>
      <c r="AG75" s="2323"/>
      <c r="AH75" s="2323"/>
      <c r="AI75" s="2323"/>
      <c r="AJ75" s="2323"/>
      <c r="AK75" s="2323"/>
      <c r="AL75" s="2323"/>
      <c r="AM75" s="2323"/>
      <c r="AN75" s="2323"/>
      <c r="AO75" s="2323"/>
      <c r="AP75" s="2323"/>
      <c r="AQ75" s="2323"/>
      <c r="AR75" s="2323"/>
      <c r="AS75" s="2323"/>
      <c r="AT75" s="2323"/>
      <c r="AU75" s="2323"/>
      <c r="AV75" s="2323"/>
      <c r="AW75" s="2323"/>
      <c r="AX75" s="2323"/>
      <c r="AY75" s="2323"/>
      <c r="AZ75" s="2323"/>
      <c r="BA75" s="2323"/>
      <c r="BB75" s="2323"/>
      <c r="BC75" s="2324"/>
      <c r="BD75" s="1085"/>
      <c r="BE75" s="1081"/>
    </row>
    <row r="76" spans="1:65" ht="15.75" customHeight="1">
      <c r="A76" s="1085"/>
      <c r="B76" s="1085"/>
      <c r="C76" s="1085"/>
      <c r="D76" s="1085"/>
      <c r="E76" s="1085"/>
      <c r="F76" s="1085"/>
      <c r="G76" s="1085"/>
      <c r="H76" s="1085"/>
      <c r="I76" s="1085"/>
      <c r="J76" s="1085"/>
      <c r="K76" s="1085"/>
      <c r="L76" s="1085"/>
      <c r="M76" s="1085"/>
      <c r="N76" s="1085"/>
      <c r="O76" s="1085"/>
      <c r="P76" s="1085"/>
      <c r="Q76" s="1085"/>
      <c r="R76" s="1085"/>
      <c r="S76" s="1085"/>
      <c r="T76" s="1085"/>
      <c r="U76" s="1085"/>
      <c r="V76" s="1085"/>
      <c r="W76" s="1085"/>
      <c r="X76" s="1085"/>
      <c r="Y76" s="1085"/>
      <c r="Z76" s="1085"/>
      <c r="AA76" s="1085"/>
      <c r="AB76" s="1085"/>
      <c r="AC76" s="2322"/>
      <c r="AD76" s="2323"/>
      <c r="AE76" s="2323"/>
      <c r="AF76" s="2323"/>
      <c r="AG76" s="2323"/>
      <c r="AH76" s="2323"/>
      <c r="AI76" s="2323"/>
      <c r="AJ76" s="2323"/>
      <c r="AK76" s="2323"/>
      <c r="AL76" s="2323"/>
      <c r="AM76" s="2323"/>
      <c r="AN76" s="2323"/>
      <c r="AO76" s="2323"/>
      <c r="AP76" s="2323"/>
      <c r="AQ76" s="2323"/>
      <c r="AR76" s="2323"/>
      <c r="AS76" s="2323"/>
      <c r="AT76" s="2323"/>
      <c r="AU76" s="2323"/>
      <c r="AV76" s="2323"/>
      <c r="AW76" s="2323"/>
      <c r="AX76" s="2323"/>
      <c r="AY76" s="2323"/>
      <c r="AZ76" s="2323"/>
      <c r="BA76" s="2323"/>
      <c r="BB76" s="2323"/>
      <c r="BC76" s="2324"/>
      <c r="BD76" s="1085"/>
      <c r="BE76" s="1081"/>
    </row>
    <row r="77" spans="1:65" ht="15.75" customHeight="1" thickBot="1">
      <c r="A77" s="1085"/>
      <c r="B77" s="1085"/>
      <c r="C77" s="1085"/>
      <c r="D77" s="1085"/>
      <c r="E77" s="1085"/>
      <c r="F77" s="1085"/>
      <c r="G77" s="1085"/>
      <c r="H77" s="1085"/>
      <c r="I77" s="1085"/>
      <c r="J77" s="1085"/>
      <c r="K77" s="1085"/>
      <c r="L77" s="1085"/>
      <c r="M77" s="1085"/>
      <c r="N77" s="1085"/>
      <c r="O77" s="1085"/>
      <c r="P77" s="1085"/>
      <c r="Q77" s="1085"/>
      <c r="R77" s="1085"/>
      <c r="S77" s="1085"/>
      <c r="T77" s="1085"/>
      <c r="U77" s="1085"/>
      <c r="V77" s="1085"/>
      <c r="W77" s="1085"/>
      <c r="X77" s="1085"/>
      <c r="Y77" s="1085"/>
      <c r="Z77" s="1085"/>
      <c r="AA77" s="1085"/>
      <c r="AB77" s="1085"/>
      <c r="AC77" s="2325"/>
      <c r="AD77" s="2326"/>
      <c r="AE77" s="2326"/>
      <c r="AF77" s="2326"/>
      <c r="AG77" s="2326"/>
      <c r="AH77" s="2326"/>
      <c r="AI77" s="2326"/>
      <c r="AJ77" s="2326"/>
      <c r="AK77" s="2326"/>
      <c r="AL77" s="2326"/>
      <c r="AM77" s="2326"/>
      <c r="AN77" s="2326"/>
      <c r="AO77" s="2326"/>
      <c r="AP77" s="2326"/>
      <c r="AQ77" s="2326"/>
      <c r="AR77" s="2326"/>
      <c r="AS77" s="2326"/>
      <c r="AT77" s="2326"/>
      <c r="AU77" s="2326"/>
      <c r="AV77" s="2326"/>
      <c r="AW77" s="2326"/>
      <c r="AX77" s="2326"/>
      <c r="AY77" s="2326"/>
      <c r="AZ77" s="2326"/>
      <c r="BA77" s="2326"/>
      <c r="BB77" s="2326"/>
      <c r="BC77" s="2327"/>
      <c r="BD77" s="1085"/>
      <c r="BE77" s="1081"/>
    </row>
    <row r="78" spans="1:65" ht="15.75" customHeight="1" thickBot="1">
      <c r="A78" s="1085"/>
      <c r="B78" s="1116" t="s">
        <v>2561</v>
      </c>
      <c r="C78" s="1122"/>
      <c r="D78" s="1122"/>
      <c r="E78" s="1122"/>
      <c r="F78" s="1122"/>
      <c r="G78" s="1122"/>
      <c r="H78" s="1122"/>
      <c r="I78" s="1122"/>
      <c r="J78" s="1122"/>
      <c r="K78" s="1122"/>
      <c r="L78" s="1122"/>
      <c r="M78" s="1122"/>
      <c r="N78" s="1122"/>
      <c r="O78" s="1122"/>
      <c r="P78" s="1122"/>
      <c r="Q78" s="1121"/>
      <c r="R78" s="1085"/>
      <c r="S78" s="1085"/>
      <c r="T78" s="1085"/>
      <c r="U78" s="1085"/>
      <c r="V78" s="1085"/>
      <c r="W78" s="1085"/>
      <c r="X78" s="1085"/>
      <c r="Y78" s="1085"/>
      <c r="Z78" s="1085"/>
      <c r="AA78" s="1085"/>
      <c r="AB78" s="1085"/>
      <c r="AC78" s="1085"/>
      <c r="AD78" s="1085"/>
      <c r="AE78" s="1085"/>
      <c r="AF78" s="1085"/>
      <c r="AG78" s="1085"/>
      <c r="AH78" s="1085"/>
      <c r="AI78" s="1085"/>
      <c r="AJ78" s="1085"/>
      <c r="AK78" s="1085"/>
      <c r="AL78" s="1085"/>
      <c r="AM78" s="1085"/>
      <c r="AN78" s="1085"/>
      <c r="AO78" s="1085"/>
      <c r="AP78" s="1085"/>
      <c r="AQ78" s="1085"/>
      <c r="AR78" s="1085"/>
      <c r="AS78" s="1085"/>
      <c r="AT78" s="1085"/>
      <c r="AU78" s="1085"/>
      <c r="AV78" s="1085"/>
      <c r="AW78" s="1085"/>
      <c r="AX78" s="1085"/>
      <c r="AY78" s="1085"/>
      <c r="AZ78" s="1085"/>
      <c r="BA78" s="1085"/>
      <c r="BB78" s="1085"/>
      <c r="BC78" s="1085"/>
      <c r="BD78" s="1085"/>
      <c r="BE78" s="1081"/>
    </row>
    <row r="79" spans="1:65" ht="15.75" customHeight="1">
      <c r="A79" s="1085"/>
      <c r="B79" s="1116" t="s">
        <v>2562</v>
      </c>
      <c r="C79" s="1115"/>
      <c r="D79" s="1115"/>
      <c r="E79" s="1127"/>
      <c r="F79" s="2152"/>
      <c r="G79" s="2153"/>
      <c r="H79" s="2153"/>
      <c r="I79" s="2153"/>
      <c r="J79" s="2153"/>
      <c r="K79" s="2153"/>
      <c r="L79" s="2153"/>
      <c r="M79" s="2120"/>
      <c r="N79" s="2120"/>
      <c r="O79" s="2120"/>
      <c r="P79" s="2120"/>
      <c r="Q79" s="2121"/>
      <c r="R79" s="1085"/>
      <c r="S79" s="1085"/>
      <c r="T79" s="1085"/>
      <c r="U79" s="1085"/>
      <c r="V79" s="1085"/>
      <c r="W79" s="1085"/>
      <c r="X79" s="1085"/>
      <c r="Y79" s="1085"/>
      <c r="Z79" s="1085"/>
      <c r="AA79" s="1085"/>
      <c r="AB79" s="1085"/>
      <c r="AC79" s="1085"/>
      <c r="AD79" s="1085"/>
      <c r="AE79" s="1085"/>
      <c r="AF79" s="1085"/>
      <c r="AG79" s="1085"/>
      <c r="AH79" s="1085"/>
      <c r="AI79" s="1085"/>
      <c r="AJ79" s="1085"/>
      <c r="AK79" s="1085"/>
      <c r="AL79" s="1085"/>
      <c r="AM79" s="1085"/>
      <c r="AN79" s="1085"/>
      <c r="AO79" s="1085"/>
      <c r="AP79" s="1085"/>
      <c r="AQ79" s="1085"/>
      <c r="AR79" s="1085"/>
      <c r="AS79" s="1085"/>
      <c r="AT79" s="1085"/>
      <c r="AU79" s="1085"/>
      <c r="AV79" s="1085"/>
      <c r="AW79" s="1085"/>
      <c r="AX79" s="1085"/>
      <c r="AY79" s="1085"/>
      <c r="AZ79" s="1085"/>
      <c r="BA79" s="1085"/>
      <c r="BB79" s="1085"/>
      <c r="BC79" s="1085"/>
      <c r="BD79" s="1085"/>
      <c r="BE79" s="1081"/>
    </row>
    <row r="80" spans="1:65" ht="15.75" customHeight="1" thickBot="1">
      <c r="A80" s="1085"/>
      <c r="B80" s="1120" t="s">
        <v>2563</v>
      </c>
      <c r="C80" s="1119"/>
      <c r="D80" s="1118"/>
      <c r="E80" s="1118"/>
      <c r="F80" s="1118"/>
      <c r="G80" s="1118"/>
      <c r="H80" s="1118"/>
      <c r="I80" s="1118"/>
      <c r="J80" s="1118"/>
      <c r="K80" s="1118"/>
      <c r="L80" s="1117"/>
      <c r="M80" s="1118"/>
      <c r="N80" s="1117"/>
      <c r="O80" s="2125" t="e">
        <f>BR96/SUM($BR$96:$BR$98)</f>
        <v>#DIV/0!</v>
      </c>
      <c r="P80" s="2126"/>
      <c r="Q80" s="2127"/>
      <c r="R80" s="1085"/>
      <c r="S80" s="1085"/>
      <c r="T80" s="1085"/>
      <c r="U80" s="1085"/>
      <c r="V80" s="1085"/>
      <c r="W80" s="1085"/>
      <c r="X80" s="1085"/>
      <c r="Y80" s="1085"/>
      <c r="Z80" s="1085"/>
      <c r="AA80" s="1085"/>
      <c r="AB80" s="1085"/>
      <c r="AC80" s="1085"/>
      <c r="AD80" s="1085"/>
      <c r="AE80" s="1085"/>
      <c r="AF80" s="1085"/>
      <c r="AG80" s="1085"/>
      <c r="AH80" s="1085"/>
      <c r="AI80" s="1085"/>
      <c r="AJ80" s="1085"/>
      <c r="AK80" s="1085"/>
      <c r="AL80" s="1085"/>
      <c r="AM80" s="1085"/>
      <c r="AN80" s="1085"/>
      <c r="AO80" s="1085"/>
      <c r="AP80" s="1085"/>
      <c r="AQ80" s="1085"/>
      <c r="AR80" s="1085"/>
      <c r="AS80" s="1085"/>
      <c r="AT80" s="1085"/>
      <c r="AU80" s="1085"/>
      <c r="AV80" s="1085"/>
      <c r="AW80" s="1085"/>
      <c r="AX80" s="1085"/>
      <c r="AY80" s="1085"/>
      <c r="AZ80" s="1085"/>
      <c r="BA80" s="1085"/>
      <c r="BB80" s="1085"/>
      <c r="BC80" s="1085"/>
      <c r="BD80" s="1085"/>
      <c r="BE80" s="1081"/>
    </row>
    <row r="81" spans="1:70" ht="15.75" customHeight="1" thickBot="1">
      <c r="A81" s="1085"/>
      <c r="B81" s="1120" t="s">
        <v>2564</v>
      </c>
      <c r="C81" s="1123"/>
      <c r="D81" s="1105"/>
      <c r="E81" s="1105"/>
      <c r="F81" s="1105"/>
      <c r="G81" s="1105"/>
      <c r="H81" s="1105"/>
      <c r="I81" s="1105"/>
      <c r="J81" s="1105"/>
      <c r="K81" s="1105"/>
      <c r="L81" s="1105"/>
      <c r="M81" s="1105"/>
      <c r="N81" s="1125"/>
      <c r="O81" s="2116" t="s">
        <v>2353</v>
      </c>
      <c r="P81" s="2117"/>
      <c r="Q81" s="2118"/>
      <c r="R81" s="1085"/>
      <c r="S81" s="1085"/>
      <c r="T81" s="1085"/>
      <c r="U81" s="1085"/>
      <c r="V81" s="1085"/>
      <c r="W81" s="1085"/>
      <c r="X81" s="1085"/>
      <c r="Y81" s="1085"/>
      <c r="Z81" s="1085"/>
      <c r="AA81" s="1085"/>
      <c r="AB81" s="1085"/>
      <c r="AC81" s="1085"/>
      <c r="AD81" s="1085"/>
      <c r="AE81" s="1085"/>
      <c r="AF81" s="1085"/>
      <c r="AG81" s="1085"/>
      <c r="AH81" s="1085"/>
      <c r="AI81" s="1085"/>
      <c r="AJ81" s="1085"/>
      <c r="AK81" s="1085"/>
      <c r="AL81" s="1085"/>
      <c r="AM81" s="1085"/>
      <c r="AN81" s="1085"/>
      <c r="AO81" s="1085"/>
      <c r="AP81" s="1085"/>
      <c r="AQ81" s="1085"/>
      <c r="AR81" s="1085"/>
      <c r="AS81" s="1085"/>
      <c r="AT81" s="1085"/>
      <c r="AU81" s="1085"/>
      <c r="AV81" s="1085"/>
      <c r="AW81" s="1085"/>
      <c r="AX81" s="1085"/>
      <c r="AY81" s="1085"/>
      <c r="AZ81" s="1085"/>
      <c r="BA81" s="1085"/>
      <c r="BB81" s="1085"/>
      <c r="BC81" s="1085"/>
      <c r="BD81" s="1085"/>
      <c r="BE81" s="1081"/>
    </row>
    <row r="82" spans="1:70" ht="15.75" customHeight="1" thickBot="1">
      <c r="A82" s="1085"/>
      <c r="B82" s="1085"/>
      <c r="C82" s="1085"/>
      <c r="D82" s="1085"/>
      <c r="E82" s="1085"/>
      <c r="F82" s="1085"/>
      <c r="G82" s="1085"/>
      <c r="H82" s="1085"/>
      <c r="I82" s="1085"/>
      <c r="J82" s="1085"/>
      <c r="K82" s="1085"/>
      <c r="L82" s="1085"/>
      <c r="M82" s="1085"/>
      <c r="N82" s="1085"/>
      <c r="O82" s="1085"/>
      <c r="P82" s="1085"/>
      <c r="Q82" s="1085"/>
      <c r="R82" s="1085"/>
      <c r="S82" s="1085"/>
      <c r="T82" s="1085"/>
      <c r="U82" s="1085"/>
      <c r="V82" s="1085"/>
      <c r="W82" s="1085"/>
      <c r="X82" s="1085"/>
      <c r="Y82" s="1085"/>
      <c r="Z82" s="1085"/>
      <c r="AA82" s="1085"/>
      <c r="AB82" s="1085"/>
      <c r="AC82" s="1085"/>
      <c r="AD82" s="1085"/>
      <c r="AE82" s="1085"/>
      <c r="AF82" s="1085"/>
      <c r="AG82" s="1085"/>
      <c r="AH82" s="1085"/>
      <c r="AI82" s="1085"/>
      <c r="AJ82" s="1085"/>
      <c r="AK82" s="1085"/>
      <c r="AL82" s="1085"/>
      <c r="AM82" s="1085"/>
      <c r="AN82" s="1085"/>
      <c r="AO82" s="1085"/>
      <c r="AP82" s="1085"/>
      <c r="AQ82" s="1085"/>
      <c r="AR82" s="1085"/>
      <c r="AS82" s="1085"/>
      <c r="AT82" s="1085"/>
      <c r="AU82" s="1085"/>
      <c r="AV82" s="1085"/>
      <c r="AW82" s="1085"/>
      <c r="AX82" s="1085"/>
      <c r="AY82" s="1085"/>
      <c r="AZ82" s="1085"/>
      <c r="BA82" s="1085"/>
      <c r="BB82" s="1085"/>
      <c r="BC82" s="1085"/>
      <c r="BD82" s="1085"/>
      <c r="BE82" s="1081"/>
    </row>
    <row r="83" spans="1:70" ht="15.75" customHeight="1">
      <c r="A83" s="1085"/>
      <c r="B83" s="2502" t="s">
        <v>2565</v>
      </c>
      <c r="C83" s="2503"/>
      <c r="D83" s="2503"/>
      <c r="E83" s="2503"/>
      <c r="F83" s="2503"/>
      <c r="G83" s="2503"/>
      <c r="H83" s="2503"/>
      <c r="I83" s="2503"/>
      <c r="J83" s="2503"/>
      <c r="K83" s="2503"/>
      <c r="L83" s="2503"/>
      <c r="M83" s="2503"/>
      <c r="N83" s="2503"/>
      <c r="O83" s="2503"/>
      <c r="P83" s="2503"/>
      <c r="Q83" s="2503"/>
      <c r="R83" s="2503"/>
      <c r="S83" s="2503"/>
      <c r="T83" s="2503"/>
      <c r="U83" s="2503"/>
      <c r="V83" s="2503"/>
      <c r="W83" s="2503"/>
      <c r="X83" s="2503"/>
      <c r="Y83" s="2503"/>
      <c r="Z83" s="2503"/>
      <c r="AA83" s="2503"/>
      <c r="AB83" s="2503"/>
      <c r="AC83" s="2503"/>
      <c r="AD83" s="2503"/>
      <c r="AE83" s="2503"/>
      <c r="AF83" s="2503"/>
      <c r="AG83" s="2503"/>
      <c r="AH83" s="2504"/>
      <c r="AI83" s="1085"/>
      <c r="AJ83" s="2106" t="s">
        <v>2566</v>
      </c>
      <c r="AK83" s="2107"/>
      <c r="AL83" s="2107"/>
      <c r="AM83" s="2107"/>
      <c r="AN83" s="2107"/>
      <c r="AO83" s="2107"/>
      <c r="AP83" s="2107"/>
      <c r="AQ83" s="2107"/>
      <c r="AR83" s="2107"/>
      <c r="AS83" s="2107"/>
      <c r="AT83" s="2107"/>
      <c r="AU83" s="2107"/>
      <c r="AV83" s="2107"/>
      <c r="AW83" s="2107"/>
      <c r="AX83" s="2107"/>
      <c r="AY83" s="2128" t="s">
        <v>836</v>
      </c>
      <c r="AZ83" s="2128"/>
      <c r="BA83" s="2128"/>
      <c r="BB83" s="2129"/>
      <c r="BC83" s="1085"/>
      <c r="BD83" s="1085"/>
      <c r="BE83" s="1081"/>
    </row>
    <row r="84" spans="1:70" ht="15.75" customHeight="1">
      <c r="A84" s="1085"/>
      <c r="B84" s="2098"/>
      <c r="C84" s="2099"/>
      <c r="D84" s="2099"/>
      <c r="E84" s="2099"/>
      <c r="F84" s="2099"/>
      <c r="G84" s="2099"/>
      <c r="H84" s="2099"/>
      <c r="I84" s="2099" t="s">
        <v>2567</v>
      </c>
      <c r="J84" s="2099"/>
      <c r="K84" s="2099"/>
      <c r="L84" s="2099"/>
      <c r="M84" s="2099"/>
      <c r="N84" s="2099"/>
      <c r="O84" s="2099" t="s">
        <v>2568</v>
      </c>
      <c r="P84" s="2099"/>
      <c r="Q84" s="2099"/>
      <c r="R84" s="2099"/>
      <c r="S84" s="2099"/>
      <c r="T84" s="2099"/>
      <c r="U84" s="2099"/>
      <c r="V84" s="2100" t="s">
        <v>2569</v>
      </c>
      <c r="W84" s="2100"/>
      <c r="X84" s="2100"/>
      <c r="Y84" s="2100"/>
      <c r="Z84" s="2100"/>
      <c r="AA84" s="2100"/>
      <c r="AB84" s="2101" t="s">
        <v>2570</v>
      </c>
      <c r="AC84" s="2101"/>
      <c r="AD84" s="2101"/>
      <c r="AE84" s="2101"/>
      <c r="AF84" s="2101"/>
      <c r="AG84" s="2101"/>
      <c r="AH84" s="2102"/>
      <c r="AI84" s="1085"/>
      <c r="AJ84" s="2108"/>
      <c r="AK84" s="2109"/>
      <c r="AL84" s="2109"/>
      <c r="AM84" s="2109"/>
      <c r="AN84" s="2109"/>
      <c r="AO84" s="2109"/>
      <c r="AP84" s="2109"/>
      <c r="AQ84" s="2109"/>
      <c r="AR84" s="2109"/>
      <c r="AS84" s="2109"/>
      <c r="AT84" s="2109"/>
      <c r="AU84" s="2109"/>
      <c r="AV84" s="2109"/>
      <c r="AW84" s="2109"/>
      <c r="AX84" s="2109"/>
      <c r="AY84" s="2130"/>
      <c r="AZ84" s="2130"/>
      <c r="BA84" s="2130"/>
      <c r="BB84" s="2131"/>
      <c r="BC84" s="1085"/>
      <c r="BD84" s="1085"/>
      <c r="BE84" s="1081"/>
    </row>
    <row r="85" spans="1:70" ht="15.75" customHeight="1">
      <c r="A85" s="1085"/>
      <c r="B85" s="2098"/>
      <c r="C85" s="2099"/>
      <c r="D85" s="2099"/>
      <c r="E85" s="2099"/>
      <c r="F85" s="2099"/>
      <c r="G85" s="2099"/>
      <c r="H85" s="2099"/>
      <c r="I85" s="2099"/>
      <c r="J85" s="2099"/>
      <c r="K85" s="2099"/>
      <c r="L85" s="2099"/>
      <c r="M85" s="2099"/>
      <c r="N85" s="2099"/>
      <c r="O85" s="2099"/>
      <c r="P85" s="2099"/>
      <c r="Q85" s="2099"/>
      <c r="R85" s="2099"/>
      <c r="S85" s="2099"/>
      <c r="T85" s="2099"/>
      <c r="U85" s="2099"/>
      <c r="V85" s="2100"/>
      <c r="W85" s="2100"/>
      <c r="X85" s="2100"/>
      <c r="Y85" s="2100"/>
      <c r="Z85" s="2100"/>
      <c r="AA85" s="2100"/>
      <c r="AB85" s="2101"/>
      <c r="AC85" s="2101"/>
      <c r="AD85" s="2101"/>
      <c r="AE85" s="2101"/>
      <c r="AF85" s="2101"/>
      <c r="AG85" s="2101"/>
      <c r="AH85" s="2102"/>
      <c r="AI85" s="1085"/>
      <c r="AJ85" s="2108"/>
      <c r="AK85" s="2109"/>
      <c r="AL85" s="2109"/>
      <c r="AM85" s="2109"/>
      <c r="AN85" s="2109"/>
      <c r="AO85" s="2109"/>
      <c r="AP85" s="2109"/>
      <c r="AQ85" s="2109"/>
      <c r="AR85" s="2109"/>
      <c r="AS85" s="2109"/>
      <c r="AT85" s="2109"/>
      <c r="AU85" s="2109"/>
      <c r="AV85" s="2109"/>
      <c r="AW85" s="2109"/>
      <c r="AX85" s="2109"/>
      <c r="AY85" s="2130"/>
      <c r="AZ85" s="2130"/>
      <c r="BA85" s="2130"/>
      <c r="BB85" s="2131"/>
      <c r="BC85" s="1085"/>
      <c r="BD85" s="1085"/>
      <c r="BE85" s="1081"/>
    </row>
    <row r="86" spans="1:70" ht="15.75" customHeight="1">
      <c r="A86" s="1085"/>
      <c r="B86" s="2098" t="s">
        <v>2571</v>
      </c>
      <c r="C86" s="2099"/>
      <c r="D86" s="2099"/>
      <c r="E86" s="2099"/>
      <c r="F86" s="2099"/>
      <c r="G86" s="2099"/>
      <c r="H86" s="2099"/>
      <c r="I86" s="2096">
        <v>0</v>
      </c>
      <c r="J86" s="2096"/>
      <c r="K86" s="2096"/>
      <c r="L86" s="2096"/>
      <c r="M86" s="2096"/>
      <c r="N86" s="2096"/>
      <c r="O86" s="2096">
        <v>0</v>
      </c>
      <c r="P86" s="2096"/>
      <c r="Q86" s="2096"/>
      <c r="R86" s="2096"/>
      <c r="S86" s="2096"/>
      <c r="T86" s="2096"/>
      <c r="U86" s="2096"/>
      <c r="V86" s="2096">
        <v>0</v>
      </c>
      <c r="W86" s="2096"/>
      <c r="X86" s="2096"/>
      <c r="Y86" s="2096"/>
      <c r="Z86" s="2096"/>
      <c r="AA86" s="2096"/>
      <c r="AB86" s="2096">
        <v>0</v>
      </c>
      <c r="AC86" s="2096"/>
      <c r="AD86" s="2096"/>
      <c r="AE86" s="2096"/>
      <c r="AF86" s="2096"/>
      <c r="AG86" s="2096"/>
      <c r="AH86" s="2097"/>
      <c r="AI86" s="1085"/>
      <c r="AJ86" s="2108"/>
      <c r="AK86" s="2109"/>
      <c r="AL86" s="2109"/>
      <c r="AM86" s="2109"/>
      <c r="AN86" s="2109"/>
      <c r="AO86" s="2109"/>
      <c r="AP86" s="2109"/>
      <c r="AQ86" s="2109"/>
      <c r="AR86" s="2109"/>
      <c r="AS86" s="2109"/>
      <c r="AT86" s="2109"/>
      <c r="AU86" s="2109"/>
      <c r="AV86" s="2109"/>
      <c r="AW86" s="2109"/>
      <c r="AX86" s="2109"/>
      <c r="AY86" s="2130"/>
      <c r="AZ86" s="2130"/>
      <c r="BA86" s="2130"/>
      <c r="BB86" s="2131"/>
      <c r="BC86" s="1085"/>
      <c r="BD86" s="1085"/>
      <c r="BE86" s="1081"/>
    </row>
    <row r="87" spans="1:70" ht="15.75" customHeight="1">
      <c r="A87" s="1085"/>
      <c r="B87" s="2098" t="s">
        <v>2572</v>
      </c>
      <c r="C87" s="2099"/>
      <c r="D87" s="2099"/>
      <c r="E87" s="2099"/>
      <c r="F87" s="2099"/>
      <c r="G87" s="2099"/>
      <c r="H87" s="2099"/>
      <c r="I87" s="2096">
        <v>0</v>
      </c>
      <c r="J87" s="2096"/>
      <c r="K87" s="2096"/>
      <c r="L87" s="2096"/>
      <c r="M87" s="2096"/>
      <c r="N87" s="2096"/>
      <c r="O87" s="2096">
        <v>0</v>
      </c>
      <c r="P87" s="2096"/>
      <c r="Q87" s="2096"/>
      <c r="R87" s="2096"/>
      <c r="S87" s="2096"/>
      <c r="T87" s="2096"/>
      <c r="U87" s="2096"/>
      <c r="V87" s="2096">
        <v>0</v>
      </c>
      <c r="W87" s="2096"/>
      <c r="X87" s="2096"/>
      <c r="Y87" s="2096"/>
      <c r="Z87" s="2096"/>
      <c r="AA87" s="2096"/>
      <c r="AB87" s="2096">
        <v>0</v>
      </c>
      <c r="AC87" s="2096"/>
      <c r="AD87" s="2096"/>
      <c r="AE87" s="2096"/>
      <c r="AF87" s="2096"/>
      <c r="AG87" s="2096"/>
      <c r="AH87" s="2097"/>
      <c r="AI87" s="1085"/>
      <c r="AJ87" s="2110" t="s">
        <v>2573</v>
      </c>
      <c r="AK87" s="2111"/>
      <c r="AL87" s="2111"/>
      <c r="AM87" s="2111"/>
      <c r="AN87" s="2111"/>
      <c r="AO87" s="2111"/>
      <c r="AP87" s="2111"/>
      <c r="AQ87" s="2111"/>
      <c r="AR87" s="2111"/>
      <c r="AS87" s="2111"/>
      <c r="AT87" s="2111"/>
      <c r="AU87" s="2111"/>
      <c r="AV87" s="2111"/>
      <c r="AW87" s="2111"/>
      <c r="AX87" s="2111"/>
      <c r="AY87" s="2111"/>
      <c r="AZ87" s="2111"/>
      <c r="BA87" s="2111"/>
      <c r="BB87" s="2112"/>
      <c r="BC87" s="1085"/>
      <c r="BD87" s="1085"/>
      <c r="BE87" s="1081"/>
    </row>
    <row r="88" spans="1:70" ht="15.75" customHeight="1" thickBot="1">
      <c r="A88" s="1085"/>
      <c r="B88" s="2092" t="s">
        <v>2574</v>
      </c>
      <c r="C88" s="2093"/>
      <c r="D88" s="2093"/>
      <c r="E88" s="2093"/>
      <c r="F88" s="2093"/>
      <c r="G88" s="2093"/>
      <c r="H88" s="2093"/>
      <c r="I88" s="2094">
        <v>0</v>
      </c>
      <c r="J88" s="2094"/>
      <c r="K88" s="2094"/>
      <c r="L88" s="2094"/>
      <c r="M88" s="2094"/>
      <c r="N88" s="2094"/>
      <c r="O88" s="2094">
        <v>0</v>
      </c>
      <c r="P88" s="2094"/>
      <c r="Q88" s="2094"/>
      <c r="R88" s="2094"/>
      <c r="S88" s="2094"/>
      <c r="T88" s="2094"/>
      <c r="U88" s="2094"/>
      <c r="V88" s="2094">
        <v>0</v>
      </c>
      <c r="W88" s="2094"/>
      <c r="X88" s="2094"/>
      <c r="Y88" s="2094"/>
      <c r="Z88" s="2094"/>
      <c r="AA88" s="2094"/>
      <c r="AB88" s="2094">
        <v>0</v>
      </c>
      <c r="AC88" s="2094"/>
      <c r="AD88" s="2094"/>
      <c r="AE88" s="2094"/>
      <c r="AF88" s="2094"/>
      <c r="AG88" s="2094"/>
      <c r="AH88" s="2095"/>
      <c r="AI88" s="1085"/>
      <c r="AJ88" s="2113"/>
      <c r="AK88" s="2114"/>
      <c r="AL88" s="2114"/>
      <c r="AM88" s="2114"/>
      <c r="AN88" s="2114"/>
      <c r="AO88" s="2114"/>
      <c r="AP88" s="2114"/>
      <c r="AQ88" s="2114"/>
      <c r="AR88" s="2114"/>
      <c r="AS88" s="2114"/>
      <c r="AT88" s="2114"/>
      <c r="AU88" s="2114"/>
      <c r="AV88" s="2114"/>
      <c r="AW88" s="2114"/>
      <c r="AX88" s="2114"/>
      <c r="AY88" s="2114"/>
      <c r="AZ88" s="2114"/>
      <c r="BA88" s="2114"/>
      <c r="BB88" s="2115"/>
      <c r="BC88" s="1085"/>
      <c r="BD88" s="1085"/>
      <c r="BE88" s="1081"/>
    </row>
    <row r="89" spans="1:70" ht="15.75" customHeight="1">
      <c r="A89" s="1085"/>
      <c r="B89" s="1085"/>
      <c r="C89" s="1085"/>
      <c r="D89" s="1085"/>
      <c r="E89" s="1085"/>
      <c r="F89" s="1085"/>
      <c r="G89" s="1085"/>
      <c r="H89" s="1085"/>
      <c r="I89" s="1085"/>
      <c r="J89" s="1085"/>
      <c r="K89" s="1085"/>
      <c r="L89" s="1085"/>
      <c r="M89" s="1085"/>
      <c r="N89" s="1085"/>
      <c r="O89" s="1085"/>
      <c r="P89" s="1085"/>
      <c r="Q89" s="1085"/>
      <c r="R89" s="1085"/>
      <c r="S89" s="1085"/>
      <c r="T89" s="1085"/>
      <c r="U89" s="1085"/>
      <c r="V89" s="1085"/>
      <c r="W89" s="1085"/>
      <c r="X89" s="1085"/>
      <c r="Y89" s="1085"/>
      <c r="Z89" s="1085"/>
      <c r="AA89" s="1085"/>
      <c r="AB89" s="1085"/>
      <c r="AC89" s="1085"/>
      <c r="AD89" s="1085"/>
      <c r="AE89" s="1085"/>
      <c r="AF89" s="1085"/>
      <c r="AG89" s="1085"/>
      <c r="AH89" s="1085"/>
      <c r="AI89" s="1085"/>
      <c r="AJ89" s="1085"/>
      <c r="AK89" s="1085"/>
      <c r="AL89" s="1085"/>
      <c r="AM89" s="1085"/>
      <c r="AN89" s="1085"/>
      <c r="AO89" s="1085"/>
      <c r="AP89" s="1085"/>
      <c r="AQ89" s="1085"/>
      <c r="AR89" s="1085"/>
      <c r="AS89" s="1085"/>
      <c r="AT89" s="1085"/>
      <c r="AU89" s="1085"/>
      <c r="AV89" s="1085"/>
      <c r="AW89" s="1085"/>
      <c r="AX89" s="1085"/>
      <c r="AY89" s="1085"/>
      <c r="AZ89" s="1085"/>
      <c r="BA89" s="1085"/>
      <c r="BB89" s="1085"/>
      <c r="BC89" s="1085"/>
      <c r="BD89" s="1085"/>
      <c r="BE89" s="1081"/>
    </row>
    <row r="90" spans="1:70" ht="15.75" customHeight="1" thickBot="1">
      <c r="A90" s="1085"/>
      <c r="B90" s="1085"/>
      <c r="C90" s="1085"/>
      <c r="D90" s="1085"/>
      <c r="E90" s="1085"/>
      <c r="F90" s="1085"/>
      <c r="G90" s="1085"/>
      <c r="H90" s="1085"/>
      <c r="I90" s="1085"/>
      <c r="J90" s="1085"/>
      <c r="K90" s="1085"/>
      <c r="L90" s="1085"/>
      <c r="M90" s="1085"/>
      <c r="N90" s="1085"/>
      <c r="O90" s="1085"/>
      <c r="P90" s="1085"/>
      <c r="Q90" s="1085"/>
      <c r="R90" s="1085"/>
      <c r="S90" s="1085"/>
      <c r="T90" s="1085"/>
      <c r="U90" s="1085"/>
      <c r="V90" s="1085"/>
      <c r="W90" s="1085"/>
      <c r="X90" s="1085"/>
      <c r="Y90" s="1085"/>
      <c r="Z90" s="1085"/>
      <c r="AA90" s="1085"/>
      <c r="AB90" s="1085"/>
      <c r="AC90" s="1085"/>
      <c r="AD90" s="1085"/>
      <c r="AE90" s="1085"/>
      <c r="AF90" s="1085"/>
      <c r="AG90" s="1085"/>
      <c r="AH90" s="1085"/>
      <c r="AI90" s="1085"/>
      <c r="AJ90" s="1085"/>
      <c r="AK90" s="1085"/>
      <c r="AL90" s="1085"/>
      <c r="AM90" s="1085"/>
      <c r="AN90" s="1085"/>
      <c r="AO90" s="1085"/>
      <c r="AP90" s="1085"/>
      <c r="AQ90" s="1085"/>
      <c r="AR90" s="1085"/>
      <c r="AS90" s="1085"/>
      <c r="AT90" s="1085"/>
      <c r="AU90" s="1085"/>
      <c r="AV90" s="1085"/>
      <c r="AW90" s="1085"/>
      <c r="AX90" s="1085"/>
      <c r="AY90" s="1085"/>
      <c r="AZ90" s="1085"/>
      <c r="BA90" s="1085"/>
      <c r="BB90" s="1085"/>
      <c r="BC90" s="1085"/>
      <c r="BD90" s="1085"/>
      <c r="BE90" s="1081"/>
    </row>
    <row r="91" spans="1:70" ht="15.75" customHeight="1" thickBot="1">
      <c r="A91" s="1085"/>
      <c r="B91" s="1116" t="s">
        <v>2575</v>
      </c>
      <c r="C91" s="1126"/>
      <c r="D91" s="1122"/>
      <c r="E91" s="1122"/>
      <c r="F91" s="1122"/>
      <c r="G91" s="1122"/>
      <c r="H91" s="1122"/>
      <c r="I91" s="1122"/>
      <c r="J91" s="1122"/>
      <c r="K91" s="1122"/>
      <c r="L91" s="1122"/>
      <c r="M91" s="1122"/>
      <c r="N91" s="1122"/>
      <c r="O91" s="1122"/>
      <c r="P91" s="1122"/>
      <c r="Q91" s="1121"/>
      <c r="R91" s="1085"/>
      <c r="S91" s="1085"/>
      <c r="T91" s="1085"/>
      <c r="U91" s="1085"/>
      <c r="V91" s="1085"/>
      <c r="W91" s="1085"/>
      <c r="X91" s="1085"/>
      <c r="Y91" s="1085"/>
      <c r="Z91" s="1085"/>
      <c r="AA91" s="1085"/>
      <c r="AB91" s="1085"/>
      <c r="AC91" s="1085"/>
      <c r="AD91" s="1085"/>
      <c r="AE91" s="1085"/>
      <c r="AF91" s="1085"/>
      <c r="AG91" s="1085"/>
      <c r="AH91" s="1085"/>
      <c r="AI91" s="1085"/>
      <c r="AJ91" s="1085"/>
      <c r="AK91" s="1085"/>
      <c r="AL91" s="1085"/>
      <c r="AM91" s="1085"/>
      <c r="AN91" s="1085"/>
      <c r="AO91" s="1085"/>
      <c r="AP91" s="1085"/>
      <c r="AQ91" s="1085"/>
      <c r="AR91" s="1085"/>
      <c r="AS91" s="1085"/>
      <c r="AT91" s="1085"/>
      <c r="AU91" s="1085"/>
      <c r="AV91" s="1085"/>
      <c r="AW91" s="1085"/>
      <c r="AX91" s="1085"/>
      <c r="AY91" s="1085"/>
      <c r="AZ91" s="1085"/>
      <c r="BA91" s="1085"/>
      <c r="BB91" s="1085"/>
      <c r="BC91" s="1085"/>
      <c r="BD91" s="1085"/>
      <c r="BE91" s="1081"/>
    </row>
    <row r="92" spans="1:70" ht="15.75" customHeight="1">
      <c r="A92" s="1085"/>
      <c r="B92" s="1113" t="s">
        <v>2562</v>
      </c>
      <c r="C92" s="1113"/>
      <c r="D92" s="1112"/>
      <c r="E92" s="1111"/>
      <c r="F92" s="2119"/>
      <c r="G92" s="2120"/>
      <c r="H92" s="2120"/>
      <c r="I92" s="2120"/>
      <c r="J92" s="2120"/>
      <c r="K92" s="2120"/>
      <c r="L92" s="2120"/>
      <c r="M92" s="2120"/>
      <c r="N92" s="2120"/>
      <c r="O92" s="2120"/>
      <c r="P92" s="2120"/>
      <c r="Q92" s="2121"/>
      <c r="R92" s="1085"/>
      <c r="S92" s="1085"/>
      <c r="T92" s="1085"/>
      <c r="U92" s="1085"/>
      <c r="V92" s="1085"/>
      <c r="W92" s="1085"/>
      <c r="X92" s="1085"/>
      <c r="Y92" s="1085"/>
      <c r="Z92" s="1085"/>
      <c r="AA92" s="1085"/>
      <c r="AB92" s="1085"/>
      <c r="AC92" s="1085"/>
      <c r="AD92" s="1085"/>
      <c r="AE92" s="1085"/>
      <c r="AF92" s="1085"/>
      <c r="AG92" s="1085"/>
      <c r="AH92" s="1085"/>
      <c r="AI92" s="1085"/>
      <c r="AJ92" s="1085"/>
      <c r="AK92" s="1085"/>
      <c r="AL92" s="1085"/>
      <c r="AM92" s="1085"/>
      <c r="AN92" s="1085"/>
      <c r="AO92" s="1085"/>
      <c r="AP92" s="1085"/>
      <c r="AQ92" s="1085"/>
      <c r="AR92" s="1085"/>
      <c r="AS92" s="1085"/>
      <c r="AT92" s="1085"/>
      <c r="AU92" s="1085"/>
      <c r="AV92" s="1085"/>
      <c r="AW92" s="1085"/>
      <c r="AX92" s="1085"/>
      <c r="AY92" s="1085"/>
      <c r="AZ92" s="1085"/>
      <c r="BA92" s="1085"/>
      <c r="BB92" s="1085"/>
      <c r="BC92" s="1085"/>
      <c r="BD92" s="1085"/>
      <c r="BE92" s="1081"/>
    </row>
    <row r="93" spans="1:70" ht="15.75" customHeight="1" thickBot="1">
      <c r="A93" s="1085"/>
      <c r="B93" s="1120" t="s">
        <v>2563</v>
      </c>
      <c r="C93" s="1119"/>
      <c r="D93" s="1118"/>
      <c r="E93" s="1118"/>
      <c r="F93" s="1118"/>
      <c r="G93" s="1118"/>
      <c r="H93" s="1118"/>
      <c r="I93" s="1118"/>
      <c r="J93" s="1118"/>
      <c r="K93" s="1118"/>
      <c r="L93" s="1117"/>
      <c r="M93" s="1118"/>
      <c r="N93" s="1117"/>
      <c r="O93" s="2125" t="e">
        <f>BR97/SUM($BR$96:$BR$98)</f>
        <v>#DIV/0!</v>
      </c>
      <c r="P93" s="2126"/>
      <c r="Q93" s="2127"/>
      <c r="R93" s="1085"/>
      <c r="S93" s="1085"/>
      <c r="T93" s="1085"/>
      <c r="U93" s="1085"/>
      <c r="V93" s="1085"/>
      <c r="W93" s="1085"/>
      <c r="X93" s="1085"/>
      <c r="Y93" s="1085"/>
      <c r="Z93" s="1085"/>
      <c r="AA93" s="1085"/>
      <c r="AB93" s="1085"/>
      <c r="AC93" s="1085"/>
      <c r="AD93" s="1085"/>
      <c r="AE93" s="1085"/>
      <c r="AF93" s="1085"/>
      <c r="AG93" s="1085"/>
      <c r="AH93" s="1085"/>
      <c r="AI93" s="1085"/>
      <c r="AJ93" s="1085"/>
      <c r="AK93" s="1085"/>
      <c r="AL93" s="1085"/>
      <c r="AM93" s="1085"/>
      <c r="AN93" s="1085"/>
      <c r="AO93" s="1085"/>
      <c r="AP93" s="1085"/>
      <c r="AQ93" s="1085"/>
      <c r="AR93" s="1085"/>
      <c r="AS93" s="1085"/>
      <c r="AT93" s="1085"/>
      <c r="AU93" s="1085"/>
      <c r="AV93" s="1085"/>
      <c r="AW93" s="1085"/>
      <c r="AX93" s="1085"/>
      <c r="AY93" s="1085"/>
      <c r="AZ93" s="1085"/>
      <c r="BA93" s="1085"/>
      <c r="BB93" s="1085"/>
      <c r="BC93" s="1085"/>
      <c r="BD93" s="1085"/>
      <c r="BE93" s="1081"/>
    </row>
    <row r="94" spans="1:70" ht="15.75" customHeight="1" thickBot="1">
      <c r="A94" s="1085"/>
      <c r="B94" s="1120" t="s">
        <v>2576</v>
      </c>
      <c r="C94" s="1123"/>
      <c r="D94" s="1105"/>
      <c r="E94" s="1105"/>
      <c r="F94" s="1105"/>
      <c r="G94" s="1105"/>
      <c r="H94" s="1105"/>
      <c r="I94" s="1105"/>
      <c r="J94" s="1105"/>
      <c r="K94" s="1105"/>
      <c r="L94" s="1105"/>
      <c r="M94" s="1105"/>
      <c r="N94" s="1125"/>
      <c r="O94" s="2116" t="s">
        <v>2353</v>
      </c>
      <c r="P94" s="2117"/>
      <c r="Q94" s="2118"/>
      <c r="R94" s="1085"/>
      <c r="S94" s="1085"/>
      <c r="T94" s="1085"/>
      <c r="U94" s="1085"/>
      <c r="V94" s="1085"/>
      <c r="W94" s="1085"/>
      <c r="X94" s="1085"/>
      <c r="Y94" s="1085"/>
      <c r="Z94" s="1085"/>
      <c r="AA94" s="1085"/>
      <c r="AB94" s="1085"/>
      <c r="AC94" s="1085"/>
      <c r="AD94" s="1085"/>
      <c r="AE94" s="1085"/>
      <c r="AF94" s="1085"/>
      <c r="AG94" s="1085"/>
      <c r="AH94" s="1085"/>
      <c r="AI94" s="1085"/>
      <c r="AJ94" s="1085"/>
      <c r="AK94" s="1085"/>
      <c r="AL94" s="1085"/>
      <c r="AM94" s="1085"/>
      <c r="AN94" s="1085"/>
      <c r="AO94" s="1085"/>
      <c r="AP94" s="1085"/>
      <c r="AQ94" s="1085"/>
      <c r="AR94" s="1085"/>
      <c r="AS94" s="1085"/>
      <c r="AT94" s="1085"/>
      <c r="AU94" s="1085"/>
      <c r="AV94" s="1085"/>
      <c r="AW94" s="1085"/>
      <c r="AX94" s="1085"/>
      <c r="AY94" s="1085"/>
      <c r="AZ94" s="1085"/>
      <c r="BA94" s="1085"/>
      <c r="BB94" s="1085"/>
      <c r="BC94" s="1085"/>
      <c r="BD94" s="1085"/>
      <c r="BE94" s="1081"/>
    </row>
    <row r="95" spans="1:70" ht="15.75" customHeight="1" thickBot="1">
      <c r="A95" s="1085"/>
      <c r="B95" s="1085"/>
      <c r="C95" s="1085"/>
      <c r="D95" s="1085"/>
      <c r="E95" s="1085"/>
      <c r="F95" s="1085"/>
      <c r="G95" s="1085"/>
      <c r="H95" s="1085"/>
      <c r="I95" s="1085"/>
      <c r="J95" s="1085"/>
      <c r="K95" s="1085"/>
      <c r="L95" s="1085"/>
      <c r="M95" s="1085"/>
      <c r="N95" s="1085"/>
      <c r="O95" s="1085"/>
      <c r="P95" s="1085"/>
      <c r="Q95" s="1085"/>
      <c r="R95" s="1085"/>
      <c r="S95" s="1085"/>
      <c r="T95" s="1085"/>
      <c r="U95" s="1085"/>
      <c r="V95" s="1085"/>
      <c r="W95" s="1085"/>
      <c r="X95" s="1085"/>
      <c r="Y95" s="1085"/>
      <c r="Z95" s="1085"/>
      <c r="AA95" s="1085"/>
      <c r="AB95" s="1085"/>
      <c r="AC95" s="1085"/>
      <c r="AD95" s="1085"/>
      <c r="AE95" s="1085"/>
      <c r="AF95" s="1085"/>
      <c r="AG95" s="1085"/>
      <c r="AH95" s="1085"/>
      <c r="AI95" s="1085"/>
      <c r="AJ95" s="1085"/>
      <c r="AK95" s="1085"/>
      <c r="AL95" s="1085"/>
      <c r="AM95" s="1085"/>
      <c r="AN95" s="1085"/>
      <c r="AO95" s="1085"/>
      <c r="AP95" s="1085"/>
      <c r="AQ95" s="1085"/>
      <c r="AR95" s="1085"/>
      <c r="AS95" s="1085"/>
      <c r="AT95" s="1085"/>
      <c r="AU95" s="1085"/>
      <c r="AV95" s="1085"/>
      <c r="AW95" s="1085"/>
      <c r="AX95" s="1085"/>
      <c r="AY95" s="1085"/>
      <c r="AZ95" s="1085"/>
      <c r="BA95" s="1085"/>
      <c r="BB95" s="1085"/>
      <c r="BC95" s="1085"/>
      <c r="BD95" s="1085"/>
      <c r="BE95" s="1081"/>
    </row>
    <row r="96" spans="1:70" ht="15.75" customHeight="1">
      <c r="A96" s="1085"/>
      <c r="B96" s="2502" t="s">
        <v>2577</v>
      </c>
      <c r="C96" s="2503"/>
      <c r="D96" s="2503"/>
      <c r="E96" s="2503"/>
      <c r="F96" s="2503"/>
      <c r="G96" s="2503"/>
      <c r="H96" s="2503"/>
      <c r="I96" s="2503"/>
      <c r="J96" s="2503"/>
      <c r="K96" s="2503"/>
      <c r="L96" s="2503"/>
      <c r="M96" s="2503"/>
      <c r="N96" s="2503"/>
      <c r="O96" s="2503"/>
      <c r="P96" s="2503"/>
      <c r="Q96" s="2503"/>
      <c r="R96" s="2503"/>
      <c r="S96" s="2503"/>
      <c r="T96" s="2503"/>
      <c r="U96" s="2503"/>
      <c r="V96" s="2503"/>
      <c r="W96" s="2503"/>
      <c r="X96" s="2503"/>
      <c r="Y96" s="2503"/>
      <c r="Z96" s="2503"/>
      <c r="AA96" s="2503"/>
      <c r="AB96" s="2503"/>
      <c r="AC96" s="2503"/>
      <c r="AD96" s="2503"/>
      <c r="AE96" s="2503"/>
      <c r="AF96" s="2503"/>
      <c r="AG96" s="2503"/>
      <c r="AH96" s="2504"/>
      <c r="AI96" s="1085"/>
      <c r="AJ96" s="2106" t="s">
        <v>2578</v>
      </c>
      <c r="AK96" s="2107"/>
      <c r="AL96" s="2107"/>
      <c r="AM96" s="2107"/>
      <c r="AN96" s="2107"/>
      <c r="AO96" s="2107"/>
      <c r="AP96" s="2107"/>
      <c r="AQ96" s="2107"/>
      <c r="AR96" s="2107"/>
      <c r="AS96" s="2107"/>
      <c r="AT96" s="2107"/>
      <c r="AU96" s="2107"/>
      <c r="AV96" s="2107"/>
      <c r="AW96" s="2107"/>
      <c r="AX96" s="2107"/>
      <c r="AY96" s="2128" t="s">
        <v>836</v>
      </c>
      <c r="AZ96" s="2128"/>
      <c r="BA96" s="2128"/>
      <c r="BB96" s="2129"/>
      <c r="BC96" s="1085"/>
      <c r="BD96" s="1085"/>
      <c r="BE96" s="1081"/>
      <c r="BQ96" s="1124" t="str">
        <f>Application!M243</f>
        <v>Housing Corporation of America</v>
      </c>
      <c r="BR96" s="1124">
        <f>Application!AH245</f>
        <v>0</v>
      </c>
    </row>
    <row r="97" spans="1:70" ht="15.75" customHeight="1">
      <c r="A97" s="1085"/>
      <c r="B97" s="2098"/>
      <c r="C97" s="2099"/>
      <c r="D97" s="2099"/>
      <c r="E97" s="2099"/>
      <c r="F97" s="2099"/>
      <c r="G97" s="2099"/>
      <c r="H97" s="2099"/>
      <c r="I97" s="2099" t="s">
        <v>2567</v>
      </c>
      <c r="J97" s="2099"/>
      <c r="K97" s="2099"/>
      <c r="L97" s="2099"/>
      <c r="M97" s="2099"/>
      <c r="N97" s="2099"/>
      <c r="O97" s="2099" t="s">
        <v>2568</v>
      </c>
      <c r="P97" s="2099"/>
      <c r="Q97" s="2099"/>
      <c r="R97" s="2099"/>
      <c r="S97" s="2099"/>
      <c r="T97" s="2099"/>
      <c r="U97" s="2099"/>
      <c r="V97" s="2100" t="s">
        <v>2569</v>
      </c>
      <c r="W97" s="2100"/>
      <c r="X97" s="2100"/>
      <c r="Y97" s="2100"/>
      <c r="Z97" s="2100"/>
      <c r="AA97" s="2100"/>
      <c r="AB97" s="2101" t="s">
        <v>2570</v>
      </c>
      <c r="AC97" s="2101"/>
      <c r="AD97" s="2101"/>
      <c r="AE97" s="2101"/>
      <c r="AF97" s="2101"/>
      <c r="AG97" s="2101"/>
      <c r="AH97" s="2102"/>
      <c r="AI97" s="1085"/>
      <c r="AJ97" s="2108"/>
      <c r="AK97" s="2109"/>
      <c r="AL97" s="2109"/>
      <c r="AM97" s="2109"/>
      <c r="AN97" s="2109"/>
      <c r="AO97" s="2109"/>
      <c r="AP97" s="2109"/>
      <c r="AQ97" s="2109"/>
      <c r="AR97" s="2109"/>
      <c r="AS97" s="2109"/>
      <c r="AT97" s="2109"/>
      <c r="AU97" s="2109"/>
      <c r="AV97" s="2109"/>
      <c r="AW97" s="2109"/>
      <c r="AX97" s="2109"/>
      <c r="AY97" s="2130"/>
      <c r="AZ97" s="2130"/>
      <c r="BA97" s="2130"/>
      <c r="BB97" s="2131"/>
      <c r="BC97" s="1085"/>
      <c r="BD97" s="1085"/>
      <c r="BE97" s="1081"/>
      <c r="BQ97" s="1124" t="str">
        <f>Application!M251</f>
        <v>VA Building 408 LLC</v>
      </c>
      <c r="BR97" s="1124">
        <f>Application!AH253</f>
        <v>0</v>
      </c>
    </row>
    <row r="98" spans="1:70" ht="15.75" customHeight="1">
      <c r="A98" s="1085"/>
      <c r="B98" s="2098"/>
      <c r="C98" s="2099"/>
      <c r="D98" s="2099"/>
      <c r="E98" s="2099"/>
      <c r="F98" s="2099"/>
      <c r="G98" s="2099"/>
      <c r="H98" s="2099"/>
      <c r="I98" s="2099"/>
      <c r="J98" s="2099"/>
      <c r="K98" s="2099"/>
      <c r="L98" s="2099"/>
      <c r="M98" s="2099"/>
      <c r="N98" s="2099"/>
      <c r="O98" s="2099"/>
      <c r="P98" s="2099"/>
      <c r="Q98" s="2099"/>
      <c r="R98" s="2099"/>
      <c r="S98" s="2099"/>
      <c r="T98" s="2099"/>
      <c r="U98" s="2099"/>
      <c r="V98" s="2100"/>
      <c r="W98" s="2100"/>
      <c r="X98" s="2100"/>
      <c r="Y98" s="2100"/>
      <c r="Z98" s="2100"/>
      <c r="AA98" s="2100"/>
      <c r="AB98" s="2101"/>
      <c r="AC98" s="2101"/>
      <c r="AD98" s="2101"/>
      <c r="AE98" s="2101"/>
      <c r="AF98" s="2101"/>
      <c r="AG98" s="2101"/>
      <c r="AH98" s="2102"/>
      <c r="AI98" s="1085"/>
      <c r="AJ98" s="2108"/>
      <c r="AK98" s="2109"/>
      <c r="AL98" s="2109"/>
      <c r="AM98" s="2109"/>
      <c r="AN98" s="2109"/>
      <c r="AO98" s="2109"/>
      <c r="AP98" s="2109"/>
      <c r="AQ98" s="2109"/>
      <c r="AR98" s="2109"/>
      <c r="AS98" s="2109"/>
      <c r="AT98" s="2109"/>
      <c r="AU98" s="2109"/>
      <c r="AV98" s="2109"/>
      <c r="AW98" s="2109"/>
      <c r="AX98" s="2109"/>
      <c r="AY98" s="2130"/>
      <c r="AZ98" s="2130"/>
      <c r="BA98" s="2130"/>
      <c r="BB98" s="2131"/>
      <c r="BC98" s="1085"/>
      <c r="BD98" s="1085"/>
      <c r="BE98" s="1081"/>
      <c r="BQ98" s="1124">
        <f>Application!M259</f>
        <v>0</v>
      </c>
      <c r="BR98" s="1124">
        <f>Application!AH261</f>
        <v>0</v>
      </c>
    </row>
    <row r="99" spans="1:70" ht="15.75" customHeight="1">
      <c r="A99" s="1085"/>
      <c r="B99" s="2098" t="s">
        <v>2571</v>
      </c>
      <c r="C99" s="2099"/>
      <c r="D99" s="2099"/>
      <c r="E99" s="2099"/>
      <c r="F99" s="2099"/>
      <c r="G99" s="2099"/>
      <c r="H99" s="2099"/>
      <c r="I99" s="2096">
        <v>0</v>
      </c>
      <c r="J99" s="2096"/>
      <c r="K99" s="2096"/>
      <c r="L99" s="2096"/>
      <c r="M99" s="2096"/>
      <c r="N99" s="2096"/>
      <c r="O99" s="2096">
        <v>0</v>
      </c>
      <c r="P99" s="2096"/>
      <c r="Q99" s="2096"/>
      <c r="R99" s="2096"/>
      <c r="S99" s="2096"/>
      <c r="T99" s="2096"/>
      <c r="U99" s="2096"/>
      <c r="V99" s="2096">
        <v>0</v>
      </c>
      <c r="W99" s="2096"/>
      <c r="X99" s="2096"/>
      <c r="Y99" s="2096"/>
      <c r="Z99" s="2096"/>
      <c r="AA99" s="2096"/>
      <c r="AB99" s="2096">
        <v>0</v>
      </c>
      <c r="AC99" s="2096"/>
      <c r="AD99" s="2096"/>
      <c r="AE99" s="2096"/>
      <c r="AF99" s="2096"/>
      <c r="AG99" s="2096"/>
      <c r="AH99" s="2097"/>
      <c r="AI99" s="1085"/>
      <c r="AJ99" s="2108"/>
      <c r="AK99" s="2109"/>
      <c r="AL99" s="2109"/>
      <c r="AM99" s="2109"/>
      <c r="AN99" s="2109"/>
      <c r="AO99" s="2109"/>
      <c r="AP99" s="2109"/>
      <c r="AQ99" s="2109"/>
      <c r="AR99" s="2109"/>
      <c r="AS99" s="2109"/>
      <c r="AT99" s="2109"/>
      <c r="AU99" s="2109"/>
      <c r="AV99" s="2109"/>
      <c r="AW99" s="2109"/>
      <c r="AX99" s="2109"/>
      <c r="AY99" s="2130"/>
      <c r="AZ99" s="2130"/>
      <c r="BA99" s="2130"/>
      <c r="BB99" s="2131"/>
      <c r="BC99" s="1085"/>
      <c r="BD99" s="1085"/>
      <c r="BE99" s="1081"/>
    </row>
    <row r="100" spans="1:70" ht="15.75" customHeight="1">
      <c r="A100" s="1085"/>
      <c r="B100" s="2098" t="s">
        <v>2572</v>
      </c>
      <c r="C100" s="2099"/>
      <c r="D100" s="2099"/>
      <c r="E100" s="2099"/>
      <c r="F100" s="2099"/>
      <c r="G100" s="2099"/>
      <c r="H100" s="2099"/>
      <c r="I100" s="2096">
        <v>0</v>
      </c>
      <c r="J100" s="2096"/>
      <c r="K100" s="2096"/>
      <c r="L100" s="2096"/>
      <c r="M100" s="2096"/>
      <c r="N100" s="2096"/>
      <c r="O100" s="2096">
        <v>0</v>
      </c>
      <c r="P100" s="2096"/>
      <c r="Q100" s="2096"/>
      <c r="R100" s="2096"/>
      <c r="S100" s="2096"/>
      <c r="T100" s="2096"/>
      <c r="U100" s="2096"/>
      <c r="V100" s="2096">
        <v>0</v>
      </c>
      <c r="W100" s="2096"/>
      <c r="X100" s="2096"/>
      <c r="Y100" s="2096"/>
      <c r="Z100" s="2096"/>
      <c r="AA100" s="2096"/>
      <c r="AB100" s="2096">
        <v>0</v>
      </c>
      <c r="AC100" s="2096"/>
      <c r="AD100" s="2096"/>
      <c r="AE100" s="2096"/>
      <c r="AF100" s="2096"/>
      <c r="AG100" s="2096"/>
      <c r="AH100" s="2097"/>
      <c r="AI100" s="1085"/>
      <c r="AJ100" s="2110" t="s">
        <v>2573</v>
      </c>
      <c r="AK100" s="2111"/>
      <c r="AL100" s="2111"/>
      <c r="AM100" s="2111"/>
      <c r="AN100" s="2111"/>
      <c r="AO100" s="2111"/>
      <c r="AP100" s="2111"/>
      <c r="AQ100" s="2111"/>
      <c r="AR100" s="2111"/>
      <c r="AS100" s="2111"/>
      <c r="AT100" s="2111"/>
      <c r="AU100" s="2111"/>
      <c r="AV100" s="2111"/>
      <c r="AW100" s="2111"/>
      <c r="AX100" s="2111"/>
      <c r="AY100" s="2111"/>
      <c r="AZ100" s="2111"/>
      <c r="BA100" s="2111"/>
      <c r="BB100" s="2112"/>
      <c r="BC100" s="1085"/>
      <c r="BD100" s="1085"/>
      <c r="BE100" s="1081"/>
    </row>
    <row r="101" spans="1:70" ht="15.75" customHeight="1" thickBot="1">
      <c r="A101" s="1085"/>
      <c r="B101" s="2092" t="s">
        <v>2574</v>
      </c>
      <c r="C101" s="2093"/>
      <c r="D101" s="2093"/>
      <c r="E101" s="2093"/>
      <c r="F101" s="2093"/>
      <c r="G101" s="2093"/>
      <c r="H101" s="2093"/>
      <c r="I101" s="2094">
        <v>0</v>
      </c>
      <c r="J101" s="2094"/>
      <c r="K101" s="2094"/>
      <c r="L101" s="2094"/>
      <c r="M101" s="2094"/>
      <c r="N101" s="2094"/>
      <c r="O101" s="2094">
        <v>0</v>
      </c>
      <c r="P101" s="2094"/>
      <c r="Q101" s="2094"/>
      <c r="R101" s="2094"/>
      <c r="S101" s="2094"/>
      <c r="T101" s="2094"/>
      <c r="U101" s="2094"/>
      <c r="V101" s="2094">
        <v>0</v>
      </c>
      <c r="W101" s="2094"/>
      <c r="X101" s="2094"/>
      <c r="Y101" s="2094"/>
      <c r="Z101" s="2094"/>
      <c r="AA101" s="2094"/>
      <c r="AB101" s="2094">
        <v>0</v>
      </c>
      <c r="AC101" s="2094"/>
      <c r="AD101" s="2094"/>
      <c r="AE101" s="2094"/>
      <c r="AF101" s="2094"/>
      <c r="AG101" s="2094"/>
      <c r="AH101" s="2095"/>
      <c r="AI101" s="1085"/>
      <c r="AJ101" s="2113"/>
      <c r="AK101" s="2114"/>
      <c r="AL101" s="2114"/>
      <c r="AM101" s="2114"/>
      <c r="AN101" s="2114"/>
      <c r="AO101" s="2114"/>
      <c r="AP101" s="2114"/>
      <c r="AQ101" s="2114"/>
      <c r="AR101" s="2114"/>
      <c r="AS101" s="2114"/>
      <c r="AT101" s="2114"/>
      <c r="AU101" s="2114"/>
      <c r="AV101" s="2114"/>
      <c r="AW101" s="2114"/>
      <c r="AX101" s="2114"/>
      <c r="AY101" s="2114"/>
      <c r="AZ101" s="2114"/>
      <c r="BA101" s="2114"/>
      <c r="BB101" s="2115"/>
      <c r="BC101" s="1085"/>
      <c r="BD101" s="1085"/>
      <c r="BE101" s="1081"/>
    </row>
    <row r="102" spans="1:70" ht="15.75" customHeight="1" thickBot="1">
      <c r="A102" s="1085"/>
      <c r="B102" s="1085"/>
      <c r="C102" s="1085"/>
      <c r="D102" s="1085"/>
      <c r="E102" s="1085"/>
      <c r="F102" s="1085"/>
      <c r="G102" s="1085"/>
      <c r="H102" s="1085"/>
      <c r="I102" s="1085"/>
      <c r="J102" s="1085"/>
      <c r="K102" s="1085"/>
      <c r="L102" s="1085"/>
      <c r="M102" s="1085"/>
      <c r="N102" s="1085"/>
      <c r="O102" s="1085"/>
      <c r="P102" s="1085"/>
      <c r="Q102" s="1085"/>
      <c r="R102" s="1085"/>
      <c r="S102" s="1085"/>
      <c r="T102" s="1085"/>
      <c r="U102" s="1085"/>
      <c r="V102" s="1085"/>
      <c r="W102" s="1085"/>
      <c r="X102" s="1085"/>
      <c r="Y102" s="1085"/>
      <c r="Z102" s="1085"/>
      <c r="AA102" s="1085"/>
      <c r="AB102" s="1085"/>
      <c r="AC102" s="1085"/>
      <c r="AD102" s="1085"/>
      <c r="AE102" s="1085"/>
      <c r="AF102" s="1085"/>
      <c r="AG102" s="1085"/>
      <c r="AH102" s="1085"/>
      <c r="AI102" s="1085"/>
      <c r="AJ102" s="1085"/>
      <c r="AK102" s="1085"/>
      <c r="AL102" s="1085"/>
      <c r="AM102" s="1085"/>
      <c r="AN102" s="1085"/>
      <c r="AO102" s="1085"/>
      <c r="AP102" s="1085"/>
      <c r="AQ102" s="1085"/>
      <c r="AR102" s="1085"/>
      <c r="AS102" s="1085"/>
      <c r="AT102" s="1085"/>
      <c r="AU102" s="1085"/>
      <c r="AV102" s="1085"/>
      <c r="AW102" s="1085"/>
      <c r="AX102" s="1085"/>
      <c r="AY102" s="1085"/>
      <c r="AZ102" s="1085"/>
      <c r="BA102" s="1085"/>
      <c r="BB102" s="1085"/>
      <c r="BC102" s="1085"/>
      <c r="BD102" s="1085"/>
      <c r="BE102" s="1081"/>
    </row>
    <row r="103" spans="1:70" ht="15.75" customHeight="1" thickBot="1">
      <c r="A103" s="1085"/>
      <c r="B103" s="1107" t="s">
        <v>2579</v>
      </c>
      <c r="C103" s="1123"/>
      <c r="D103" s="1105"/>
      <c r="E103" s="1105"/>
      <c r="F103" s="1122"/>
      <c r="G103" s="1122"/>
      <c r="H103" s="1122"/>
      <c r="I103" s="1122"/>
      <c r="J103" s="1122"/>
      <c r="K103" s="1122"/>
      <c r="L103" s="1122"/>
      <c r="M103" s="1122"/>
      <c r="N103" s="1122"/>
      <c r="O103" s="1121"/>
      <c r="P103" s="1122"/>
      <c r="Q103" s="1122"/>
      <c r="R103" s="1121"/>
      <c r="S103" s="1085" t="s">
        <v>253</v>
      </c>
      <c r="T103" s="1085"/>
      <c r="U103" s="1085"/>
      <c r="V103" s="1085"/>
      <c r="W103" s="1085"/>
      <c r="X103" s="1085"/>
      <c r="Y103" s="1085"/>
      <c r="Z103" s="1085"/>
      <c r="AA103" s="1085"/>
      <c r="AB103" s="1085"/>
      <c r="AC103" s="1085"/>
      <c r="AD103" s="1085"/>
      <c r="AE103" s="1085"/>
      <c r="AF103" s="1085"/>
      <c r="AG103" s="1085"/>
      <c r="AH103" s="1085"/>
      <c r="AI103" s="1085"/>
      <c r="AJ103" s="1085"/>
      <c r="AK103" s="1085"/>
      <c r="AL103" s="1085"/>
      <c r="AM103" s="1085"/>
      <c r="AN103" s="1085"/>
      <c r="AO103" s="1085"/>
      <c r="AP103" s="1085"/>
      <c r="AQ103" s="1085"/>
      <c r="AR103" s="1085"/>
      <c r="AS103" s="1085"/>
      <c r="AT103" s="1085"/>
      <c r="AU103" s="1085"/>
      <c r="AV103" s="1085"/>
      <c r="AW103" s="1085"/>
      <c r="AX103" s="1085"/>
      <c r="AY103" s="1085"/>
      <c r="AZ103" s="1085"/>
      <c r="BA103" s="1085"/>
      <c r="BB103" s="1085"/>
      <c r="BC103" s="1085"/>
      <c r="BD103" s="1085"/>
      <c r="BE103" s="1081"/>
    </row>
    <row r="104" spans="1:70" ht="15.75" customHeight="1">
      <c r="A104" s="1085"/>
      <c r="B104" s="1113" t="s">
        <v>2562</v>
      </c>
      <c r="C104" s="1113"/>
      <c r="D104" s="1112"/>
      <c r="E104" s="1111"/>
      <c r="F104" s="2122"/>
      <c r="G104" s="2123"/>
      <c r="H104" s="2123"/>
      <c r="I104" s="2123"/>
      <c r="J104" s="2123"/>
      <c r="K104" s="2123"/>
      <c r="L104" s="2123"/>
      <c r="M104" s="2123"/>
      <c r="N104" s="2123"/>
      <c r="O104" s="2123"/>
      <c r="P104" s="2123"/>
      <c r="Q104" s="2123"/>
      <c r="R104" s="2124"/>
      <c r="S104" s="1085"/>
      <c r="T104" s="1085"/>
      <c r="U104" s="1085"/>
      <c r="V104" s="1085"/>
      <c r="W104" s="1085"/>
      <c r="X104" s="1085"/>
      <c r="Y104" s="1085"/>
      <c r="Z104" s="1085"/>
      <c r="AA104" s="1085"/>
      <c r="AB104" s="1085"/>
      <c r="AC104" s="1085"/>
      <c r="AD104" s="1085"/>
      <c r="AE104" s="1085"/>
      <c r="AF104" s="1085"/>
      <c r="AG104" s="1085"/>
      <c r="AH104" s="1085"/>
      <c r="AI104" s="1085"/>
      <c r="AJ104" s="1085"/>
      <c r="AK104" s="1085"/>
      <c r="AL104" s="1085"/>
      <c r="AM104" s="1085"/>
      <c r="AN104" s="1085"/>
      <c r="AO104" s="1085"/>
      <c r="AP104" s="1085"/>
      <c r="AQ104" s="1085"/>
      <c r="AR104" s="1085"/>
      <c r="AS104" s="1085"/>
      <c r="AT104" s="1085"/>
      <c r="AU104" s="1085"/>
      <c r="AV104" s="1085"/>
      <c r="AW104" s="1085"/>
      <c r="AX104" s="1085"/>
      <c r="AY104" s="1085"/>
      <c r="AZ104" s="1085"/>
      <c r="BA104" s="1085"/>
      <c r="BB104" s="1085"/>
      <c r="BC104" s="1085"/>
      <c r="BD104" s="1085"/>
      <c r="BE104" s="1081"/>
    </row>
    <row r="105" spans="1:70" ht="15.75" customHeight="1" thickBot="1">
      <c r="A105" s="1085"/>
      <c r="B105" s="1120" t="s">
        <v>2563</v>
      </c>
      <c r="C105" s="1119"/>
      <c r="D105" s="1118"/>
      <c r="E105" s="1118"/>
      <c r="F105" s="1118"/>
      <c r="G105" s="1118"/>
      <c r="H105" s="1118"/>
      <c r="I105" s="1118"/>
      <c r="J105" s="1118"/>
      <c r="K105" s="1118"/>
      <c r="L105" s="1117"/>
      <c r="M105" s="1118"/>
      <c r="N105" s="1117"/>
      <c r="O105" s="2116" t="e">
        <f>BR98/SUM(BR96:BR98)</f>
        <v>#DIV/0!</v>
      </c>
      <c r="P105" s="2117"/>
      <c r="Q105" s="2117"/>
      <c r="R105" s="2118"/>
      <c r="S105" s="1085"/>
      <c r="T105" s="1085"/>
      <c r="U105" s="1085"/>
      <c r="V105" s="1085"/>
      <c r="W105" s="1085"/>
      <c r="X105" s="1085"/>
      <c r="Y105" s="1085"/>
      <c r="Z105" s="1085"/>
      <c r="AA105" s="1085"/>
      <c r="AB105" s="1085"/>
      <c r="AC105" s="1085"/>
      <c r="AD105" s="1085"/>
      <c r="AE105" s="1085"/>
      <c r="AF105" s="1085"/>
      <c r="AG105" s="1085"/>
      <c r="AH105" s="1085"/>
      <c r="AI105" s="1085"/>
      <c r="AJ105" s="1085"/>
      <c r="AK105" s="1085"/>
      <c r="AL105" s="1085"/>
      <c r="AM105" s="1085"/>
      <c r="AN105" s="1085"/>
      <c r="AO105" s="1085"/>
      <c r="AP105" s="1085"/>
      <c r="AQ105" s="1085"/>
      <c r="AR105" s="1085"/>
      <c r="AS105" s="1085"/>
      <c r="AT105" s="1085"/>
      <c r="AU105" s="1085"/>
      <c r="AV105" s="1085"/>
      <c r="AW105" s="1085"/>
      <c r="AX105" s="1085"/>
      <c r="AY105" s="1085"/>
      <c r="AZ105" s="1085"/>
      <c r="BA105" s="1085"/>
      <c r="BB105" s="1085"/>
      <c r="BC105" s="1085"/>
      <c r="BD105" s="1085"/>
      <c r="BE105" s="1081"/>
    </row>
    <row r="106" spans="1:70" ht="15.75" customHeight="1" thickBot="1">
      <c r="A106" s="1085"/>
      <c r="B106" s="1085"/>
      <c r="C106" s="1085"/>
      <c r="D106" s="1085"/>
      <c r="E106" s="1085"/>
      <c r="F106" s="1085"/>
      <c r="G106" s="1085"/>
      <c r="H106" s="1085"/>
      <c r="I106" s="1085"/>
      <c r="J106" s="1085"/>
      <c r="K106" s="1085"/>
      <c r="L106" s="1085"/>
      <c r="M106" s="1085"/>
      <c r="N106" s="1085"/>
      <c r="O106" s="1085"/>
      <c r="P106" s="1110"/>
      <c r="Q106" s="1085"/>
      <c r="R106" s="1085"/>
      <c r="S106" s="1085"/>
      <c r="T106" s="1085"/>
      <c r="U106" s="1085"/>
      <c r="V106" s="1085"/>
      <c r="W106" s="1085"/>
      <c r="X106" s="1085"/>
      <c r="Y106" s="1085"/>
      <c r="Z106" s="1085"/>
      <c r="AA106" s="1085"/>
      <c r="AB106" s="1085"/>
      <c r="AC106" s="1085"/>
      <c r="AD106" s="1085"/>
      <c r="AE106" s="1085"/>
      <c r="AF106" s="1085"/>
      <c r="AG106" s="1085"/>
      <c r="AH106" s="1085"/>
      <c r="AI106" s="1085"/>
      <c r="AJ106" s="1085"/>
      <c r="AK106" s="1085"/>
      <c r="AL106" s="1085"/>
      <c r="AM106" s="1085"/>
      <c r="AN106" s="1085"/>
      <c r="AO106" s="1085"/>
      <c r="AP106" s="1085"/>
      <c r="AQ106" s="1085"/>
      <c r="AR106" s="1085"/>
      <c r="AS106" s="1085"/>
      <c r="AT106" s="1085"/>
      <c r="AU106" s="1085"/>
      <c r="AV106" s="1085"/>
      <c r="AW106" s="1085"/>
      <c r="AX106" s="1085"/>
      <c r="AY106" s="1085"/>
      <c r="AZ106" s="1085"/>
      <c r="BA106" s="1085"/>
      <c r="BB106" s="1085"/>
      <c r="BC106" s="1085"/>
      <c r="BD106" s="1085"/>
      <c r="BE106" s="1081"/>
    </row>
    <row r="107" spans="1:70" ht="15.75" customHeight="1">
      <c r="A107" s="1085"/>
      <c r="B107" s="2103" t="s">
        <v>2580</v>
      </c>
      <c r="C107" s="2104"/>
      <c r="D107" s="2104"/>
      <c r="E107" s="2104"/>
      <c r="F107" s="2104"/>
      <c r="G107" s="2104"/>
      <c r="H107" s="2104"/>
      <c r="I107" s="2104"/>
      <c r="J107" s="2104"/>
      <c r="K107" s="2104"/>
      <c r="L107" s="2104"/>
      <c r="M107" s="2104"/>
      <c r="N107" s="2104"/>
      <c r="O107" s="2104"/>
      <c r="P107" s="2104"/>
      <c r="Q107" s="2104"/>
      <c r="R107" s="2104"/>
      <c r="S107" s="2104"/>
      <c r="T107" s="2104"/>
      <c r="U107" s="2104"/>
      <c r="V107" s="2104"/>
      <c r="W107" s="2104"/>
      <c r="X107" s="2104"/>
      <c r="Y107" s="2104"/>
      <c r="Z107" s="2104"/>
      <c r="AA107" s="2104"/>
      <c r="AB107" s="2104"/>
      <c r="AC107" s="2104"/>
      <c r="AD107" s="2104"/>
      <c r="AE107" s="2104"/>
      <c r="AF107" s="2104"/>
      <c r="AG107" s="2104"/>
      <c r="AH107" s="2105"/>
      <c r="AI107" s="1085"/>
      <c r="AJ107" s="1085"/>
      <c r="AK107" s="1085"/>
      <c r="AL107" s="1085"/>
      <c r="AM107" s="1085"/>
      <c r="AN107" s="1085"/>
      <c r="AO107" s="1085"/>
      <c r="AP107" s="1085"/>
      <c r="AQ107" s="1085"/>
      <c r="AR107" s="1085"/>
      <c r="AS107" s="1085"/>
      <c r="AT107" s="1085"/>
      <c r="AU107" s="1085"/>
      <c r="AV107" s="1085"/>
      <c r="AW107" s="1085"/>
      <c r="AX107" s="1085"/>
      <c r="AY107" s="1085"/>
      <c r="AZ107" s="1085"/>
      <c r="BA107" s="1085"/>
      <c r="BB107" s="1085"/>
      <c r="BC107" s="1085"/>
      <c r="BD107" s="1085"/>
      <c r="BE107" s="1081"/>
    </row>
    <row r="108" spans="1:70" ht="16.5" customHeight="1">
      <c r="A108" s="1085"/>
      <c r="B108" s="2098"/>
      <c r="C108" s="2099"/>
      <c r="D108" s="2099"/>
      <c r="E108" s="2099"/>
      <c r="F108" s="2099"/>
      <c r="G108" s="2099"/>
      <c r="H108" s="2099"/>
      <c r="I108" s="2099" t="s">
        <v>2567</v>
      </c>
      <c r="J108" s="2099"/>
      <c r="K108" s="2099"/>
      <c r="L108" s="2099"/>
      <c r="M108" s="2099"/>
      <c r="N108" s="2099"/>
      <c r="O108" s="2099" t="s">
        <v>2568</v>
      </c>
      <c r="P108" s="2099"/>
      <c r="Q108" s="2099"/>
      <c r="R108" s="2099"/>
      <c r="S108" s="2099"/>
      <c r="T108" s="2099"/>
      <c r="U108" s="2099"/>
      <c r="V108" s="2100" t="s">
        <v>2569</v>
      </c>
      <c r="W108" s="2100"/>
      <c r="X108" s="2100"/>
      <c r="Y108" s="2100"/>
      <c r="Z108" s="2100"/>
      <c r="AA108" s="2100"/>
      <c r="AB108" s="2101" t="s">
        <v>2570</v>
      </c>
      <c r="AC108" s="2101"/>
      <c r="AD108" s="2101"/>
      <c r="AE108" s="2101"/>
      <c r="AF108" s="2101"/>
      <c r="AG108" s="2101"/>
      <c r="AH108" s="2102"/>
      <c r="AI108" s="1085"/>
      <c r="AJ108" s="1085"/>
      <c r="AK108" s="1085"/>
      <c r="AL108" s="1085"/>
      <c r="AM108" s="1085"/>
      <c r="AN108" s="1085"/>
      <c r="AO108" s="1085"/>
      <c r="AP108" s="1085"/>
      <c r="AQ108" s="1085"/>
      <c r="AR108" s="1085"/>
      <c r="AS108" s="1085"/>
      <c r="AT108" s="1085"/>
      <c r="AU108" s="1085"/>
      <c r="AV108" s="1085"/>
      <c r="AW108" s="1085"/>
      <c r="AX108" s="1085"/>
      <c r="AY108" s="1085"/>
      <c r="AZ108" s="1085"/>
      <c r="BA108" s="1085"/>
      <c r="BB108" s="1085"/>
      <c r="BC108" s="1085"/>
      <c r="BD108" s="1085"/>
      <c r="BE108" s="1081"/>
    </row>
    <row r="109" spans="1:70" ht="16.5" customHeight="1">
      <c r="A109" s="1085"/>
      <c r="B109" s="2098"/>
      <c r="C109" s="2099"/>
      <c r="D109" s="2099"/>
      <c r="E109" s="2099"/>
      <c r="F109" s="2099"/>
      <c r="G109" s="2099"/>
      <c r="H109" s="2099"/>
      <c r="I109" s="2099"/>
      <c r="J109" s="2099"/>
      <c r="K109" s="2099"/>
      <c r="L109" s="2099"/>
      <c r="M109" s="2099"/>
      <c r="N109" s="2099"/>
      <c r="O109" s="2099"/>
      <c r="P109" s="2099"/>
      <c r="Q109" s="2099"/>
      <c r="R109" s="2099"/>
      <c r="S109" s="2099"/>
      <c r="T109" s="2099"/>
      <c r="U109" s="2099"/>
      <c r="V109" s="2100"/>
      <c r="W109" s="2100"/>
      <c r="X109" s="2100"/>
      <c r="Y109" s="2100"/>
      <c r="Z109" s="2100"/>
      <c r="AA109" s="2100"/>
      <c r="AB109" s="2101"/>
      <c r="AC109" s="2101"/>
      <c r="AD109" s="2101"/>
      <c r="AE109" s="2101"/>
      <c r="AF109" s="2101"/>
      <c r="AG109" s="2101"/>
      <c r="AH109" s="2102"/>
      <c r="AI109" s="1085"/>
      <c r="AJ109" s="1085"/>
      <c r="AK109" s="1085"/>
      <c r="AL109" s="1085"/>
      <c r="AM109" s="1085"/>
      <c r="AN109" s="1085"/>
      <c r="AO109" s="1085"/>
      <c r="AP109" s="1085"/>
      <c r="AQ109" s="1085"/>
      <c r="AR109" s="1085"/>
      <c r="AS109" s="1085"/>
      <c r="AT109" s="1085"/>
      <c r="AU109" s="1085"/>
      <c r="AV109" s="1085"/>
      <c r="AW109" s="1085"/>
      <c r="AX109" s="1085"/>
      <c r="AY109" s="1085"/>
      <c r="AZ109" s="1085"/>
      <c r="BA109" s="1085"/>
      <c r="BB109" s="1085"/>
      <c r="BC109" s="1085"/>
      <c r="BD109" s="1085"/>
      <c r="BE109" s="1081"/>
    </row>
    <row r="110" spans="1:70" ht="15.75" customHeight="1">
      <c r="A110" s="1085"/>
      <c r="B110" s="2098" t="s">
        <v>2571</v>
      </c>
      <c r="C110" s="2099"/>
      <c r="D110" s="2099"/>
      <c r="E110" s="2099"/>
      <c r="F110" s="2099"/>
      <c r="G110" s="2099"/>
      <c r="H110" s="2099"/>
      <c r="I110" s="2096">
        <v>0</v>
      </c>
      <c r="J110" s="2096"/>
      <c r="K110" s="2096"/>
      <c r="L110" s="2096"/>
      <c r="M110" s="2096"/>
      <c r="N110" s="2096"/>
      <c r="O110" s="2096">
        <v>0</v>
      </c>
      <c r="P110" s="2096"/>
      <c r="Q110" s="2096"/>
      <c r="R110" s="2096"/>
      <c r="S110" s="2096"/>
      <c r="T110" s="2096"/>
      <c r="U110" s="2096"/>
      <c r="V110" s="2096">
        <v>0</v>
      </c>
      <c r="W110" s="2096"/>
      <c r="X110" s="2096"/>
      <c r="Y110" s="2096"/>
      <c r="Z110" s="2096"/>
      <c r="AA110" s="2096"/>
      <c r="AB110" s="2096">
        <v>0</v>
      </c>
      <c r="AC110" s="2096"/>
      <c r="AD110" s="2096"/>
      <c r="AE110" s="2096"/>
      <c r="AF110" s="2096"/>
      <c r="AG110" s="2096"/>
      <c r="AH110" s="2097"/>
      <c r="AI110" s="1085"/>
      <c r="AJ110" s="1085"/>
      <c r="AK110" s="1085"/>
      <c r="AL110" s="1085"/>
      <c r="AM110" s="1085"/>
      <c r="AN110" s="1085"/>
      <c r="AO110" s="1085"/>
      <c r="AP110" s="1085"/>
      <c r="AQ110" s="1085"/>
      <c r="AR110" s="1085"/>
      <c r="AS110" s="1085"/>
      <c r="AT110" s="1085"/>
      <c r="AU110" s="1085"/>
      <c r="AV110" s="1085"/>
      <c r="AW110" s="1085"/>
      <c r="AX110" s="1085"/>
      <c r="AY110" s="1085"/>
      <c r="AZ110" s="1085"/>
      <c r="BA110" s="1085"/>
      <c r="BB110" s="1085"/>
      <c r="BC110" s="1085"/>
      <c r="BD110" s="1085"/>
      <c r="BE110" s="1081"/>
    </row>
    <row r="111" spans="1:70" ht="15.75" customHeight="1">
      <c r="A111" s="1085"/>
      <c r="B111" s="2098" t="s">
        <v>2572</v>
      </c>
      <c r="C111" s="2099"/>
      <c r="D111" s="2099"/>
      <c r="E111" s="2099"/>
      <c r="F111" s="2099"/>
      <c r="G111" s="2099"/>
      <c r="H111" s="2099"/>
      <c r="I111" s="2096">
        <v>0</v>
      </c>
      <c r="J111" s="2096"/>
      <c r="K111" s="2096"/>
      <c r="L111" s="2096"/>
      <c r="M111" s="2096"/>
      <c r="N111" s="2096"/>
      <c r="O111" s="2096">
        <v>0</v>
      </c>
      <c r="P111" s="2096"/>
      <c r="Q111" s="2096"/>
      <c r="R111" s="2096"/>
      <c r="S111" s="2096"/>
      <c r="T111" s="2096"/>
      <c r="U111" s="2096"/>
      <c r="V111" s="2096">
        <v>0</v>
      </c>
      <c r="W111" s="2096"/>
      <c r="X111" s="2096"/>
      <c r="Y111" s="2096"/>
      <c r="Z111" s="2096"/>
      <c r="AA111" s="2096"/>
      <c r="AB111" s="2096">
        <v>0</v>
      </c>
      <c r="AC111" s="2096"/>
      <c r="AD111" s="2096"/>
      <c r="AE111" s="2096"/>
      <c r="AF111" s="2096"/>
      <c r="AG111" s="2096"/>
      <c r="AH111" s="2097"/>
      <c r="AI111" s="1085"/>
      <c r="AJ111" s="1085"/>
      <c r="AK111" s="1085"/>
      <c r="AL111" s="1085"/>
      <c r="AM111" s="1085"/>
      <c r="AN111" s="1085"/>
      <c r="AO111" s="1085"/>
      <c r="AP111" s="1085"/>
      <c r="AQ111" s="1085"/>
      <c r="AR111" s="1085"/>
      <c r="AS111" s="1085"/>
      <c r="AT111" s="1085"/>
      <c r="AU111" s="1085"/>
      <c r="AV111" s="1085"/>
      <c r="AW111" s="1085"/>
      <c r="AX111" s="1085"/>
      <c r="AY111" s="1085"/>
      <c r="AZ111" s="1085"/>
      <c r="BA111" s="1085"/>
      <c r="BB111" s="1085"/>
      <c r="BC111" s="1085"/>
      <c r="BD111" s="1085"/>
      <c r="BE111" s="1081"/>
    </row>
    <row r="112" spans="1:70" ht="15.75" customHeight="1" thickBot="1">
      <c r="A112" s="1085"/>
      <c r="B112" s="2092" t="s">
        <v>2574</v>
      </c>
      <c r="C112" s="2093"/>
      <c r="D112" s="2093"/>
      <c r="E112" s="2093"/>
      <c r="F112" s="2093"/>
      <c r="G112" s="2093"/>
      <c r="H112" s="2093"/>
      <c r="I112" s="2094">
        <v>0</v>
      </c>
      <c r="J112" s="2094"/>
      <c r="K112" s="2094"/>
      <c r="L112" s="2094"/>
      <c r="M112" s="2094"/>
      <c r="N112" s="2094"/>
      <c r="O112" s="2094">
        <v>0</v>
      </c>
      <c r="P112" s="2094"/>
      <c r="Q112" s="2094"/>
      <c r="R112" s="2094"/>
      <c r="S112" s="2094"/>
      <c r="T112" s="2094"/>
      <c r="U112" s="2094"/>
      <c r="V112" s="2094">
        <v>0</v>
      </c>
      <c r="W112" s="2094"/>
      <c r="X112" s="2094"/>
      <c r="Y112" s="2094"/>
      <c r="Z112" s="2094"/>
      <c r="AA112" s="2094"/>
      <c r="AB112" s="2094">
        <v>0</v>
      </c>
      <c r="AC112" s="2094"/>
      <c r="AD112" s="2094"/>
      <c r="AE112" s="2094"/>
      <c r="AF112" s="2094"/>
      <c r="AG112" s="2094"/>
      <c r="AH112" s="2095"/>
      <c r="AI112" s="1085"/>
      <c r="AJ112" s="1085"/>
      <c r="AK112" s="1085"/>
      <c r="AL112" s="1085"/>
      <c r="AM112" s="1085"/>
      <c r="AN112" s="1085"/>
      <c r="AO112" s="1085"/>
      <c r="AP112" s="1085"/>
      <c r="AQ112" s="1085"/>
      <c r="AR112" s="1085"/>
      <c r="AS112" s="1085"/>
      <c r="AT112" s="1085"/>
      <c r="AU112" s="1085"/>
      <c r="AV112" s="1085"/>
      <c r="AW112" s="1085"/>
      <c r="AX112" s="1085"/>
      <c r="AY112" s="1085"/>
      <c r="AZ112" s="1085"/>
      <c r="BA112" s="1085"/>
      <c r="BB112" s="1085"/>
      <c r="BC112" s="1085"/>
      <c r="BD112" s="1085"/>
      <c r="BE112" s="1081"/>
    </row>
    <row r="113" spans="1:57" ht="15.75" customHeight="1" thickBot="1">
      <c r="A113" s="1085"/>
      <c r="B113" s="1085"/>
      <c r="C113" s="1085"/>
      <c r="D113" s="1085"/>
      <c r="E113" s="1085"/>
      <c r="F113" s="1085"/>
      <c r="G113" s="1085"/>
      <c r="H113" s="1085"/>
      <c r="I113" s="1085"/>
      <c r="J113" s="1085"/>
      <c r="K113" s="1085"/>
      <c r="L113" s="1085"/>
      <c r="M113" s="1085"/>
      <c r="N113" s="1085"/>
      <c r="O113" s="1085"/>
      <c r="P113" s="1085"/>
      <c r="Q113" s="1085"/>
      <c r="R113" s="1085"/>
      <c r="S113" s="1085"/>
      <c r="T113" s="1085"/>
      <c r="U113" s="1085" t="s">
        <v>253</v>
      </c>
      <c r="V113" s="1085"/>
      <c r="W113" s="1085"/>
      <c r="X113" s="1085"/>
      <c r="Y113" s="1085"/>
      <c r="Z113" s="1085"/>
      <c r="AA113" s="1085"/>
      <c r="AB113" s="1085"/>
      <c r="AC113" s="1085"/>
      <c r="AD113" s="1085"/>
      <c r="AE113" s="1085"/>
      <c r="AF113" s="1085"/>
      <c r="AG113" s="1085"/>
      <c r="AH113" s="1085"/>
      <c r="AI113" s="1085"/>
      <c r="AJ113" s="1085"/>
      <c r="AK113" s="1085"/>
      <c r="AL113" s="1085"/>
      <c r="AM113" s="1085"/>
      <c r="AN113" s="1085"/>
      <c r="AO113" s="1085"/>
      <c r="AP113" s="1085"/>
      <c r="AQ113" s="1085"/>
      <c r="AR113" s="1085"/>
      <c r="AS113" s="1085"/>
      <c r="AT113" s="1085"/>
      <c r="AU113" s="1085"/>
      <c r="AV113" s="1085"/>
      <c r="AW113" s="1085"/>
      <c r="AX113" s="1085"/>
      <c r="AY113" s="1085"/>
      <c r="AZ113" s="1085"/>
      <c r="BA113" s="1085"/>
      <c r="BB113" s="1085"/>
      <c r="BC113" s="1085"/>
      <c r="BD113" s="1085"/>
      <c r="BE113" s="1081"/>
    </row>
    <row r="114" spans="1:57" ht="15.75" customHeight="1" thickBot="1">
      <c r="A114" s="1085"/>
      <c r="B114" s="1116" t="s">
        <v>2581</v>
      </c>
      <c r="C114" s="1115"/>
      <c r="D114" s="1115"/>
      <c r="E114" s="1115"/>
      <c r="F114" s="1115"/>
      <c r="G114" s="1115"/>
      <c r="H114" s="1115"/>
      <c r="I114" s="1115"/>
      <c r="J114" s="1115"/>
      <c r="K114" s="1115"/>
      <c r="L114" s="1115"/>
      <c r="M114" s="1115"/>
      <c r="N114" s="1115"/>
      <c r="O114" s="1115"/>
      <c r="P114" s="1115"/>
      <c r="Q114" s="1115"/>
      <c r="R114" s="1114"/>
      <c r="S114" s="1085"/>
      <c r="T114" s="1085"/>
      <c r="U114" s="1085"/>
      <c r="V114" s="1085"/>
      <c r="W114" s="1085"/>
      <c r="X114" s="1085"/>
      <c r="Y114" s="1085"/>
      <c r="Z114" s="1085"/>
      <c r="AA114" s="1085"/>
      <c r="AB114" s="1085"/>
      <c r="AC114" s="1085"/>
      <c r="AD114" s="1085"/>
      <c r="AE114" s="1085"/>
      <c r="AF114" s="1085"/>
      <c r="AG114" s="1085"/>
      <c r="AH114" s="1085"/>
      <c r="AI114" s="1085"/>
      <c r="AJ114" s="1085"/>
      <c r="AK114" s="1085"/>
      <c r="AL114" s="1085"/>
      <c r="AM114" s="1085"/>
      <c r="AN114" s="1085"/>
      <c r="AO114" s="1085"/>
      <c r="AP114" s="1085"/>
      <c r="AQ114" s="1085"/>
      <c r="AR114" s="1085"/>
      <c r="AS114" s="1085"/>
      <c r="AT114" s="1085"/>
      <c r="AU114" s="1085"/>
      <c r="AV114" s="1085"/>
      <c r="AW114" s="1085"/>
      <c r="AX114" s="1085"/>
      <c r="AY114" s="1085"/>
      <c r="AZ114" s="1085"/>
      <c r="BA114" s="1085"/>
      <c r="BB114" s="1085"/>
      <c r="BC114" s="1085"/>
      <c r="BD114" s="1085"/>
      <c r="BE114" s="1081"/>
    </row>
    <row r="115" spans="1:57" ht="15.75" customHeight="1">
      <c r="A115" s="1085"/>
      <c r="B115" s="1113" t="s">
        <v>2562</v>
      </c>
      <c r="C115" s="1113"/>
      <c r="D115" s="1112"/>
      <c r="E115" s="1111"/>
      <c r="F115" s="2122"/>
      <c r="G115" s="2123"/>
      <c r="H115" s="2123"/>
      <c r="I115" s="2123"/>
      <c r="J115" s="2123"/>
      <c r="K115" s="2123"/>
      <c r="L115" s="2123"/>
      <c r="M115" s="2123"/>
      <c r="N115" s="2123"/>
      <c r="O115" s="2123"/>
      <c r="P115" s="2123"/>
      <c r="Q115" s="2123"/>
      <c r="R115" s="2124"/>
      <c r="S115" s="1085"/>
      <c r="T115" s="1085"/>
      <c r="U115" s="1085"/>
      <c r="V115" s="1085"/>
      <c r="W115" s="1085"/>
      <c r="X115" s="1085"/>
      <c r="Y115" s="1085"/>
      <c r="Z115" s="1085"/>
      <c r="AA115" s="1085"/>
      <c r="AB115" s="1085"/>
      <c r="AC115" s="1085"/>
      <c r="AD115" s="1085"/>
      <c r="AE115" s="1085"/>
      <c r="AF115" s="1085"/>
      <c r="AG115" s="1085"/>
      <c r="AH115" s="1085"/>
      <c r="AI115" s="1085"/>
      <c r="AJ115" s="1085"/>
      <c r="AK115" s="1085"/>
      <c r="AL115" s="1085"/>
      <c r="AM115" s="1085"/>
      <c r="AN115" s="1085"/>
      <c r="AO115" s="1085"/>
      <c r="AP115" s="1085"/>
      <c r="AQ115" s="1085"/>
      <c r="AR115" s="1085"/>
      <c r="AS115" s="1085"/>
      <c r="AT115" s="1085"/>
      <c r="AU115" s="1085"/>
      <c r="AV115" s="1085"/>
      <c r="AW115" s="1085"/>
      <c r="AX115" s="1085"/>
      <c r="AY115" s="1085"/>
      <c r="AZ115" s="1085"/>
      <c r="BA115" s="1085"/>
      <c r="BB115" s="1085"/>
      <c r="BC115" s="1085"/>
      <c r="BD115" s="1085"/>
      <c r="BE115" s="1081"/>
    </row>
    <row r="116" spans="1:57" ht="15.75" customHeight="1" thickBot="1">
      <c r="A116" s="1085"/>
      <c r="B116" s="1085"/>
      <c r="C116" s="1085"/>
      <c r="D116" s="1085"/>
      <c r="E116" s="1085"/>
      <c r="F116" s="1085"/>
      <c r="G116" s="1085"/>
      <c r="H116" s="1085"/>
      <c r="I116" s="1085"/>
      <c r="J116" s="1085"/>
      <c r="K116" s="1085"/>
      <c r="L116" s="1085"/>
      <c r="M116" s="1085"/>
      <c r="N116" s="1085"/>
      <c r="O116" s="1085"/>
      <c r="P116" s="1085"/>
      <c r="Q116" s="1085"/>
      <c r="R116" s="1085"/>
      <c r="S116" s="1085"/>
      <c r="T116" s="1085"/>
      <c r="U116" s="1085"/>
      <c r="V116" s="1085"/>
      <c r="W116" s="1085"/>
      <c r="X116" s="1085"/>
      <c r="Y116" s="1085"/>
      <c r="Z116" s="1085"/>
      <c r="AA116" s="1085"/>
      <c r="AB116" s="1085"/>
      <c r="AC116" s="1085"/>
      <c r="AD116" s="1085"/>
      <c r="AE116" s="1085"/>
      <c r="AF116" s="1085"/>
      <c r="AG116" s="1085"/>
      <c r="AH116" s="1085"/>
      <c r="AI116" s="1085"/>
      <c r="AJ116" s="1085"/>
      <c r="AK116" s="1085"/>
      <c r="AL116" s="1085"/>
      <c r="AM116" s="1085"/>
      <c r="AN116" s="1085"/>
      <c r="AO116" s="1085"/>
      <c r="AP116" s="1085"/>
      <c r="AQ116" s="1085"/>
      <c r="AR116" s="1085"/>
      <c r="AS116" s="1085"/>
      <c r="AT116" s="1085"/>
      <c r="AU116" s="1085"/>
      <c r="AV116" s="1085"/>
      <c r="AW116" s="1085"/>
      <c r="AX116" s="1085"/>
      <c r="AY116" s="1085"/>
      <c r="AZ116" s="1085"/>
      <c r="BA116" s="1085"/>
      <c r="BB116" s="1085"/>
      <c r="BC116" s="1085"/>
      <c r="BD116" s="1085"/>
      <c r="BE116" s="1081"/>
    </row>
    <row r="117" spans="1:57" ht="15.75" customHeight="1">
      <c r="A117" s="1085"/>
      <c r="B117" s="2106" t="s">
        <v>2582</v>
      </c>
      <c r="C117" s="2107"/>
      <c r="D117" s="2107"/>
      <c r="E117" s="2107"/>
      <c r="F117" s="2107"/>
      <c r="G117" s="2107"/>
      <c r="H117" s="2107"/>
      <c r="I117" s="2107"/>
      <c r="J117" s="2107"/>
      <c r="K117" s="2107"/>
      <c r="L117" s="2107"/>
      <c r="M117" s="2107"/>
      <c r="N117" s="2107"/>
      <c r="O117" s="2107"/>
      <c r="P117" s="2107"/>
      <c r="Q117" s="2128" t="s">
        <v>836</v>
      </c>
      <c r="R117" s="2128"/>
      <c r="S117" s="2128"/>
      <c r="T117" s="2129"/>
      <c r="U117" s="1085"/>
      <c r="V117" s="1085"/>
      <c r="W117" s="1085"/>
      <c r="X117" s="1085"/>
      <c r="Y117" s="1085"/>
      <c r="Z117" s="1085"/>
      <c r="AA117" s="1085"/>
      <c r="AB117" s="1085"/>
      <c r="AC117" s="1085"/>
      <c r="AD117" s="1085"/>
      <c r="AE117" s="1085"/>
      <c r="AF117" s="1085"/>
      <c r="AG117" s="1085"/>
      <c r="AH117" s="1085"/>
      <c r="AI117" s="1085"/>
      <c r="AJ117" s="1085"/>
      <c r="AK117" s="1085"/>
      <c r="AL117" s="1085"/>
      <c r="AM117" s="1085"/>
      <c r="AN117" s="1085"/>
      <c r="AO117" s="1085"/>
      <c r="AP117" s="1085"/>
      <c r="AQ117" s="1085"/>
      <c r="AR117" s="1085"/>
      <c r="AS117" s="1085"/>
      <c r="AT117" s="1085"/>
      <c r="AU117" s="1085"/>
      <c r="AV117" s="1085"/>
      <c r="AW117" s="1085"/>
      <c r="AX117" s="1085"/>
      <c r="AY117" s="1085"/>
      <c r="AZ117" s="1085"/>
      <c r="BA117" s="1085"/>
      <c r="BB117" s="1085"/>
      <c r="BC117" s="1085"/>
      <c r="BD117" s="1085"/>
      <c r="BE117" s="1081"/>
    </row>
    <row r="118" spans="1:57" ht="15.75" customHeight="1">
      <c r="A118" s="1085"/>
      <c r="B118" s="2108"/>
      <c r="C118" s="2109"/>
      <c r="D118" s="2109"/>
      <c r="E118" s="2109"/>
      <c r="F118" s="2109"/>
      <c r="G118" s="2109"/>
      <c r="H118" s="2109"/>
      <c r="I118" s="2109"/>
      <c r="J118" s="2109"/>
      <c r="K118" s="2109"/>
      <c r="L118" s="2109"/>
      <c r="M118" s="2109"/>
      <c r="N118" s="2109"/>
      <c r="O118" s="2109"/>
      <c r="P118" s="2109"/>
      <c r="Q118" s="2130"/>
      <c r="R118" s="2130"/>
      <c r="S118" s="2130"/>
      <c r="T118" s="2131"/>
      <c r="U118" s="1085"/>
      <c r="V118" s="1085"/>
      <c r="W118" s="1085"/>
      <c r="X118" s="1085"/>
      <c r="Y118" s="1085"/>
      <c r="Z118" s="1085"/>
      <c r="AA118" s="1085"/>
      <c r="AB118" s="1085"/>
      <c r="AC118" s="1085"/>
      <c r="AD118" s="1085"/>
      <c r="AE118" s="1085"/>
      <c r="AF118" s="1085"/>
      <c r="AG118" s="1085"/>
      <c r="AH118" s="1085"/>
      <c r="AI118" s="1085"/>
      <c r="AJ118" s="1085"/>
      <c r="AK118" s="1085"/>
      <c r="AL118" s="1085"/>
      <c r="AM118" s="1085"/>
      <c r="AN118" s="1085"/>
      <c r="AO118" s="1085"/>
      <c r="AP118" s="1085"/>
      <c r="AQ118" s="1085"/>
      <c r="AR118" s="1085"/>
      <c r="AS118" s="1085"/>
      <c r="AT118" s="1085"/>
      <c r="AU118" s="1085"/>
      <c r="AV118" s="1085"/>
      <c r="AW118" s="1085"/>
      <c r="AX118" s="1085"/>
      <c r="AY118" s="1085"/>
      <c r="AZ118" s="1085"/>
      <c r="BA118" s="1085"/>
      <c r="BB118" s="1085"/>
      <c r="BC118" s="1085"/>
      <c r="BD118" s="1085"/>
      <c r="BE118" s="1081"/>
    </row>
    <row r="119" spans="1:57" ht="15.75" customHeight="1">
      <c r="A119" s="1085"/>
      <c r="B119" s="2108"/>
      <c r="C119" s="2109"/>
      <c r="D119" s="2109"/>
      <c r="E119" s="2109"/>
      <c r="F119" s="2109"/>
      <c r="G119" s="2109"/>
      <c r="H119" s="2109"/>
      <c r="I119" s="2109"/>
      <c r="J119" s="2109"/>
      <c r="K119" s="2109"/>
      <c r="L119" s="2109"/>
      <c r="M119" s="2109"/>
      <c r="N119" s="2109"/>
      <c r="O119" s="2109"/>
      <c r="P119" s="2109"/>
      <c r="Q119" s="2130"/>
      <c r="R119" s="2130"/>
      <c r="S119" s="2130"/>
      <c r="T119" s="2131"/>
      <c r="U119" s="1085"/>
      <c r="V119" s="1085"/>
      <c r="W119" s="1085"/>
      <c r="X119" s="1085"/>
      <c r="Y119" s="1085"/>
      <c r="Z119" s="1085"/>
      <c r="AA119" s="1085"/>
      <c r="AB119" s="1085"/>
      <c r="AC119" s="1085"/>
      <c r="AD119" s="1085"/>
      <c r="AE119" s="1085"/>
      <c r="AF119" s="1085"/>
      <c r="AG119" s="1085"/>
      <c r="AH119" s="1085"/>
      <c r="AI119" s="1085"/>
      <c r="AJ119" s="1085"/>
      <c r="AK119" s="1085"/>
      <c r="AL119" s="1085"/>
      <c r="AM119" s="1085"/>
      <c r="AN119" s="1085"/>
      <c r="AO119" s="1085"/>
      <c r="AP119" s="1085"/>
      <c r="AQ119" s="1085"/>
      <c r="AR119" s="1085"/>
      <c r="AS119" s="1085"/>
      <c r="AT119" s="1085"/>
      <c r="AU119" s="1085"/>
      <c r="AV119" s="1085"/>
      <c r="AW119" s="1085"/>
      <c r="AX119" s="1085"/>
      <c r="AY119" s="1085"/>
      <c r="AZ119" s="1085"/>
      <c r="BA119" s="1085"/>
      <c r="BB119" s="1085"/>
      <c r="BC119" s="1085"/>
      <c r="BD119" s="1085"/>
      <c r="BE119" s="1081"/>
    </row>
    <row r="120" spans="1:57" ht="15.75" customHeight="1">
      <c r="A120" s="1085"/>
      <c r="B120" s="2108"/>
      <c r="C120" s="2109"/>
      <c r="D120" s="2109"/>
      <c r="E120" s="2109"/>
      <c r="F120" s="2109"/>
      <c r="G120" s="2109"/>
      <c r="H120" s="2109"/>
      <c r="I120" s="2109"/>
      <c r="J120" s="2109"/>
      <c r="K120" s="2109"/>
      <c r="L120" s="2109"/>
      <c r="M120" s="2109"/>
      <c r="N120" s="2109"/>
      <c r="O120" s="2109"/>
      <c r="P120" s="2109"/>
      <c r="Q120" s="2130"/>
      <c r="R120" s="2130"/>
      <c r="S120" s="2130"/>
      <c r="T120" s="2131"/>
      <c r="U120" s="1085"/>
      <c r="V120" s="1085"/>
      <c r="W120" s="1085"/>
      <c r="X120" s="1085"/>
      <c r="Y120" s="1085"/>
      <c r="Z120" s="1085"/>
      <c r="AA120" s="1085"/>
      <c r="AB120" s="1085"/>
      <c r="AC120" s="1085"/>
      <c r="AD120" s="1085"/>
      <c r="AE120" s="1085"/>
      <c r="AF120" s="1085"/>
      <c r="AG120" s="1085"/>
      <c r="AH120" s="1085"/>
      <c r="AI120" s="1085"/>
      <c r="AJ120" s="1085"/>
      <c r="AK120" s="1085"/>
      <c r="AL120" s="1085"/>
      <c r="AM120" s="1085"/>
      <c r="AN120" s="1085"/>
      <c r="AO120" s="1085"/>
      <c r="AP120" s="1085"/>
      <c r="AQ120" s="1085"/>
      <c r="AR120" s="1085"/>
      <c r="AS120" s="1085"/>
      <c r="AT120" s="1085"/>
      <c r="AU120" s="1085"/>
      <c r="AV120" s="1085"/>
      <c r="AW120" s="1085"/>
      <c r="AX120" s="1085"/>
      <c r="AY120" s="1085"/>
      <c r="AZ120" s="1085"/>
      <c r="BA120" s="1085"/>
      <c r="BB120" s="1085"/>
      <c r="BC120" s="1085"/>
      <c r="BD120" s="1085"/>
      <c r="BE120" s="1081"/>
    </row>
    <row r="121" spans="1:57" ht="15.75" customHeight="1">
      <c r="A121" s="1085"/>
      <c r="B121" s="2110" t="s">
        <v>2583</v>
      </c>
      <c r="C121" s="2111"/>
      <c r="D121" s="2111"/>
      <c r="E121" s="2111"/>
      <c r="F121" s="2111"/>
      <c r="G121" s="2111"/>
      <c r="H121" s="2111"/>
      <c r="I121" s="2111"/>
      <c r="J121" s="2111"/>
      <c r="K121" s="2111"/>
      <c r="L121" s="2111"/>
      <c r="M121" s="2111"/>
      <c r="N121" s="2111"/>
      <c r="O121" s="2111"/>
      <c r="P121" s="2111"/>
      <c r="Q121" s="2111"/>
      <c r="R121" s="2111"/>
      <c r="S121" s="2111"/>
      <c r="T121" s="2112"/>
      <c r="U121" s="1085"/>
      <c r="V121" s="1085"/>
      <c r="W121" s="1085"/>
      <c r="X121" s="1085"/>
      <c r="Y121" s="1085"/>
      <c r="Z121" s="1085"/>
      <c r="AA121" s="1085"/>
      <c r="AB121" s="1085"/>
      <c r="AC121" s="1085"/>
      <c r="AD121" s="1085"/>
      <c r="AE121" s="1085"/>
      <c r="AF121" s="1085"/>
      <c r="AG121" s="1085"/>
      <c r="AH121" s="1085"/>
      <c r="AI121" s="1085"/>
      <c r="AJ121" s="1085"/>
      <c r="AK121" s="1085"/>
      <c r="AL121" s="1085"/>
      <c r="AM121" s="1085"/>
      <c r="AN121" s="1085"/>
      <c r="AO121" s="1085"/>
      <c r="AP121" s="1085"/>
      <c r="AQ121" s="1085"/>
      <c r="AR121" s="1085"/>
      <c r="AS121" s="1085"/>
      <c r="AT121" s="1085"/>
      <c r="AU121" s="1085"/>
      <c r="AV121" s="1085"/>
      <c r="AW121" s="1085"/>
      <c r="AX121" s="1085"/>
      <c r="AY121" s="1085"/>
      <c r="AZ121" s="1085"/>
      <c r="BA121" s="1085"/>
      <c r="BB121" s="1085"/>
      <c r="BC121" s="1085"/>
      <c r="BD121" s="1085"/>
      <c r="BE121" s="1081"/>
    </row>
    <row r="122" spans="1:57" ht="15.75" customHeight="1" thickBot="1">
      <c r="A122" s="1085"/>
      <c r="B122" s="2113"/>
      <c r="C122" s="2114"/>
      <c r="D122" s="2114"/>
      <c r="E122" s="2114"/>
      <c r="F122" s="2114"/>
      <c r="G122" s="2114"/>
      <c r="H122" s="2114"/>
      <c r="I122" s="2114"/>
      <c r="J122" s="2114"/>
      <c r="K122" s="2114"/>
      <c r="L122" s="2114"/>
      <c r="M122" s="2114"/>
      <c r="N122" s="2114"/>
      <c r="O122" s="2114"/>
      <c r="P122" s="2114"/>
      <c r="Q122" s="2114"/>
      <c r="R122" s="2114"/>
      <c r="S122" s="2114"/>
      <c r="T122" s="2115"/>
      <c r="U122" s="1085"/>
      <c r="V122" s="1085"/>
      <c r="W122" s="1085"/>
      <c r="X122" s="1085"/>
      <c r="Y122" s="1085"/>
      <c r="Z122" s="1085"/>
      <c r="AA122" s="1085"/>
      <c r="AB122" s="1085"/>
      <c r="AC122" s="1085"/>
      <c r="AD122" s="1085"/>
      <c r="AE122" s="1085"/>
      <c r="AF122" s="1085"/>
      <c r="AG122" s="1085"/>
      <c r="AH122" s="1085"/>
      <c r="AI122" s="1085"/>
      <c r="AJ122" s="1085"/>
      <c r="AK122" s="1085"/>
      <c r="AL122" s="1085"/>
      <c r="AM122" s="1085"/>
      <c r="AN122" s="1085"/>
      <c r="AO122" s="1085"/>
      <c r="AP122" s="1085"/>
      <c r="AQ122" s="1085"/>
      <c r="AR122" s="1085"/>
      <c r="AS122" s="1085"/>
      <c r="AT122" s="1085"/>
      <c r="AU122" s="1085"/>
      <c r="AV122" s="1085"/>
      <c r="AW122" s="1085"/>
      <c r="AX122" s="1085"/>
      <c r="AY122" s="1085"/>
      <c r="AZ122" s="1085"/>
      <c r="BA122" s="1085"/>
      <c r="BB122" s="1085"/>
      <c r="BC122" s="1085"/>
      <c r="BD122" s="1085"/>
      <c r="BE122" s="1081"/>
    </row>
    <row r="123" spans="1:57" ht="15.75" customHeight="1" thickBot="1">
      <c r="A123" s="1085"/>
      <c r="B123" s="1085"/>
      <c r="C123" s="1085"/>
      <c r="D123" s="1085"/>
      <c r="E123" s="1085"/>
      <c r="F123" s="1085"/>
      <c r="G123" s="1085"/>
      <c r="H123" s="1085"/>
      <c r="I123" s="1085"/>
      <c r="J123" s="1085"/>
      <c r="K123" s="1085"/>
      <c r="L123" s="1085"/>
      <c r="M123" s="1085"/>
      <c r="N123" s="1085"/>
      <c r="O123" s="1085"/>
      <c r="P123" s="1085"/>
      <c r="Q123" s="1085"/>
      <c r="R123" s="1085"/>
      <c r="S123" s="1085"/>
      <c r="T123" s="1085"/>
      <c r="U123" s="1085"/>
      <c r="V123" s="1085"/>
      <c r="W123" s="1085"/>
      <c r="X123" s="1085"/>
      <c r="Y123" s="1085"/>
      <c r="Z123" s="1085"/>
      <c r="AA123" s="1085"/>
      <c r="AB123" s="1085"/>
      <c r="AC123" s="1085"/>
      <c r="AD123" s="1085"/>
      <c r="AE123" s="1085"/>
      <c r="AF123" s="1085"/>
      <c r="AG123" s="1085"/>
      <c r="AH123" s="1085"/>
      <c r="AI123" s="1085"/>
      <c r="AJ123" s="1085"/>
      <c r="AK123" s="1085"/>
      <c r="AL123" s="1085"/>
      <c r="AM123" s="1085"/>
      <c r="AN123" s="1085"/>
      <c r="AO123" s="1085"/>
      <c r="AP123" s="1085"/>
      <c r="AQ123" s="1085"/>
      <c r="AR123" s="1085"/>
      <c r="AS123" s="1085"/>
      <c r="AT123" s="1085"/>
      <c r="AU123" s="1085"/>
      <c r="AV123" s="1085"/>
      <c r="AW123" s="1085"/>
      <c r="AX123" s="1085"/>
      <c r="AY123" s="1085"/>
      <c r="AZ123" s="1085"/>
      <c r="BA123" s="1085"/>
      <c r="BB123" s="1085"/>
      <c r="BC123" s="1085"/>
      <c r="BD123" s="1085"/>
      <c r="BE123" s="1081"/>
    </row>
    <row r="124" spans="1:57" ht="15.75" customHeight="1" thickBot="1">
      <c r="A124" s="1085"/>
      <c r="B124" s="1107" t="s">
        <v>2584</v>
      </c>
      <c r="C124" s="1105"/>
      <c r="D124" s="1105"/>
      <c r="E124" s="1105"/>
      <c r="F124" s="1105"/>
      <c r="G124" s="1105"/>
      <c r="H124" s="1105"/>
      <c r="I124" s="1105"/>
      <c r="J124" s="1105"/>
      <c r="K124" s="1105"/>
      <c r="L124" s="1105"/>
      <c r="M124" s="1105"/>
      <c r="N124" s="1105"/>
      <c r="O124" s="1105"/>
      <c r="P124" s="1105"/>
      <c r="Q124" s="1105"/>
      <c r="R124" s="1104"/>
      <c r="S124" s="1085"/>
      <c r="T124" s="1085"/>
      <c r="U124" s="1085"/>
      <c r="V124" s="1085"/>
      <c r="W124" s="1085"/>
      <c r="X124" s="1085"/>
      <c r="Y124" s="1085"/>
      <c r="Z124" s="1085"/>
      <c r="AA124" s="1085"/>
      <c r="AB124" s="1085"/>
      <c r="AC124" s="1085"/>
      <c r="AD124" s="1085"/>
      <c r="AE124" s="1085"/>
      <c r="AF124" s="1085"/>
      <c r="AG124" s="1085"/>
      <c r="AH124" s="1085"/>
      <c r="AI124" s="1085"/>
      <c r="AJ124" s="1085"/>
      <c r="AK124" s="1085"/>
      <c r="AL124" s="1085"/>
      <c r="AM124" s="1085"/>
      <c r="AN124" s="1085"/>
      <c r="AO124" s="1085"/>
      <c r="AP124" s="1085"/>
      <c r="AQ124" s="1085"/>
      <c r="AR124" s="1085"/>
      <c r="AS124" s="1085"/>
      <c r="AT124" s="1085"/>
      <c r="AU124" s="1085"/>
      <c r="AV124" s="1085"/>
      <c r="AW124" s="1085"/>
      <c r="AX124" s="1085"/>
      <c r="AY124" s="1085"/>
      <c r="AZ124" s="1085"/>
      <c r="BA124" s="1085"/>
      <c r="BB124" s="1085"/>
      <c r="BC124" s="1085"/>
      <c r="BD124" s="1085"/>
      <c r="BE124" s="1081"/>
    </row>
    <row r="125" spans="1:57" ht="15.75" customHeight="1" thickBot="1">
      <c r="A125" s="1085"/>
      <c r="B125" s="1085"/>
      <c r="C125" s="1085"/>
      <c r="D125" s="1085"/>
      <c r="E125" s="1085"/>
      <c r="F125" s="1085"/>
      <c r="G125" s="1085"/>
      <c r="H125" s="1085"/>
      <c r="I125" s="1085"/>
      <c r="J125" s="1085"/>
      <c r="K125" s="1085"/>
      <c r="L125" s="1085"/>
      <c r="M125" s="1085"/>
      <c r="N125" s="1085"/>
      <c r="O125" s="1085"/>
      <c r="P125" s="1110"/>
      <c r="Q125" s="1085"/>
      <c r="R125" s="1085"/>
      <c r="S125" s="1085"/>
      <c r="T125" s="1085"/>
      <c r="U125" s="1085"/>
      <c r="V125" s="1085"/>
      <c r="W125" s="1085"/>
      <c r="X125" s="2106" t="s">
        <v>2585</v>
      </c>
      <c r="Y125" s="2107"/>
      <c r="Z125" s="2107"/>
      <c r="AA125" s="2107"/>
      <c r="AB125" s="2107"/>
      <c r="AC125" s="2107"/>
      <c r="AD125" s="2107"/>
      <c r="AE125" s="2107"/>
      <c r="AF125" s="2107"/>
      <c r="AG125" s="2107"/>
      <c r="AH125" s="2107"/>
      <c r="AI125" s="2107"/>
      <c r="AJ125" s="2107"/>
      <c r="AK125" s="2107"/>
      <c r="AL125" s="2107"/>
      <c r="AM125" s="2107"/>
      <c r="AN125" s="2107"/>
      <c r="AO125" s="2107"/>
      <c r="AP125" s="2107"/>
      <c r="AQ125" s="2107"/>
      <c r="AR125" s="2107"/>
      <c r="AS125" s="2107"/>
      <c r="AT125" s="2107"/>
      <c r="AU125" s="2107"/>
      <c r="AV125" s="2107"/>
      <c r="AW125" s="2107"/>
      <c r="AX125" s="2107"/>
      <c r="AY125" s="2107"/>
      <c r="AZ125" s="2107"/>
      <c r="BA125" s="2107"/>
      <c r="BB125" s="2107"/>
      <c r="BC125" s="2107"/>
      <c r="BD125" s="2354"/>
      <c r="BE125" s="1081"/>
    </row>
    <row r="126" spans="1:57" ht="15.75" customHeight="1">
      <c r="A126" s="1085"/>
      <c r="B126" s="2356" t="s">
        <v>2395</v>
      </c>
      <c r="C126" s="2357"/>
      <c r="D126" s="2357"/>
      <c r="E126" s="2357"/>
      <c r="F126" s="2357"/>
      <c r="G126" s="2357"/>
      <c r="H126" s="2357"/>
      <c r="I126" s="2357"/>
      <c r="J126" s="2357"/>
      <c r="K126" s="2357"/>
      <c r="L126" s="2357"/>
      <c r="M126" s="2357"/>
      <c r="N126" s="2357"/>
      <c r="O126" s="2357"/>
      <c r="P126" s="2357"/>
      <c r="Q126" s="2357"/>
      <c r="R126" s="2357"/>
      <c r="S126" s="2357"/>
      <c r="T126" s="2357"/>
      <c r="U126" s="2358"/>
      <c r="V126" s="1085"/>
      <c r="W126" s="1085"/>
      <c r="X126" s="2108"/>
      <c r="Y126" s="2109"/>
      <c r="Z126" s="2109"/>
      <c r="AA126" s="2109"/>
      <c r="AB126" s="2109"/>
      <c r="AC126" s="2109"/>
      <c r="AD126" s="2109"/>
      <c r="AE126" s="2109"/>
      <c r="AF126" s="2109"/>
      <c r="AG126" s="2109"/>
      <c r="AH126" s="2109"/>
      <c r="AI126" s="2109"/>
      <c r="AJ126" s="2109"/>
      <c r="AK126" s="2109"/>
      <c r="AL126" s="2109"/>
      <c r="AM126" s="2109"/>
      <c r="AN126" s="2109"/>
      <c r="AO126" s="2109"/>
      <c r="AP126" s="2109"/>
      <c r="AQ126" s="2109"/>
      <c r="AR126" s="2109"/>
      <c r="AS126" s="2109"/>
      <c r="AT126" s="2109"/>
      <c r="AU126" s="2109"/>
      <c r="AV126" s="2109"/>
      <c r="AW126" s="2109"/>
      <c r="AX126" s="2109"/>
      <c r="AY126" s="2109"/>
      <c r="AZ126" s="2109"/>
      <c r="BA126" s="2109"/>
      <c r="BB126" s="2109"/>
      <c r="BC126" s="2109"/>
      <c r="BD126" s="2355"/>
      <c r="BE126" s="1081"/>
    </row>
    <row r="127" spans="1:57" ht="15.75" customHeight="1">
      <c r="A127" s="1085"/>
      <c r="B127" s="2319"/>
      <c r="C127" s="2320"/>
      <c r="D127" s="2320"/>
      <c r="E127" s="2320"/>
      <c r="F127" s="2320"/>
      <c r="G127" s="2320"/>
      <c r="H127" s="2320"/>
      <c r="I127" s="2099" t="s">
        <v>2586</v>
      </c>
      <c r="J127" s="2099"/>
      <c r="K127" s="2099"/>
      <c r="L127" s="2099"/>
      <c r="M127" s="2099"/>
      <c r="N127" s="2099"/>
      <c r="O127" s="2359" t="s">
        <v>2587</v>
      </c>
      <c r="P127" s="2359"/>
      <c r="Q127" s="2359"/>
      <c r="R127" s="2359"/>
      <c r="S127" s="2359"/>
      <c r="T127" s="2359"/>
      <c r="U127" s="2360"/>
      <c r="V127" s="1085"/>
      <c r="W127" s="1085"/>
      <c r="X127" s="2322" t="s">
        <v>2560</v>
      </c>
      <c r="Y127" s="2323"/>
      <c r="Z127" s="2323"/>
      <c r="AA127" s="2323"/>
      <c r="AB127" s="2323"/>
      <c r="AC127" s="2323"/>
      <c r="AD127" s="2323"/>
      <c r="AE127" s="2323"/>
      <c r="AF127" s="2323"/>
      <c r="AG127" s="2323"/>
      <c r="AH127" s="2323"/>
      <c r="AI127" s="2323"/>
      <c r="AJ127" s="2323"/>
      <c r="AK127" s="2323"/>
      <c r="AL127" s="2323"/>
      <c r="AM127" s="2323"/>
      <c r="AN127" s="2323"/>
      <c r="AO127" s="2323"/>
      <c r="AP127" s="2323"/>
      <c r="AQ127" s="2323"/>
      <c r="AR127" s="2323"/>
      <c r="AS127" s="2323"/>
      <c r="AT127" s="2323"/>
      <c r="AU127" s="2323"/>
      <c r="AV127" s="2323"/>
      <c r="AW127" s="2323"/>
      <c r="AX127" s="2323"/>
      <c r="AY127" s="2323"/>
      <c r="AZ127" s="2323"/>
      <c r="BA127" s="2323"/>
      <c r="BB127" s="2323"/>
      <c r="BC127" s="2323"/>
      <c r="BD127" s="2324"/>
      <c r="BE127" s="1081"/>
    </row>
    <row r="128" spans="1:57" ht="15.75" customHeight="1">
      <c r="A128" s="1085"/>
      <c r="B128" s="2336" t="s">
        <v>2588</v>
      </c>
      <c r="C128" s="2337"/>
      <c r="D128" s="2337"/>
      <c r="E128" s="2337"/>
      <c r="F128" s="2337"/>
      <c r="G128" s="2337"/>
      <c r="H128" s="2337"/>
      <c r="I128" s="2096">
        <v>0</v>
      </c>
      <c r="J128" s="2096"/>
      <c r="K128" s="2096"/>
      <c r="L128" s="2096"/>
      <c r="M128" s="2096"/>
      <c r="N128" s="2096"/>
      <c r="O128" s="2096">
        <v>0</v>
      </c>
      <c r="P128" s="2096"/>
      <c r="Q128" s="2096"/>
      <c r="R128" s="2096"/>
      <c r="S128" s="2096"/>
      <c r="T128" s="2096"/>
      <c r="U128" s="2097"/>
      <c r="V128" s="1085"/>
      <c r="W128" s="1085"/>
      <c r="X128" s="2322"/>
      <c r="Y128" s="2323"/>
      <c r="Z128" s="2323"/>
      <c r="AA128" s="2323"/>
      <c r="AB128" s="2323"/>
      <c r="AC128" s="2323"/>
      <c r="AD128" s="2323"/>
      <c r="AE128" s="2323"/>
      <c r="AF128" s="2323"/>
      <c r="AG128" s="2323"/>
      <c r="AH128" s="2323"/>
      <c r="AI128" s="2323"/>
      <c r="AJ128" s="2323"/>
      <c r="AK128" s="2323"/>
      <c r="AL128" s="2323"/>
      <c r="AM128" s="2323"/>
      <c r="AN128" s="2323"/>
      <c r="AO128" s="2323"/>
      <c r="AP128" s="2323"/>
      <c r="AQ128" s="2323"/>
      <c r="AR128" s="2323"/>
      <c r="AS128" s="2323"/>
      <c r="AT128" s="2323"/>
      <c r="AU128" s="2323"/>
      <c r="AV128" s="2323"/>
      <c r="AW128" s="2323"/>
      <c r="AX128" s="2323"/>
      <c r="AY128" s="2323"/>
      <c r="AZ128" s="2323"/>
      <c r="BA128" s="2323"/>
      <c r="BB128" s="2323"/>
      <c r="BC128" s="2323"/>
      <c r="BD128" s="2324"/>
      <c r="BE128" s="1081"/>
    </row>
    <row r="129" spans="1:57" ht="15.75" customHeight="1" thickBot="1">
      <c r="A129" s="1085"/>
      <c r="B129" s="2338" t="s">
        <v>2589</v>
      </c>
      <c r="C129" s="2339"/>
      <c r="D129" s="2339"/>
      <c r="E129" s="2339"/>
      <c r="F129" s="2339"/>
      <c r="G129" s="2339"/>
      <c r="H129" s="2339"/>
      <c r="I129" s="2094">
        <v>0</v>
      </c>
      <c r="J129" s="2094"/>
      <c r="K129" s="2094"/>
      <c r="L129" s="2094"/>
      <c r="M129" s="2094"/>
      <c r="N129" s="2094"/>
      <c r="O129" s="2361"/>
      <c r="P129" s="2361"/>
      <c r="Q129" s="2361"/>
      <c r="R129" s="2361"/>
      <c r="S129" s="2361"/>
      <c r="T129" s="2361"/>
      <c r="U129" s="2362"/>
      <c r="V129" s="1085"/>
      <c r="W129" s="1085"/>
      <c r="X129" s="2322"/>
      <c r="Y129" s="2323"/>
      <c r="Z129" s="2323"/>
      <c r="AA129" s="2323"/>
      <c r="AB129" s="2323"/>
      <c r="AC129" s="2323"/>
      <c r="AD129" s="2323"/>
      <c r="AE129" s="2323"/>
      <c r="AF129" s="2323"/>
      <c r="AG129" s="2323"/>
      <c r="AH129" s="2323"/>
      <c r="AI129" s="2323"/>
      <c r="AJ129" s="2323"/>
      <c r="AK129" s="2323"/>
      <c r="AL129" s="2323"/>
      <c r="AM129" s="2323"/>
      <c r="AN129" s="2323"/>
      <c r="AO129" s="2323"/>
      <c r="AP129" s="2323"/>
      <c r="AQ129" s="2323"/>
      <c r="AR129" s="2323"/>
      <c r="AS129" s="2323"/>
      <c r="AT129" s="2323"/>
      <c r="AU129" s="2323"/>
      <c r="AV129" s="2323"/>
      <c r="AW129" s="2323"/>
      <c r="AX129" s="2323"/>
      <c r="AY129" s="2323"/>
      <c r="AZ129" s="2323"/>
      <c r="BA129" s="2323"/>
      <c r="BB129" s="2323"/>
      <c r="BC129" s="2323"/>
      <c r="BD129" s="2324"/>
      <c r="BE129" s="1081"/>
    </row>
    <row r="130" spans="1:57" ht="15.75" customHeight="1" thickBot="1">
      <c r="A130" s="1085"/>
      <c r="B130" s="1085"/>
      <c r="C130" s="1085"/>
      <c r="D130" s="1085"/>
      <c r="E130" s="1085"/>
      <c r="F130" s="1085"/>
      <c r="G130" s="1085"/>
      <c r="H130" s="1085"/>
      <c r="I130" s="1085"/>
      <c r="J130" s="1085"/>
      <c r="K130" s="1085"/>
      <c r="L130" s="1085"/>
      <c r="M130" s="1085"/>
      <c r="N130" s="1085"/>
      <c r="O130" s="1085"/>
      <c r="P130" s="1085"/>
      <c r="Q130" s="1085"/>
      <c r="R130" s="1085"/>
      <c r="S130" s="1085"/>
      <c r="T130" s="1085"/>
      <c r="U130" s="1085"/>
      <c r="V130" s="1085"/>
      <c r="W130" s="1085"/>
      <c r="X130" s="2322"/>
      <c r="Y130" s="2323"/>
      <c r="Z130" s="2323"/>
      <c r="AA130" s="2323"/>
      <c r="AB130" s="2323"/>
      <c r="AC130" s="2323"/>
      <c r="AD130" s="2323"/>
      <c r="AE130" s="2323"/>
      <c r="AF130" s="2323"/>
      <c r="AG130" s="2323"/>
      <c r="AH130" s="2323"/>
      <c r="AI130" s="2323"/>
      <c r="AJ130" s="2323"/>
      <c r="AK130" s="2323"/>
      <c r="AL130" s="2323"/>
      <c r="AM130" s="2323"/>
      <c r="AN130" s="2323"/>
      <c r="AO130" s="2323"/>
      <c r="AP130" s="2323"/>
      <c r="AQ130" s="2323"/>
      <c r="AR130" s="2323"/>
      <c r="AS130" s="2323"/>
      <c r="AT130" s="2323"/>
      <c r="AU130" s="2323"/>
      <c r="AV130" s="2323"/>
      <c r="AW130" s="2323"/>
      <c r="AX130" s="2323"/>
      <c r="AY130" s="2323"/>
      <c r="AZ130" s="2323"/>
      <c r="BA130" s="2323"/>
      <c r="BB130" s="2323"/>
      <c r="BC130" s="2323"/>
      <c r="BD130" s="2324"/>
      <c r="BE130" s="1081"/>
    </row>
    <row r="131" spans="1:57" ht="15.75" customHeight="1" thickBot="1">
      <c r="A131" s="1085"/>
      <c r="B131" s="1107" t="s">
        <v>2590</v>
      </c>
      <c r="C131" s="1106"/>
      <c r="D131" s="1106"/>
      <c r="E131" s="1106"/>
      <c r="F131" s="1106"/>
      <c r="G131" s="1106"/>
      <c r="H131" s="1106"/>
      <c r="I131" s="1106"/>
      <c r="J131" s="1106"/>
      <c r="K131" s="1106"/>
      <c r="L131" s="1106"/>
      <c r="M131" s="1106"/>
      <c r="N131" s="1106"/>
      <c r="O131" s="1106"/>
      <c r="P131" s="1108"/>
      <c r="Q131" s="1096" t="s">
        <v>253</v>
      </c>
      <c r="R131" s="1096" t="s">
        <v>253</v>
      </c>
      <c r="S131" s="1085"/>
      <c r="T131" s="1085"/>
      <c r="U131" s="1085"/>
      <c r="V131" s="1085" t="s">
        <v>253</v>
      </c>
      <c r="W131" s="1085"/>
      <c r="X131" s="2322"/>
      <c r="Y131" s="2323"/>
      <c r="Z131" s="2323"/>
      <c r="AA131" s="2323"/>
      <c r="AB131" s="2323"/>
      <c r="AC131" s="2323"/>
      <c r="AD131" s="2323"/>
      <c r="AE131" s="2323"/>
      <c r="AF131" s="2323"/>
      <c r="AG131" s="2323"/>
      <c r="AH131" s="2323"/>
      <c r="AI131" s="2323"/>
      <c r="AJ131" s="2323"/>
      <c r="AK131" s="2323"/>
      <c r="AL131" s="2323"/>
      <c r="AM131" s="2323"/>
      <c r="AN131" s="2323"/>
      <c r="AO131" s="2323"/>
      <c r="AP131" s="2323"/>
      <c r="AQ131" s="2323"/>
      <c r="AR131" s="2323"/>
      <c r="AS131" s="2323"/>
      <c r="AT131" s="2323"/>
      <c r="AU131" s="2323"/>
      <c r="AV131" s="2323"/>
      <c r="AW131" s="2323"/>
      <c r="AX131" s="2323"/>
      <c r="AY131" s="2323"/>
      <c r="AZ131" s="2323"/>
      <c r="BA131" s="2323"/>
      <c r="BB131" s="2323"/>
      <c r="BC131" s="2323"/>
      <c r="BD131" s="2324"/>
      <c r="BE131" s="1081"/>
    </row>
    <row r="132" spans="1:57" ht="15.75" customHeight="1" thickBot="1">
      <c r="A132" s="1085"/>
      <c r="B132" s="1085"/>
      <c r="C132" s="1085"/>
      <c r="D132" s="1085"/>
      <c r="E132" s="1085"/>
      <c r="F132" s="1085"/>
      <c r="G132" s="1085"/>
      <c r="H132" s="1085"/>
      <c r="I132" s="1085"/>
      <c r="J132" s="1085"/>
      <c r="K132" s="1085"/>
      <c r="L132" s="1085"/>
      <c r="M132" s="1085"/>
      <c r="N132" s="1085"/>
      <c r="O132" s="1085"/>
      <c r="P132" s="1085"/>
      <c r="Q132" s="1085"/>
      <c r="R132" s="1085"/>
      <c r="S132" s="1085"/>
      <c r="T132" s="1085"/>
      <c r="U132" s="1085"/>
      <c r="V132" s="1085"/>
      <c r="W132" s="1085"/>
      <c r="X132" s="2322"/>
      <c r="Y132" s="2323"/>
      <c r="Z132" s="2323"/>
      <c r="AA132" s="2323"/>
      <c r="AB132" s="2323"/>
      <c r="AC132" s="2323"/>
      <c r="AD132" s="2323"/>
      <c r="AE132" s="2323"/>
      <c r="AF132" s="2323"/>
      <c r="AG132" s="2323"/>
      <c r="AH132" s="2323"/>
      <c r="AI132" s="2323"/>
      <c r="AJ132" s="2323"/>
      <c r="AK132" s="2323"/>
      <c r="AL132" s="2323"/>
      <c r="AM132" s="2323"/>
      <c r="AN132" s="2323"/>
      <c r="AO132" s="2323"/>
      <c r="AP132" s="2323"/>
      <c r="AQ132" s="2323"/>
      <c r="AR132" s="2323"/>
      <c r="AS132" s="2323"/>
      <c r="AT132" s="2323"/>
      <c r="AU132" s="2323"/>
      <c r="AV132" s="2323"/>
      <c r="AW132" s="2323"/>
      <c r="AX132" s="2323"/>
      <c r="AY132" s="2323"/>
      <c r="AZ132" s="2323"/>
      <c r="BA132" s="2323"/>
      <c r="BB132" s="2323"/>
      <c r="BC132" s="2323"/>
      <c r="BD132" s="2324"/>
      <c r="BE132" s="1081"/>
    </row>
    <row r="133" spans="1:57" ht="15.75" customHeight="1">
      <c r="A133" s="1085"/>
      <c r="B133" s="2351" t="s">
        <v>2591</v>
      </c>
      <c r="C133" s="2352"/>
      <c r="D133" s="2352"/>
      <c r="E133" s="2352"/>
      <c r="F133" s="2352"/>
      <c r="G133" s="2352"/>
      <c r="H133" s="2352"/>
      <c r="I133" s="2352"/>
      <c r="J133" s="2352"/>
      <c r="K133" s="2352"/>
      <c r="L133" s="2352"/>
      <c r="M133" s="2352"/>
      <c r="N133" s="2352"/>
      <c r="O133" s="2352"/>
      <c r="P133" s="2352"/>
      <c r="Q133" s="2352"/>
      <c r="R133" s="2352"/>
      <c r="S133" s="2352"/>
      <c r="T133" s="2352"/>
      <c r="U133" s="2353"/>
      <c r="V133" s="1085"/>
      <c r="W133" s="1085"/>
      <c r="X133" s="2322"/>
      <c r="Y133" s="2323"/>
      <c r="Z133" s="2323"/>
      <c r="AA133" s="2323"/>
      <c r="AB133" s="2323"/>
      <c r="AC133" s="2323"/>
      <c r="AD133" s="2323"/>
      <c r="AE133" s="2323"/>
      <c r="AF133" s="2323"/>
      <c r="AG133" s="2323"/>
      <c r="AH133" s="2323"/>
      <c r="AI133" s="2323"/>
      <c r="AJ133" s="2323"/>
      <c r="AK133" s="2323"/>
      <c r="AL133" s="2323"/>
      <c r="AM133" s="2323"/>
      <c r="AN133" s="2323"/>
      <c r="AO133" s="2323"/>
      <c r="AP133" s="2323"/>
      <c r="AQ133" s="2323"/>
      <c r="AR133" s="2323"/>
      <c r="AS133" s="2323"/>
      <c r="AT133" s="2323"/>
      <c r="AU133" s="2323"/>
      <c r="AV133" s="2323"/>
      <c r="AW133" s="2323"/>
      <c r="AX133" s="2323"/>
      <c r="AY133" s="2323"/>
      <c r="AZ133" s="2323"/>
      <c r="BA133" s="2323"/>
      <c r="BB133" s="2323"/>
      <c r="BC133" s="2323"/>
      <c r="BD133" s="2324"/>
      <c r="BE133" s="1081"/>
    </row>
    <row r="134" spans="1:57" ht="15.75" customHeight="1">
      <c r="A134" s="1085"/>
      <c r="B134" s="2319"/>
      <c r="C134" s="2320"/>
      <c r="D134" s="2320"/>
      <c r="E134" s="2320"/>
      <c r="F134" s="2320"/>
      <c r="G134" s="2320"/>
      <c r="H134" s="2320"/>
      <c r="I134" s="2334" t="s">
        <v>2568</v>
      </c>
      <c r="J134" s="2334"/>
      <c r="K134" s="2334"/>
      <c r="L134" s="2334"/>
      <c r="M134" s="2334"/>
      <c r="N134" s="2334"/>
      <c r="O134" s="2334"/>
      <c r="P134" s="2334" t="s">
        <v>2569</v>
      </c>
      <c r="Q134" s="2334"/>
      <c r="R134" s="2334"/>
      <c r="S134" s="2334"/>
      <c r="T134" s="2334"/>
      <c r="U134" s="2335"/>
      <c r="V134" s="1085"/>
      <c r="W134" s="1085"/>
      <c r="X134" s="2322"/>
      <c r="Y134" s="2323"/>
      <c r="Z134" s="2323"/>
      <c r="AA134" s="2323"/>
      <c r="AB134" s="2323"/>
      <c r="AC134" s="2323"/>
      <c r="AD134" s="2323"/>
      <c r="AE134" s="2323"/>
      <c r="AF134" s="2323"/>
      <c r="AG134" s="2323"/>
      <c r="AH134" s="2323"/>
      <c r="AI134" s="2323"/>
      <c r="AJ134" s="2323"/>
      <c r="AK134" s="2323"/>
      <c r="AL134" s="2323"/>
      <c r="AM134" s="2323"/>
      <c r="AN134" s="2323"/>
      <c r="AO134" s="2323"/>
      <c r="AP134" s="2323"/>
      <c r="AQ134" s="2323"/>
      <c r="AR134" s="2323"/>
      <c r="AS134" s="2323"/>
      <c r="AT134" s="2323"/>
      <c r="AU134" s="2323"/>
      <c r="AV134" s="2323"/>
      <c r="AW134" s="2323"/>
      <c r="AX134" s="2323"/>
      <c r="AY134" s="2323"/>
      <c r="AZ134" s="2323"/>
      <c r="BA134" s="2323"/>
      <c r="BB134" s="2323"/>
      <c r="BC134" s="2323"/>
      <c r="BD134" s="2324"/>
      <c r="BE134" s="1081"/>
    </row>
    <row r="135" spans="1:57" ht="15.75" customHeight="1">
      <c r="A135" s="1085"/>
      <c r="B135" s="2319"/>
      <c r="C135" s="2320"/>
      <c r="D135" s="2320"/>
      <c r="E135" s="2320"/>
      <c r="F135" s="2320"/>
      <c r="G135" s="2320"/>
      <c r="H135" s="2320"/>
      <c r="I135" s="2334"/>
      <c r="J135" s="2334"/>
      <c r="K135" s="2334"/>
      <c r="L135" s="2334"/>
      <c r="M135" s="2334"/>
      <c r="N135" s="2334"/>
      <c r="O135" s="2334"/>
      <c r="P135" s="2334"/>
      <c r="Q135" s="2334"/>
      <c r="R135" s="2334"/>
      <c r="S135" s="2334"/>
      <c r="T135" s="2334"/>
      <c r="U135" s="2335"/>
      <c r="V135" s="1085"/>
      <c r="W135" s="1085"/>
      <c r="X135" s="2322"/>
      <c r="Y135" s="2323"/>
      <c r="Z135" s="2323"/>
      <c r="AA135" s="2323"/>
      <c r="AB135" s="2323"/>
      <c r="AC135" s="2323"/>
      <c r="AD135" s="2323"/>
      <c r="AE135" s="2323"/>
      <c r="AF135" s="2323"/>
      <c r="AG135" s="2323"/>
      <c r="AH135" s="2323"/>
      <c r="AI135" s="2323"/>
      <c r="AJ135" s="2323"/>
      <c r="AK135" s="2323"/>
      <c r="AL135" s="2323"/>
      <c r="AM135" s="2323"/>
      <c r="AN135" s="2323"/>
      <c r="AO135" s="2323"/>
      <c r="AP135" s="2323"/>
      <c r="AQ135" s="2323"/>
      <c r="AR135" s="2323"/>
      <c r="AS135" s="2323"/>
      <c r="AT135" s="2323"/>
      <c r="AU135" s="2323"/>
      <c r="AV135" s="2323"/>
      <c r="AW135" s="2323"/>
      <c r="AX135" s="2323"/>
      <c r="AY135" s="2323"/>
      <c r="AZ135" s="2323"/>
      <c r="BA135" s="2323"/>
      <c r="BB135" s="2323"/>
      <c r="BC135" s="2323"/>
      <c r="BD135" s="2324"/>
      <c r="BE135" s="1081"/>
    </row>
    <row r="136" spans="1:57" ht="15.75" customHeight="1">
      <c r="A136" s="1085"/>
      <c r="B136" s="2336" t="s">
        <v>2588</v>
      </c>
      <c r="C136" s="2337"/>
      <c r="D136" s="2337"/>
      <c r="E136" s="2337"/>
      <c r="F136" s="2337"/>
      <c r="G136" s="2337"/>
      <c r="H136" s="2337"/>
      <c r="I136" s="2096">
        <v>0</v>
      </c>
      <c r="J136" s="2096"/>
      <c r="K136" s="2096"/>
      <c r="L136" s="2096"/>
      <c r="M136" s="2096"/>
      <c r="N136" s="2096"/>
      <c r="O136" s="2096"/>
      <c r="P136" s="2096">
        <v>0</v>
      </c>
      <c r="Q136" s="2096"/>
      <c r="R136" s="2096"/>
      <c r="S136" s="2096"/>
      <c r="T136" s="2096"/>
      <c r="U136" s="2097"/>
      <c r="V136" s="1085"/>
      <c r="W136" s="1085"/>
      <c r="X136" s="2322"/>
      <c r="Y136" s="2323"/>
      <c r="Z136" s="2323"/>
      <c r="AA136" s="2323"/>
      <c r="AB136" s="2323"/>
      <c r="AC136" s="2323"/>
      <c r="AD136" s="2323"/>
      <c r="AE136" s="2323"/>
      <c r="AF136" s="2323"/>
      <c r="AG136" s="2323"/>
      <c r="AH136" s="2323"/>
      <c r="AI136" s="2323"/>
      <c r="AJ136" s="2323"/>
      <c r="AK136" s="2323"/>
      <c r="AL136" s="2323"/>
      <c r="AM136" s="2323"/>
      <c r="AN136" s="2323"/>
      <c r="AO136" s="2323"/>
      <c r="AP136" s="2323"/>
      <c r="AQ136" s="2323"/>
      <c r="AR136" s="2323"/>
      <c r="AS136" s="2323"/>
      <c r="AT136" s="2323"/>
      <c r="AU136" s="2323"/>
      <c r="AV136" s="2323"/>
      <c r="AW136" s="2323"/>
      <c r="AX136" s="2323"/>
      <c r="AY136" s="2323"/>
      <c r="AZ136" s="2323"/>
      <c r="BA136" s="2323"/>
      <c r="BB136" s="2323"/>
      <c r="BC136" s="2323"/>
      <c r="BD136" s="2324"/>
      <c r="BE136" s="1081"/>
    </row>
    <row r="137" spans="1:57" ht="15.75" customHeight="1" thickBot="1">
      <c r="A137" s="1085"/>
      <c r="B137" s="2338" t="s">
        <v>2589</v>
      </c>
      <c r="C137" s="2339"/>
      <c r="D137" s="2339"/>
      <c r="E137" s="2339"/>
      <c r="F137" s="2339"/>
      <c r="G137" s="2339"/>
      <c r="H137" s="2339"/>
      <c r="I137" s="2094">
        <v>0</v>
      </c>
      <c r="J137" s="2094"/>
      <c r="K137" s="2094"/>
      <c r="L137" s="2094"/>
      <c r="M137" s="2094"/>
      <c r="N137" s="2094"/>
      <c r="O137" s="2094"/>
      <c r="P137" s="2094">
        <v>0</v>
      </c>
      <c r="Q137" s="2094"/>
      <c r="R137" s="2094"/>
      <c r="S137" s="2094"/>
      <c r="T137" s="2094"/>
      <c r="U137" s="2095"/>
      <c r="V137" s="1085"/>
      <c r="W137" s="1085"/>
      <c r="X137" s="2325"/>
      <c r="Y137" s="2326"/>
      <c r="Z137" s="2326"/>
      <c r="AA137" s="2326"/>
      <c r="AB137" s="2326"/>
      <c r="AC137" s="2326"/>
      <c r="AD137" s="2326"/>
      <c r="AE137" s="2326"/>
      <c r="AF137" s="2326"/>
      <c r="AG137" s="2326"/>
      <c r="AH137" s="2326"/>
      <c r="AI137" s="2326"/>
      <c r="AJ137" s="2326"/>
      <c r="AK137" s="2326"/>
      <c r="AL137" s="2326"/>
      <c r="AM137" s="2326"/>
      <c r="AN137" s="2326"/>
      <c r="AO137" s="2326"/>
      <c r="AP137" s="2326"/>
      <c r="AQ137" s="2326"/>
      <c r="AR137" s="2326"/>
      <c r="AS137" s="2326"/>
      <c r="AT137" s="2326"/>
      <c r="AU137" s="2326"/>
      <c r="AV137" s="2326"/>
      <c r="AW137" s="2326"/>
      <c r="AX137" s="2326"/>
      <c r="AY137" s="2326"/>
      <c r="AZ137" s="2326"/>
      <c r="BA137" s="2326"/>
      <c r="BB137" s="2326"/>
      <c r="BC137" s="2326"/>
      <c r="BD137" s="2327"/>
      <c r="BE137" s="1081"/>
    </row>
    <row r="138" spans="1:57" ht="15.75" customHeight="1" thickBot="1">
      <c r="A138" s="1085"/>
      <c r="B138" s="1085"/>
      <c r="C138" s="1085"/>
      <c r="D138" s="1085"/>
      <c r="E138" s="1085"/>
      <c r="F138" s="1085"/>
      <c r="G138" s="1085"/>
      <c r="H138" s="1085"/>
      <c r="I138" s="1085"/>
      <c r="J138" s="1085"/>
      <c r="K138" s="1085"/>
      <c r="L138" s="1085"/>
      <c r="M138" s="1085"/>
      <c r="N138" s="1085"/>
      <c r="O138" s="1085"/>
      <c r="P138" s="1085"/>
      <c r="Q138" s="1109"/>
      <c r="R138" s="1085"/>
      <c r="S138" s="1085"/>
      <c r="T138" s="1085"/>
      <c r="U138" s="1085"/>
      <c r="V138" s="1085"/>
      <c r="W138" s="1085"/>
      <c r="X138" s="1085"/>
      <c r="Y138" s="1085"/>
      <c r="Z138" s="1085"/>
      <c r="AA138" s="1085"/>
      <c r="AB138" s="1085"/>
      <c r="AC138" s="1085"/>
      <c r="AD138" s="1085"/>
      <c r="AE138" s="1085"/>
      <c r="AF138" s="1085"/>
      <c r="AG138" s="1085"/>
      <c r="AH138" s="1085"/>
      <c r="AI138" s="1085"/>
      <c r="AJ138" s="1085"/>
      <c r="AK138" s="1085"/>
      <c r="AL138" s="1085"/>
      <c r="AM138" s="1085"/>
      <c r="AN138" s="1085"/>
      <c r="AO138" s="1085"/>
      <c r="AP138" s="1085"/>
      <c r="AQ138" s="1085"/>
      <c r="AR138" s="1085"/>
      <c r="AS138" s="1085"/>
      <c r="AT138" s="1085"/>
      <c r="AU138" s="1085"/>
      <c r="AV138" s="1085"/>
      <c r="AW138" s="1085"/>
      <c r="AX138" s="1085"/>
      <c r="AY138" s="1085"/>
      <c r="AZ138" s="1085"/>
      <c r="BA138" s="1085"/>
      <c r="BB138" s="1085"/>
      <c r="BC138" s="1085"/>
      <c r="BD138" s="1085"/>
      <c r="BE138" s="1081"/>
    </row>
    <row r="139" spans="1:57" ht="15.75" customHeight="1">
      <c r="A139" s="1085"/>
      <c r="B139" s="2316" t="s">
        <v>2592</v>
      </c>
      <c r="C139" s="2317"/>
      <c r="D139" s="2317"/>
      <c r="E139" s="2317"/>
      <c r="F139" s="2317"/>
      <c r="G139" s="2317"/>
      <c r="H139" s="2317"/>
      <c r="I139" s="2317"/>
      <c r="J139" s="2317"/>
      <c r="K139" s="2317"/>
      <c r="L139" s="2317"/>
      <c r="M139" s="2317"/>
      <c r="N139" s="2317"/>
      <c r="O139" s="2317"/>
      <c r="P139" s="2317"/>
      <c r="Q139" s="2317"/>
      <c r="R139" s="2317"/>
      <c r="S139" s="2317"/>
      <c r="T139" s="2317"/>
      <c r="U139" s="2317"/>
      <c r="V139" s="2317"/>
      <c r="W139" s="2317"/>
      <c r="X139" s="2317"/>
      <c r="Y139" s="2317"/>
      <c r="Z139" s="2317"/>
      <c r="AA139" s="2317"/>
      <c r="AB139" s="2317"/>
      <c r="AC139" s="2317"/>
      <c r="AD139" s="2317"/>
      <c r="AE139" s="2317"/>
      <c r="AF139" s="2317"/>
      <c r="AG139" s="2317"/>
      <c r="AH139" s="2155" t="s">
        <v>836</v>
      </c>
      <c r="AI139" s="2155"/>
      <c r="AJ139" s="2155"/>
      <c r="AK139" s="2155"/>
      <c r="AL139" s="2155"/>
      <c r="AM139" s="2155"/>
      <c r="AN139" s="2155"/>
      <c r="AO139" s="2155"/>
      <c r="AP139" s="2155"/>
      <c r="AQ139" s="2155"/>
      <c r="AR139" s="2155"/>
      <c r="AS139" s="2155"/>
      <c r="AT139" s="2155"/>
      <c r="AU139" s="2155"/>
      <c r="AV139" s="2155"/>
      <c r="AW139" s="2155"/>
      <c r="AX139" s="2156"/>
      <c r="AY139" s="1085"/>
      <c r="AZ139" s="1085"/>
      <c r="BA139" s="1085"/>
      <c r="BB139" s="1085"/>
      <c r="BC139" s="1085"/>
      <c r="BD139" s="1085"/>
      <c r="BE139" s="1081"/>
    </row>
    <row r="140" spans="1:57" ht="15.75" customHeight="1">
      <c r="A140" s="1085"/>
      <c r="B140" s="2341" t="s">
        <v>2593</v>
      </c>
      <c r="C140" s="2342"/>
      <c r="D140" s="2342"/>
      <c r="E140" s="2342"/>
      <c r="F140" s="2342"/>
      <c r="G140" s="2342"/>
      <c r="H140" s="2342"/>
      <c r="I140" s="2342"/>
      <c r="J140" s="2342"/>
      <c r="K140" s="2342"/>
      <c r="L140" s="2342"/>
      <c r="M140" s="2342"/>
      <c r="N140" s="2342"/>
      <c r="O140" s="2342"/>
      <c r="P140" s="2342"/>
      <c r="Q140" s="2342"/>
      <c r="R140" s="2343" t="s">
        <v>2594</v>
      </c>
      <c r="S140" s="2343"/>
      <c r="T140" s="2343"/>
      <c r="U140" s="2343"/>
      <c r="V140" s="2343"/>
      <c r="W140" s="2343"/>
      <c r="X140" s="2343"/>
      <c r="Y140" s="2343"/>
      <c r="Z140" s="2343"/>
      <c r="AA140" s="2343"/>
      <c r="AB140" s="2343"/>
      <c r="AC140" s="2343"/>
      <c r="AD140" s="2343"/>
      <c r="AE140" s="2343"/>
      <c r="AF140" s="2343"/>
      <c r="AG140" s="2343"/>
      <c r="AH140" s="2343"/>
      <c r="AI140" s="2343"/>
      <c r="AJ140" s="2343"/>
      <c r="AK140" s="2343"/>
      <c r="AL140" s="2343"/>
      <c r="AM140" s="2343"/>
      <c r="AN140" s="2343"/>
      <c r="AO140" s="2343"/>
      <c r="AP140" s="2343"/>
      <c r="AQ140" s="2343"/>
      <c r="AR140" s="2343"/>
      <c r="AS140" s="2343"/>
      <c r="AT140" s="2343"/>
      <c r="AU140" s="2343"/>
      <c r="AV140" s="2343"/>
      <c r="AW140" s="2343"/>
      <c r="AX140" s="2344"/>
      <c r="AY140" s="1085"/>
      <c r="AZ140" s="1085"/>
      <c r="BA140" s="1085"/>
      <c r="BB140" s="1085"/>
      <c r="BC140" s="1085" t="s">
        <v>253</v>
      </c>
      <c r="BD140" s="1085"/>
      <c r="BE140" s="1081"/>
    </row>
    <row r="141" spans="1:57" ht="15.75" customHeight="1">
      <c r="A141" s="1085"/>
      <c r="B141" s="2345" t="s">
        <v>2595</v>
      </c>
      <c r="C141" s="2346"/>
      <c r="D141" s="2346"/>
      <c r="E141" s="2346"/>
      <c r="F141" s="2346"/>
      <c r="G141" s="2346"/>
      <c r="H141" s="2346"/>
      <c r="I141" s="2346"/>
      <c r="J141" s="2346"/>
      <c r="K141" s="2346"/>
      <c r="L141" s="2346"/>
      <c r="M141" s="2346"/>
      <c r="N141" s="2346"/>
      <c r="O141" s="2346"/>
      <c r="P141" s="2346"/>
      <c r="Q141" s="2346"/>
      <c r="R141" s="2346"/>
      <c r="S141" s="2346"/>
      <c r="T141" s="2346"/>
      <c r="U141" s="2346"/>
      <c r="V141" s="2346"/>
      <c r="W141" s="2346"/>
      <c r="X141" s="2346"/>
      <c r="Y141" s="2346"/>
      <c r="Z141" s="2346"/>
      <c r="AA141" s="2346"/>
      <c r="AB141" s="2346"/>
      <c r="AC141" s="2346"/>
      <c r="AD141" s="2346"/>
      <c r="AE141" s="2346"/>
      <c r="AF141" s="2346"/>
      <c r="AG141" s="2346"/>
      <c r="AH141" s="2346"/>
      <c r="AI141" s="2346"/>
      <c r="AJ141" s="2346"/>
      <c r="AK141" s="2346"/>
      <c r="AL141" s="2346"/>
      <c r="AM141" s="2346"/>
      <c r="AN141" s="2346"/>
      <c r="AO141" s="2346"/>
      <c r="AP141" s="2346"/>
      <c r="AQ141" s="2346"/>
      <c r="AR141" s="2346"/>
      <c r="AS141" s="2346"/>
      <c r="AT141" s="2346"/>
      <c r="AU141" s="2346"/>
      <c r="AV141" s="2346"/>
      <c r="AW141" s="2346"/>
      <c r="AX141" s="2347"/>
      <c r="AY141" s="1085"/>
      <c r="AZ141" s="1085"/>
      <c r="BA141" s="1085"/>
      <c r="BB141" s="1085"/>
      <c r="BC141" s="1085"/>
      <c r="BD141" s="1085"/>
      <c r="BE141" s="1081"/>
    </row>
    <row r="142" spans="1:57" ht="15.75" customHeight="1">
      <c r="A142" s="1085"/>
      <c r="B142" s="2345"/>
      <c r="C142" s="2346"/>
      <c r="D142" s="2346"/>
      <c r="E142" s="2346"/>
      <c r="F142" s="2346"/>
      <c r="G142" s="2346"/>
      <c r="H142" s="2346"/>
      <c r="I142" s="2346"/>
      <c r="J142" s="2346"/>
      <c r="K142" s="2346"/>
      <c r="L142" s="2346"/>
      <c r="M142" s="2346"/>
      <c r="N142" s="2346"/>
      <c r="O142" s="2346"/>
      <c r="P142" s="2346"/>
      <c r="Q142" s="2346"/>
      <c r="R142" s="2346"/>
      <c r="S142" s="2346"/>
      <c r="T142" s="2346"/>
      <c r="U142" s="2346"/>
      <c r="V142" s="2346"/>
      <c r="W142" s="2346"/>
      <c r="X142" s="2346"/>
      <c r="Y142" s="2346"/>
      <c r="Z142" s="2346"/>
      <c r="AA142" s="2346"/>
      <c r="AB142" s="2346"/>
      <c r="AC142" s="2346"/>
      <c r="AD142" s="2346"/>
      <c r="AE142" s="2346"/>
      <c r="AF142" s="2346"/>
      <c r="AG142" s="2346"/>
      <c r="AH142" s="2346"/>
      <c r="AI142" s="2346"/>
      <c r="AJ142" s="2346"/>
      <c r="AK142" s="2346"/>
      <c r="AL142" s="2346"/>
      <c r="AM142" s="2346"/>
      <c r="AN142" s="2346"/>
      <c r="AO142" s="2346"/>
      <c r="AP142" s="2346"/>
      <c r="AQ142" s="2346"/>
      <c r="AR142" s="2346"/>
      <c r="AS142" s="2346"/>
      <c r="AT142" s="2346"/>
      <c r="AU142" s="2346"/>
      <c r="AV142" s="2346"/>
      <c r="AW142" s="2346"/>
      <c r="AX142" s="2347"/>
      <c r="AY142" s="1085"/>
      <c r="AZ142" s="1085"/>
      <c r="BA142" s="1085"/>
      <c r="BB142" s="1085"/>
      <c r="BC142" s="1085"/>
      <c r="BD142" s="1085"/>
      <c r="BE142" s="1081"/>
    </row>
    <row r="143" spans="1:57" ht="15.75" customHeight="1">
      <c r="A143" s="1085"/>
      <c r="B143" s="2345"/>
      <c r="C143" s="2346"/>
      <c r="D143" s="2346"/>
      <c r="E143" s="2346"/>
      <c r="F143" s="2346"/>
      <c r="G143" s="2346"/>
      <c r="H143" s="2346"/>
      <c r="I143" s="2346"/>
      <c r="J143" s="2346"/>
      <c r="K143" s="2346"/>
      <c r="L143" s="2346"/>
      <c r="M143" s="2346"/>
      <c r="N143" s="2346"/>
      <c r="O143" s="2346"/>
      <c r="P143" s="2346"/>
      <c r="Q143" s="2346"/>
      <c r="R143" s="2346"/>
      <c r="S143" s="2346"/>
      <c r="T143" s="2346"/>
      <c r="U143" s="2346"/>
      <c r="V143" s="2346"/>
      <c r="W143" s="2346"/>
      <c r="X143" s="2346"/>
      <c r="Y143" s="2346"/>
      <c r="Z143" s="2346"/>
      <c r="AA143" s="2346"/>
      <c r="AB143" s="2346"/>
      <c r="AC143" s="2346"/>
      <c r="AD143" s="2346"/>
      <c r="AE143" s="2346"/>
      <c r="AF143" s="2346"/>
      <c r="AG143" s="2346"/>
      <c r="AH143" s="2346"/>
      <c r="AI143" s="2346"/>
      <c r="AJ143" s="2346"/>
      <c r="AK143" s="2346"/>
      <c r="AL143" s="2346"/>
      <c r="AM143" s="2346"/>
      <c r="AN143" s="2346"/>
      <c r="AO143" s="2346"/>
      <c r="AP143" s="2346"/>
      <c r="AQ143" s="2346"/>
      <c r="AR143" s="2346"/>
      <c r="AS143" s="2346"/>
      <c r="AT143" s="2346"/>
      <c r="AU143" s="2346"/>
      <c r="AV143" s="2346"/>
      <c r="AW143" s="2346"/>
      <c r="AX143" s="2347"/>
      <c r="AY143" s="1085"/>
      <c r="AZ143" s="1085"/>
      <c r="BA143" s="1085"/>
      <c r="BB143" s="1085"/>
      <c r="BC143" s="1085"/>
      <c r="BD143" s="1085"/>
      <c r="BE143" s="1081"/>
    </row>
    <row r="144" spans="1:57" ht="15.75" customHeight="1">
      <c r="A144" s="1085"/>
      <c r="B144" s="2345"/>
      <c r="C144" s="2346"/>
      <c r="D144" s="2346"/>
      <c r="E144" s="2346"/>
      <c r="F144" s="2346"/>
      <c r="G144" s="2346"/>
      <c r="H144" s="2346"/>
      <c r="I144" s="2346"/>
      <c r="J144" s="2346"/>
      <c r="K144" s="2346"/>
      <c r="L144" s="2346"/>
      <c r="M144" s="2346"/>
      <c r="N144" s="2346"/>
      <c r="O144" s="2346"/>
      <c r="P144" s="2346"/>
      <c r="Q144" s="2346"/>
      <c r="R144" s="2346"/>
      <c r="S144" s="2346"/>
      <c r="T144" s="2346"/>
      <c r="U144" s="2346"/>
      <c r="V144" s="2346"/>
      <c r="W144" s="2346"/>
      <c r="X144" s="2346"/>
      <c r="Y144" s="2346"/>
      <c r="Z144" s="2346"/>
      <c r="AA144" s="2346"/>
      <c r="AB144" s="2346"/>
      <c r="AC144" s="2346"/>
      <c r="AD144" s="2346"/>
      <c r="AE144" s="2346"/>
      <c r="AF144" s="2346"/>
      <c r="AG144" s="2346"/>
      <c r="AH144" s="2346"/>
      <c r="AI144" s="2346"/>
      <c r="AJ144" s="2346"/>
      <c r="AK144" s="2346"/>
      <c r="AL144" s="2346"/>
      <c r="AM144" s="2346"/>
      <c r="AN144" s="2346"/>
      <c r="AO144" s="2346"/>
      <c r="AP144" s="2346"/>
      <c r="AQ144" s="2346"/>
      <c r="AR144" s="2346"/>
      <c r="AS144" s="2346"/>
      <c r="AT144" s="2346"/>
      <c r="AU144" s="2346"/>
      <c r="AV144" s="2346"/>
      <c r="AW144" s="2346"/>
      <c r="AX144" s="2347"/>
      <c r="AY144" s="1085"/>
      <c r="AZ144" s="1085"/>
      <c r="BA144" s="1085"/>
      <c r="BB144" s="1085"/>
      <c r="BC144" s="1085"/>
      <c r="BD144" s="1085"/>
      <c r="BE144" s="1081"/>
    </row>
    <row r="145" spans="1:57" ht="15.75" customHeight="1">
      <c r="A145" s="1085"/>
      <c r="B145" s="2345"/>
      <c r="C145" s="2346"/>
      <c r="D145" s="2346"/>
      <c r="E145" s="2346"/>
      <c r="F145" s="2346"/>
      <c r="G145" s="2346"/>
      <c r="H145" s="2346"/>
      <c r="I145" s="2346"/>
      <c r="J145" s="2346"/>
      <c r="K145" s="2346"/>
      <c r="L145" s="2346"/>
      <c r="M145" s="2346"/>
      <c r="N145" s="2346"/>
      <c r="O145" s="2346"/>
      <c r="P145" s="2346"/>
      <c r="Q145" s="2346"/>
      <c r="R145" s="2346"/>
      <c r="S145" s="2346"/>
      <c r="T145" s="2346"/>
      <c r="U145" s="2346"/>
      <c r="V145" s="2346"/>
      <c r="W145" s="2346"/>
      <c r="X145" s="2346"/>
      <c r="Y145" s="2346"/>
      <c r="Z145" s="2346"/>
      <c r="AA145" s="2346"/>
      <c r="AB145" s="2346"/>
      <c r="AC145" s="2346"/>
      <c r="AD145" s="2346"/>
      <c r="AE145" s="2346"/>
      <c r="AF145" s="2346"/>
      <c r="AG145" s="2346"/>
      <c r="AH145" s="2346"/>
      <c r="AI145" s="2346"/>
      <c r="AJ145" s="2346"/>
      <c r="AK145" s="2346"/>
      <c r="AL145" s="2346"/>
      <c r="AM145" s="2346"/>
      <c r="AN145" s="2346"/>
      <c r="AO145" s="2346"/>
      <c r="AP145" s="2346"/>
      <c r="AQ145" s="2346"/>
      <c r="AR145" s="2346"/>
      <c r="AS145" s="2346"/>
      <c r="AT145" s="2346"/>
      <c r="AU145" s="2346"/>
      <c r="AV145" s="2346"/>
      <c r="AW145" s="2346"/>
      <c r="AX145" s="2347"/>
      <c r="AY145" s="1085"/>
      <c r="AZ145" s="1085"/>
      <c r="BA145" s="1085"/>
      <c r="BB145" s="1085"/>
      <c r="BC145" s="1085"/>
      <c r="BD145" s="1085"/>
      <c r="BE145" s="1081"/>
    </row>
    <row r="146" spans="1:57" ht="15.75" customHeight="1">
      <c r="A146" s="1085"/>
      <c r="B146" s="2345"/>
      <c r="C146" s="2346"/>
      <c r="D146" s="2346"/>
      <c r="E146" s="2346"/>
      <c r="F146" s="2346"/>
      <c r="G146" s="2346"/>
      <c r="H146" s="2346"/>
      <c r="I146" s="2346"/>
      <c r="J146" s="2346"/>
      <c r="K146" s="2346"/>
      <c r="L146" s="2346"/>
      <c r="M146" s="2346"/>
      <c r="N146" s="2346"/>
      <c r="O146" s="2346"/>
      <c r="P146" s="2346"/>
      <c r="Q146" s="2346"/>
      <c r="R146" s="2346"/>
      <c r="S146" s="2346"/>
      <c r="T146" s="2346"/>
      <c r="U146" s="2346"/>
      <c r="V146" s="2346"/>
      <c r="W146" s="2346"/>
      <c r="X146" s="2346"/>
      <c r="Y146" s="2346"/>
      <c r="Z146" s="2346"/>
      <c r="AA146" s="2346"/>
      <c r="AB146" s="2346"/>
      <c r="AC146" s="2346"/>
      <c r="AD146" s="2346"/>
      <c r="AE146" s="2346"/>
      <c r="AF146" s="2346"/>
      <c r="AG146" s="2346"/>
      <c r="AH146" s="2346"/>
      <c r="AI146" s="2346"/>
      <c r="AJ146" s="2346"/>
      <c r="AK146" s="2346"/>
      <c r="AL146" s="2346"/>
      <c r="AM146" s="2346"/>
      <c r="AN146" s="2346"/>
      <c r="AO146" s="2346"/>
      <c r="AP146" s="2346"/>
      <c r="AQ146" s="2346"/>
      <c r="AR146" s="2346"/>
      <c r="AS146" s="2346"/>
      <c r="AT146" s="2346"/>
      <c r="AU146" s="2346"/>
      <c r="AV146" s="2346"/>
      <c r="AW146" s="2346"/>
      <c r="AX146" s="2347"/>
      <c r="AY146" s="1085"/>
      <c r="AZ146" s="1085"/>
      <c r="BA146" s="1085"/>
      <c r="BB146" s="1085"/>
      <c r="BC146" s="1085"/>
      <c r="BD146" s="1085"/>
      <c r="BE146" s="1081"/>
    </row>
    <row r="147" spans="1:57" ht="15.75" customHeight="1">
      <c r="A147" s="1085"/>
      <c r="B147" s="2345"/>
      <c r="C147" s="2346"/>
      <c r="D147" s="2346"/>
      <c r="E147" s="2346"/>
      <c r="F147" s="2346"/>
      <c r="G147" s="2346"/>
      <c r="H147" s="2346"/>
      <c r="I147" s="2346"/>
      <c r="J147" s="2346"/>
      <c r="K147" s="2346"/>
      <c r="L147" s="2346"/>
      <c r="M147" s="2346"/>
      <c r="N147" s="2346"/>
      <c r="O147" s="2346"/>
      <c r="P147" s="2346"/>
      <c r="Q147" s="2346"/>
      <c r="R147" s="2346"/>
      <c r="S147" s="2346"/>
      <c r="T147" s="2346"/>
      <c r="U147" s="2346"/>
      <c r="V147" s="2346"/>
      <c r="W147" s="2346"/>
      <c r="X147" s="2346"/>
      <c r="Y147" s="2346"/>
      <c r="Z147" s="2346"/>
      <c r="AA147" s="2346"/>
      <c r="AB147" s="2346"/>
      <c r="AC147" s="2346"/>
      <c r="AD147" s="2346"/>
      <c r="AE147" s="2346"/>
      <c r="AF147" s="2346"/>
      <c r="AG147" s="2346"/>
      <c r="AH147" s="2346"/>
      <c r="AI147" s="2346"/>
      <c r="AJ147" s="2346"/>
      <c r="AK147" s="2346"/>
      <c r="AL147" s="2346"/>
      <c r="AM147" s="2346"/>
      <c r="AN147" s="2346"/>
      <c r="AO147" s="2346"/>
      <c r="AP147" s="2346"/>
      <c r="AQ147" s="2346"/>
      <c r="AR147" s="2346"/>
      <c r="AS147" s="2346"/>
      <c r="AT147" s="2346"/>
      <c r="AU147" s="2346"/>
      <c r="AV147" s="2346"/>
      <c r="AW147" s="2346"/>
      <c r="AX147" s="2347"/>
      <c r="AY147" s="1085"/>
      <c r="AZ147" s="1085"/>
      <c r="BA147" s="1085"/>
      <c r="BB147" s="1085"/>
      <c r="BC147" s="1085"/>
      <c r="BD147" s="1085"/>
      <c r="BE147" s="1081"/>
    </row>
    <row r="148" spans="1:57" ht="15.75" customHeight="1">
      <c r="A148" s="1085"/>
      <c r="B148" s="2345"/>
      <c r="C148" s="2346"/>
      <c r="D148" s="2346"/>
      <c r="E148" s="2346"/>
      <c r="F148" s="2346"/>
      <c r="G148" s="2346"/>
      <c r="H148" s="2346"/>
      <c r="I148" s="2346"/>
      <c r="J148" s="2346"/>
      <c r="K148" s="2346"/>
      <c r="L148" s="2346"/>
      <c r="M148" s="2346"/>
      <c r="N148" s="2346"/>
      <c r="O148" s="2346"/>
      <c r="P148" s="2346"/>
      <c r="Q148" s="2346"/>
      <c r="R148" s="2346"/>
      <c r="S148" s="2346"/>
      <c r="T148" s="2346"/>
      <c r="U148" s="2346"/>
      <c r="V148" s="2346"/>
      <c r="W148" s="2346"/>
      <c r="X148" s="2346"/>
      <c r="Y148" s="2346"/>
      <c r="Z148" s="2346"/>
      <c r="AA148" s="2346"/>
      <c r="AB148" s="2346"/>
      <c r="AC148" s="2346"/>
      <c r="AD148" s="2346"/>
      <c r="AE148" s="2346"/>
      <c r="AF148" s="2346"/>
      <c r="AG148" s="2346"/>
      <c r="AH148" s="2346"/>
      <c r="AI148" s="2346"/>
      <c r="AJ148" s="2346"/>
      <c r="AK148" s="2346"/>
      <c r="AL148" s="2346"/>
      <c r="AM148" s="2346"/>
      <c r="AN148" s="2346"/>
      <c r="AO148" s="2346"/>
      <c r="AP148" s="2346"/>
      <c r="AQ148" s="2346"/>
      <c r="AR148" s="2346"/>
      <c r="AS148" s="2346"/>
      <c r="AT148" s="2346"/>
      <c r="AU148" s="2346"/>
      <c r="AV148" s="2346"/>
      <c r="AW148" s="2346"/>
      <c r="AX148" s="2347"/>
      <c r="AY148" s="1085"/>
      <c r="AZ148" s="1085"/>
      <c r="BA148" s="1085"/>
      <c r="BB148" s="1085"/>
      <c r="BC148" s="1085"/>
      <c r="BD148" s="1085"/>
      <c r="BE148" s="1081"/>
    </row>
    <row r="149" spans="1:57" ht="15.75" customHeight="1">
      <c r="A149" s="1085"/>
      <c r="B149" s="2345"/>
      <c r="C149" s="2346"/>
      <c r="D149" s="2346"/>
      <c r="E149" s="2346"/>
      <c r="F149" s="2346"/>
      <c r="G149" s="2346"/>
      <c r="H149" s="2346"/>
      <c r="I149" s="2346"/>
      <c r="J149" s="2346"/>
      <c r="K149" s="2346"/>
      <c r="L149" s="2346"/>
      <c r="M149" s="2346"/>
      <c r="N149" s="2346"/>
      <c r="O149" s="2346"/>
      <c r="P149" s="2346"/>
      <c r="Q149" s="2346"/>
      <c r="R149" s="2346"/>
      <c r="S149" s="2346"/>
      <c r="T149" s="2346"/>
      <c r="U149" s="2346"/>
      <c r="V149" s="2346"/>
      <c r="W149" s="2346"/>
      <c r="X149" s="2346"/>
      <c r="Y149" s="2346"/>
      <c r="Z149" s="2346"/>
      <c r="AA149" s="2346"/>
      <c r="AB149" s="2346"/>
      <c r="AC149" s="2346"/>
      <c r="AD149" s="2346"/>
      <c r="AE149" s="2346"/>
      <c r="AF149" s="2346"/>
      <c r="AG149" s="2346"/>
      <c r="AH149" s="2346"/>
      <c r="AI149" s="2346"/>
      <c r="AJ149" s="2346"/>
      <c r="AK149" s="2346"/>
      <c r="AL149" s="2346"/>
      <c r="AM149" s="2346"/>
      <c r="AN149" s="2346"/>
      <c r="AO149" s="2346"/>
      <c r="AP149" s="2346"/>
      <c r="AQ149" s="2346"/>
      <c r="AR149" s="2346"/>
      <c r="AS149" s="2346"/>
      <c r="AT149" s="2346"/>
      <c r="AU149" s="2346"/>
      <c r="AV149" s="2346"/>
      <c r="AW149" s="2346"/>
      <c r="AX149" s="2347"/>
      <c r="AY149" s="1085"/>
      <c r="AZ149" s="1085"/>
      <c r="BA149" s="1085"/>
      <c r="BB149" s="1085"/>
      <c r="BC149" s="1085"/>
      <c r="BD149" s="1085"/>
      <c r="BE149" s="1081"/>
    </row>
    <row r="150" spans="1:57" ht="15.75" customHeight="1" thickBot="1">
      <c r="A150" s="1085"/>
      <c r="B150" s="2348"/>
      <c r="C150" s="2349"/>
      <c r="D150" s="2349"/>
      <c r="E150" s="2349"/>
      <c r="F150" s="2349"/>
      <c r="G150" s="2349"/>
      <c r="H150" s="2349"/>
      <c r="I150" s="2349"/>
      <c r="J150" s="2349"/>
      <c r="K150" s="2349"/>
      <c r="L150" s="2349"/>
      <c r="M150" s="2349"/>
      <c r="N150" s="2349"/>
      <c r="O150" s="2349"/>
      <c r="P150" s="2349"/>
      <c r="Q150" s="2349"/>
      <c r="R150" s="2349"/>
      <c r="S150" s="2349"/>
      <c r="T150" s="2349"/>
      <c r="U150" s="2349"/>
      <c r="V150" s="2349"/>
      <c r="W150" s="2349"/>
      <c r="X150" s="2349"/>
      <c r="Y150" s="2349"/>
      <c r="Z150" s="2349"/>
      <c r="AA150" s="2349"/>
      <c r="AB150" s="2349"/>
      <c r="AC150" s="2349"/>
      <c r="AD150" s="2349"/>
      <c r="AE150" s="2349"/>
      <c r="AF150" s="2349"/>
      <c r="AG150" s="2349"/>
      <c r="AH150" s="2349"/>
      <c r="AI150" s="2349"/>
      <c r="AJ150" s="2349"/>
      <c r="AK150" s="2349"/>
      <c r="AL150" s="2349"/>
      <c r="AM150" s="2349"/>
      <c r="AN150" s="2349"/>
      <c r="AO150" s="2349"/>
      <c r="AP150" s="2349"/>
      <c r="AQ150" s="2349"/>
      <c r="AR150" s="2349"/>
      <c r="AS150" s="2349"/>
      <c r="AT150" s="2349"/>
      <c r="AU150" s="2349"/>
      <c r="AV150" s="2349"/>
      <c r="AW150" s="2349"/>
      <c r="AX150" s="2350"/>
      <c r="AY150" s="1085"/>
      <c r="AZ150" s="1085"/>
      <c r="BA150" s="1085"/>
      <c r="BB150" s="1085"/>
      <c r="BC150" s="1085"/>
      <c r="BD150" s="1085"/>
      <c r="BE150" s="1081"/>
    </row>
    <row r="151" spans="1:57" ht="15.75" customHeight="1" thickBot="1">
      <c r="A151" s="1085"/>
      <c r="B151" s="1085"/>
      <c r="C151" s="1085"/>
      <c r="D151" s="1085"/>
      <c r="E151" s="1085"/>
      <c r="F151" s="1085"/>
      <c r="G151" s="1085"/>
      <c r="H151" s="1085"/>
      <c r="I151" s="1085"/>
      <c r="J151" s="1085"/>
      <c r="K151" s="1085"/>
      <c r="L151" s="1085"/>
      <c r="M151" s="1085"/>
      <c r="N151" s="1085"/>
      <c r="O151" s="1085"/>
      <c r="P151" s="1085"/>
      <c r="Q151" s="1085"/>
      <c r="R151" s="1085"/>
      <c r="S151" s="1085"/>
      <c r="T151" s="1085"/>
      <c r="U151" s="1085"/>
      <c r="V151" s="1085"/>
      <c r="W151" s="1085"/>
      <c r="X151" s="1085"/>
      <c r="Y151" s="1085"/>
      <c r="Z151" s="1085"/>
      <c r="AA151" s="1085"/>
      <c r="AB151" s="1085"/>
      <c r="AC151" s="1085"/>
      <c r="AD151" s="1085"/>
      <c r="AE151" s="1085"/>
      <c r="AF151" s="1085"/>
      <c r="AG151" s="1085"/>
      <c r="AH151" s="1085"/>
      <c r="AI151" s="1085"/>
      <c r="AJ151" s="1085"/>
      <c r="AK151" s="1085"/>
      <c r="AL151" s="1085"/>
      <c r="AM151" s="1085"/>
      <c r="AN151" s="1085"/>
      <c r="AO151" s="1085"/>
      <c r="AP151" s="1085"/>
      <c r="AQ151" s="1085"/>
      <c r="AR151" s="1085"/>
      <c r="AS151" s="1085"/>
      <c r="AT151" s="1085"/>
      <c r="AU151" s="1085"/>
      <c r="AV151" s="1085"/>
      <c r="AW151" s="1085"/>
      <c r="AX151" s="1085"/>
      <c r="AY151" s="1085"/>
      <c r="AZ151" s="1085"/>
      <c r="BA151" s="1085"/>
      <c r="BB151" s="1085"/>
      <c r="BC151" s="1085"/>
      <c r="BD151" s="1085"/>
      <c r="BE151" s="1081"/>
    </row>
    <row r="152" spans="1:57" ht="15.75" customHeight="1" thickBot="1">
      <c r="A152" s="1085"/>
      <c r="B152" s="1107" t="s">
        <v>2596</v>
      </c>
      <c r="C152" s="1106"/>
      <c r="D152" s="1106"/>
      <c r="E152" s="1106"/>
      <c r="F152" s="1106"/>
      <c r="G152" s="1106"/>
      <c r="H152" s="1106"/>
      <c r="I152" s="1106"/>
      <c r="J152" s="1106"/>
      <c r="K152" s="1106"/>
      <c r="L152" s="1106"/>
      <c r="M152" s="1108"/>
      <c r="N152" s="1096"/>
      <c r="O152" s="1096"/>
      <c r="P152" s="1085"/>
      <c r="Q152" s="1085"/>
      <c r="R152" s="1085"/>
      <c r="S152" s="1085"/>
      <c r="T152" s="1085"/>
      <c r="U152" s="1085" t="s">
        <v>253</v>
      </c>
      <c r="V152" s="1085"/>
      <c r="W152" s="1085"/>
      <c r="X152" s="1107" t="s">
        <v>2597</v>
      </c>
      <c r="Y152" s="1106"/>
      <c r="Z152" s="1106"/>
      <c r="AA152" s="1106"/>
      <c r="AB152" s="1106"/>
      <c r="AC152" s="1106"/>
      <c r="AD152" s="1106"/>
      <c r="AE152" s="1106"/>
      <c r="AF152" s="1106"/>
      <c r="AG152" s="1106"/>
      <c r="AH152" s="1106"/>
      <c r="AI152" s="1106"/>
      <c r="AJ152" s="1106"/>
      <c r="AK152" s="1105"/>
      <c r="AL152" s="1105"/>
      <c r="AM152" s="1104"/>
      <c r="AN152" s="1085"/>
      <c r="AO152" s="1085"/>
      <c r="AP152" s="1085"/>
      <c r="AQ152" s="1085"/>
      <c r="AR152" s="1085"/>
      <c r="AS152" s="1085"/>
      <c r="AT152" s="1085"/>
      <c r="AU152" s="1085"/>
      <c r="AV152" s="1085"/>
      <c r="AW152" s="1085"/>
      <c r="AX152" s="1085"/>
      <c r="AY152" s="1085"/>
      <c r="AZ152" s="1085"/>
      <c r="BA152" s="1085"/>
      <c r="BB152" s="1085"/>
      <c r="BC152" s="1085"/>
      <c r="BD152" s="1085"/>
      <c r="BE152" s="1081"/>
    </row>
    <row r="153" spans="1:57" ht="15.75" customHeight="1" thickBot="1">
      <c r="A153" s="1085"/>
      <c r="B153" s="1085"/>
      <c r="C153" s="1085"/>
      <c r="D153" s="1085"/>
      <c r="E153" s="1085"/>
      <c r="F153" s="1085"/>
      <c r="G153" s="1085"/>
      <c r="H153" s="1085"/>
      <c r="I153" s="1085"/>
      <c r="J153" s="1085"/>
      <c r="K153" s="1085"/>
      <c r="L153" s="1085"/>
      <c r="M153" s="1085"/>
      <c r="N153" s="1085"/>
      <c r="O153" s="1085"/>
      <c r="P153" s="1096"/>
      <c r="Q153" s="1085"/>
      <c r="R153" s="1085"/>
      <c r="S153" s="1085"/>
      <c r="T153" s="1085"/>
      <c r="U153" s="1085"/>
      <c r="V153" s="1085"/>
      <c r="W153" s="1085"/>
      <c r="X153" s="1085"/>
      <c r="Y153" s="1085"/>
      <c r="Z153" s="1085"/>
      <c r="AA153" s="1085"/>
      <c r="AB153" s="1085"/>
      <c r="AC153" s="1085"/>
      <c r="AD153" s="1085"/>
      <c r="AE153" s="1085"/>
      <c r="AF153" s="1085"/>
      <c r="AG153" s="1085"/>
      <c r="AH153" s="1085"/>
      <c r="AI153" s="1085"/>
      <c r="AJ153" s="1085"/>
      <c r="AK153" s="1085"/>
      <c r="AL153" s="1085"/>
      <c r="AM153" s="1085"/>
      <c r="AN153" s="1085"/>
      <c r="AO153" s="1085"/>
      <c r="AP153" s="1085"/>
      <c r="AQ153" s="1085"/>
      <c r="AR153" s="1085"/>
      <c r="AS153" s="1085"/>
      <c r="AT153" s="1085"/>
      <c r="AU153" s="1085"/>
      <c r="AV153" s="1085"/>
      <c r="AW153" s="1085"/>
      <c r="AX153" s="1085"/>
      <c r="AY153" s="1085"/>
      <c r="AZ153" s="1085"/>
      <c r="BA153" s="1085"/>
      <c r="BB153" s="1085"/>
      <c r="BC153" s="1085"/>
      <c r="BD153" s="1085"/>
      <c r="BE153" s="1081"/>
    </row>
    <row r="154" spans="1:57" ht="15.75" customHeight="1">
      <c r="A154" s="1085"/>
      <c r="B154" s="2340" t="s">
        <v>2598</v>
      </c>
      <c r="C154" s="2136"/>
      <c r="D154" s="2136"/>
      <c r="E154" s="2136"/>
      <c r="F154" s="2136"/>
      <c r="G154" s="2136"/>
      <c r="H154" s="2136"/>
      <c r="I154" s="2136"/>
      <c r="J154" s="2136"/>
      <c r="K154" s="2136"/>
      <c r="L154" s="2136"/>
      <c r="M154" s="2136"/>
      <c r="N154" s="2136"/>
      <c r="O154" s="2136"/>
      <c r="P154" s="2136"/>
      <c r="Q154" s="2136"/>
      <c r="R154" s="2136"/>
      <c r="S154" s="2136"/>
      <c r="T154" s="2136"/>
      <c r="U154" s="2137"/>
      <c r="V154" s="1085"/>
      <c r="W154" s="1093"/>
      <c r="X154" s="2340" t="s">
        <v>2599</v>
      </c>
      <c r="Y154" s="2136"/>
      <c r="Z154" s="2136"/>
      <c r="AA154" s="2136"/>
      <c r="AB154" s="2136"/>
      <c r="AC154" s="2136"/>
      <c r="AD154" s="2136"/>
      <c r="AE154" s="2136"/>
      <c r="AF154" s="2136"/>
      <c r="AG154" s="2136"/>
      <c r="AH154" s="2136"/>
      <c r="AI154" s="2136"/>
      <c r="AJ154" s="2136"/>
      <c r="AK154" s="2136"/>
      <c r="AL154" s="2136"/>
      <c r="AM154" s="2136"/>
      <c r="AN154" s="2136"/>
      <c r="AO154" s="2136"/>
      <c r="AP154" s="2136"/>
      <c r="AQ154" s="2137"/>
      <c r="AR154" s="1085"/>
      <c r="AS154" s="1085"/>
      <c r="AT154" s="1085"/>
      <c r="AU154" s="1085"/>
      <c r="AV154" s="1085"/>
      <c r="AW154" s="1085"/>
      <c r="AX154" s="1085"/>
      <c r="AY154" s="1085"/>
      <c r="AZ154" s="1085"/>
      <c r="BA154" s="1085"/>
      <c r="BB154" s="1085"/>
      <c r="BC154" s="1085"/>
      <c r="BD154" s="1085"/>
      <c r="BE154" s="1081"/>
    </row>
    <row r="155" spans="1:57" ht="15.75" customHeight="1">
      <c r="A155" s="1085"/>
      <c r="B155" s="2319"/>
      <c r="C155" s="2320"/>
      <c r="D155" s="2320"/>
      <c r="E155" s="2320"/>
      <c r="F155" s="2320"/>
      <c r="G155" s="2320"/>
      <c r="H155" s="2320"/>
      <c r="I155" s="2334" t="s">
        <v>2568</v>
      </c>
      <c r="J155" s="2334"/>
      <c r="K155" s="2334"/>
      <c r="L155" s="2334"/>
      <c r="M155" s="2334"/>
      <c r="N155" s="2334"/>
      <c r="O155" s="2334"/>
      <c r="P155" s="2334" t="s">
        <v>2600</v>
      </c>
      <c r="Q155" s="2334"/>
      <c r="R155" s="2334"/>
      <c r="S155" s="2334"/>
      <c r="T155" s="2334"/>
      <c r="U155" s="2335"/>
      <c r="V155" s="1085"/>
      <c r="W155" s="1085"/>
      <c r="X155" s="2319"/>
      <c r="Y155" s="2320"/>
      <c r="Z155" s="2320"/>
      <c r="AA155" s="2320"/>
      <c r="AB155" s="2320"/>
      <c r="AC155" s="2320"/>
      <c r="AD155" s="2320"/>
      <c r="AE155" s="2334" t="s">
        <v>2568</v>
      </c>
      <c r="AF155" s="2334"/>
      <c r="AG155" s="2334"/>
      <c r="AH155" s="2334"/>
      <c r="AI155" s="2334"/>
      <c r="AJ155" s="2334"/>
      <c r="AK155" s="2334"/>
      <c r="AL155" s="2334" t="s">
        <v>2569</v>
      </c>
      <c r="AM155" s="2334"/>
      <c r="AN155" s="2334"/>
      <c r="AO155" s="2334"/>
      <c r="AP155" s="2334"/>
      <c r="AQ155" s="2335"/>
      <c r="AR155" s="1085"/>
      <c r="AS155" s="1085"/>
      <c r="AT155" s="1085"/>
      <c r="AU155" s="1085"/>
      <c r="AV155" s="1085"/>
      <c r="AW155" s="1085"/>
      <c r="AX155" s="1085"/>
      <c r="AY155" s="1085"/>
      <c r="AZ155" s="1085"/>
      <c r="BA155" s="1085"/>
      <c r="BB155" s="1085"/>
      <c r="BC155" s="1085"/>
      <c r="BD155" s="1085"/>
      <c r="BE155" s="1081"/>
    </row>
    <row r="156" spans="1:57" ht="15.75" customHeight="1">
      <c r="A156" s="1085"/>
      <c r="B156" s="2319"/>
      <c r="C156" s="2320"/>
      <c r="D156" s="2320"/>
      <c r="E156" s="2320"/>
      <c r="F156" s="2320"/>
      <c r="G156" s="2320"/>
      <c r="H156" s="2320"/>
      <c r="I156" s="2334"/>
      <c r="J156" s="2334"/>
      <c r="K156" s="2334"/>
      <c r="L156" s="2334"/>
      <c r="M156" s="2334"/>
      <c r="N156" s="2334"/>
      <c r="O156" s="2334"/>
      <c r="P156" s="2334"/>
      <c r="Q156" s="2334"/>
      <c r="R156" s="2334"/>
      <c r="S156" s="2334"/>
      <c r="T156" s="2334"/>
      <c r="U156" s="2335"/>
      <c r="V156" s="1085"/>
      <c r="W156" s="1085"/>
      <c r="X156" s="2319"/>
      <c r="Y156" s="2320"/>
      <c r="Z156" s="2320"/>
      <c r="AA156" s="2320"/>
      <c r="AB156" s="2320"/>
      <c r="AC156" s="2320"/>
      <c r="AD156" s="2320"/>
      <c r="AE156" s="2334"/>
      <c r="AF156" s="2334"/>
      <c r="AG156" s="2334"/>
      <c r="AH156" s="2334"/>
      <c r="AI156" s="2334"/>
      <c r="AJ156" s="2334"/>
      <c r="AK156" s="2334"/>
      <c r="AL156" s="2334"/>
      <c r="AM156" s="2334"/>
      <c r="AN156" s="2334"/>
      <c r="AO156" s="2334"/>
      <c r="AP156" s="2334"/>
      <c r="AQ156" s="2335"/>
      <c r="AR156" s="1085"/>
      <c r="AS156" s="1085"/>
      <c r="AT156" s="1085"/>
      <c r="AU156" s="1085"/>
      <c r="AV156" s="1085"/>
      <c r="AW156" s="1085"/>
      <c r="AX156" s="1085"/>
      <c r="AY156" s="1085"/>
      <c r="AZ156" s="1085"/>
      <c r="BA156" s="1085"/>
      <c r="BB156" s="1085"/>
      <c r="BC156" s="1085"/>
      <c r="BD156" s="1085"/>
      <c r="BE156" s="1081"/>
    </row>
    <row r="157" spans="1:57" ht="15.75" customHeight="1" thickBot="1">
      <c r="A157" s="1085"/>
      <c r="B157" s="2336" t="s">
        <v>2588</v>
      </c>
      <c r="C157" s="2337"/>
      <c r="D157" s="2337"/>
      <c r="E157" s="2337"/>
      <c r="F157" s="2337"/>
      <c r="G157" s="2337"/>
      <c r="H157" s="2337"/>
      <c r="I157" s="2096">
        <v>0</v>
      </c>
      <c r="J157" s="2096"/>
      <c r="K157" s="2096"/>
      <c r="L157" s="2096"/>
      <c r="M157" s="2096"/>
      <c r="N157" s="2096"/>
      <c r="O157" s="2096"/>
      <c r="P157" s="2096">
        <v>0</v>
      </c>
      <c r="Q157" s="2096"/>
      <c r="R157" s="2096"/>
      <c r="S157" s="2096"/>
      <c r="T157" s="2096"/>
      <c r="U157" s="2097"/>
      <c r="V157" s="1085"/>
      <c r="W157" s="1085"/>
      <c r="X157" s="2338" t="s">
        <v>2588</v>
      </c>
      <c r="Y157" s="2339"/>
      <c r="Z157" s="2339"/>
      <c r="AA157" s="2339"/>
      <c r="AB157" s="2339"/>
      <c r="AC157" s="2339"/>
      <c r="AD157" s="2339"/>
      <c r="AE157" s="2094">
        <v>0</v>
      </c>
      <c r="AF157" s="2094"/>
      <c r="AG157" s="2094"/>
      <c r="AH157" s="2094"/>
      <c r="AI157" s="2094"/>
      <c r="AJ157" s="2094"/>
      <c r="AK157" s="2094"/>
      <c r="AL157" s="2094">
        <v>0</v>
      </c>
      <c r="AM157" s="2094"/>
      <c r="AN157" s="2094"/>
      <c r="AO157" s="2094"/>
      <c r="AP157" s="2094"/>
      <c r="AQ157" s="2095"/>
      <c r="AR157" s="1085"/>
      <c r="AS157" s="1085"/>
      <c r="AT157" s="1085"/>
      <c r="AU157" s="1085"/>
      <c r="AV157" s="1085"/>
      <c r="AW157" s="1085"/>
      <c r="AX157" s="1085"/>
      <c r="AY157" s="1085"/>
      <c r="AZ157" s="1085"/>
      <c r="BA157" s="1085"/>
      <c r="BB157" s="1085"/>
      <c r="BC157" s="1085"/>
      <c r="BD157" s="1085"/>
      <c r="BE157" s="1081"/>
    </row>
    <row r="158" spans="1:57" ht="15.75" customHeight="1" thickBot="1">
      <c r="A158" s="1085"/>
      <c r="B158" s="2338" t="s">
        <v>2589</v>
      </c>
      <c r="C158" s="2339"/>
      <c r="D158" s="2339"/>
      <c r="E158" s="2339"/>
      <c r="F158" s="2339"/>
      <c r="G158" s="2339"/>
      <c r="H158" s="2339"/>
      <c r="I158" s="2094">
        <v>0</v>
      </c>
      <c r="J158" s="2094"/>
      <c r="K158" s="2094"/>
      <c r="L158" s="2094"/>
      <c r="M158" s="2094"/>
      <c r="N158" s="2094"/>
      <c r="O158" s="2094"/>
      <c r="P158" s="2094">
        <v>0</v>
      </c>
      <c r="Q158" s="2094"/>
      <c r="R158" s="2094"/>
      <c r="S158" s="2094"/>
      <c r="T158" s="2094"/>
      <c r="U158" s="2095"/>
      <c r="V158" s="1085"/>
      <c r="W158" s="1085"/>
      <c r="X158" s="1085"/>
      <c r="Y158" s="1085"/>
      <c r="Z158" s="1085"/>
      <c r="AA158" s="1085"/>
      <c r="AB158" s="1085"/>
      <c r="AC158" s="1085"/>
      <c r="AD158" s="1085"/>
      <c r="AE158" s="1085"/>
      <c r="AF158" s="1085"/>
      <c r="AG158" s="1085"/>
      <c r="AH158" s="1085"/>
      <c r="AI158" s="1085"/>
      <c r="AJ158" s="1085"/>
      <c r="AK158" s="1085"/>
      <c r="AL158" s="1085"/>
      <c r="AM158" s="1085"/>
      <c r="AN158" s="1085"/>
      <c r="AO158" s="1085"/>
      <c r="AP158" s="1085"/>
      <c r="AQ158" s="1085"/>
      <c r="AR158" s="1085"/>
      <c r="AS158" s="1085"/>
      <c r="AT158" s="1085"/>
      <c r="AU158" s="1085"/>
      <c r="AV158" s="1085"/>
      <c r="AW158" s="1085"/>
      <c r="AX158" s="1085"/>
      <c r="AY158" s="1085"/>
      <c r="AZ158" s="1085"/>
      <c r="BA158" s="1085"/>
      <c r="BB158" s="1085"/>
      <c r="BC158" s="1085"/>
      <c r="BD158" s="1085"/>
      <c r="BE158" s="1081"/>
    </row>
    <row r="159" spans="1:57" ht="15.75" customHeight="1" thickBot="1">
      <c r="A159" s="1085"/>
      <c r="B159" s="1085"/>
      <c r="C159" s="1085"/>
      <c r="D159" s="1085"/>
      <c r="E159" s="1085"/>
      <c r="F159" s="1085"/>
      <c r="G159" s="1085"/>
      <c r="H159" s="1085"/>
      <c r="I159" s="1085"/>
      <c r="J159" s="1085"/>
      <c r="K159" s="1085"/>
      <c r="L159" s="1085"/>
      <c r="M159" s="1085"/>
      <c r="N159" s="1085"/>
      <c r="O159" s="1085"/>
      <c r="P159" s="1085"/>
      <c r="Q159" s="1085"/>
      <c r="R159" s="1085"/>
      <c r="S159" s="1085"/>
      <c r="T159" s="1085"/>
      <c r="U159" s="1085"/>
      <c r="V159" s="1085"/>
      <c r="W159" s="1085"/>
      <c r="X159" s="1085"/>
      <c r="Y159" s="1085"/>
      <c r="Z159" s="1085"/>
      <c r="AA159" s="1085"/>
      <c r="AB159" s="1085"/>
      <c r="AC159" s="1085"/>
      <c r="AD159" s="1085"/>
      <c r="AE159" s="1085"/>
      <c r="AF159" s="1085"/>
      <c r="AG159" s="1085"/>
      <c r="AH159" s="1085"/>
      <c r="AI159" s="1085"/>
      <c r="AJ159" s="1085"/>
      <c r="AK159" s="1085"/>
      <c r="AL159" s="1085"/>
      <c r="AM159" s="1085"/>
      <c r="AN159" s="1085"/>
      <c r="AO159" s="1085"/>
      <c r="AP159" s="1085"/>
      <c r="AQ159" s="1085"/>
      <c r="AR159" s="1085"/>
      <c r="AS159" s="1085"/>
      <c r="AT159" s="1085"/>
      <c r="AU159" s="1085"/>
      <c r="AV159" s="1085"/>
      <c r="AW159" s="1085"/>
      <c r="AX159" s="1085"/>
      <c r="AY159" s="1085"/>
      <c r="AZ159" s="1085"/>
      <c r="BA159" s="1085"/>
      <c r="BB159" s="1085"/>
      <c r="BC159" s="1085"/>
      <c r="BD159" s="1085"/>
      <c r="BE159" s="1081"/>
    </row>
    <row r="160" spans="1:57" ht="15.75" customHeight="1">
      <c r="A160" s="1085"/>
      <c r="B160" s="1085"/>
      <c r="C160" s="2340" t="s">
        <v>2601</v>
      </c>
      <c r="D160" s="2136"/>
      <c r="E160" s="2136"/>
      <c r="F160" s="2136"/>
      <c r="G160" s="2136"/>
      <c r="H160" s="2136"/>
      <c r="I160" s="2136"/>
      <c r="J160" s="2136"/>
      <c r="K160" s="2136"/>
      <c r="L160" s="2136"/>
      <c r="M160" s="2136"/>
      <c r="N160" s="2136"/>
      <c r="O160" s="2136"/>
      <c r="P160" s="2136"/>
      <c r="Q160" s="2136"/>
      <c r="R160" s="2136"/>
      <c r="S160" s="2136"/>
      <c r="T160" s="2136"/>
      <c r="U160" s="2136"/>
      <c r="V160" s="2136"/>
      <c r="W160" s="2136"/>
      <c r="X160" s="2136"/>
      <c r="Y160" s="2136"/>
      <c r="Z160" s="2136"/>
      <c r="AA160" s="2136"/>
      <c r="AB160" s="2136"/>
      <c r="AC160" s="2136"/>
      <c r="AD160" s="2136"/>
      <c r="AE160" s="2136"/>
      <c r="AF160" s="2136"/>
      <c r="AG160" s="2137"/>
      <c r="AH160" s="1085"/>
      <c r="AI160" s="1085"/>
      <c r="AJ160" s="1085"/>
      <c r="AK160" s="1085"/>
      <c r="AL160" s="1085"/>
      <c r="AM160" s="1085"/>
      <c r="AN160" s="1085"/>
      <c r="AO160" s="1085"/>
      <c r="AP160" s="1085"/>
      <c r="AQ160" s="1085"/>
      <c r="AR160" s="1085"/>
      <c r="AS160" s="1085"/>
      <c r="AT160" s="1085"/>
      <c r="AU160" s="1085"/>
      <c r="AV160" s="1085"/>
      <c r="AW160" s="1085"/>
      <c r="AX160" s="1085"/>
      <c r="AY160" s="1085"/>
      <c r="AZ160" s="1085"/>
      <c r="BA160" s="1085"/>
      <c r="BB160" s="1085"/>
      <c r="BC160" s="1085"/>
      <c r="BD160" s="1085"/>
      <c r="BE160" s="1081"/>
    </row>
    <row r="161" spans="1:57" ht="15.75" customHeight="1">
      <c r="A161" s="1085"/>
      <c r="B161" s="1085"/>
      <c r="C161" s="2319" t="s">
        <v>2602</v>
      </c>
      <c r="D161" s="2320"/>
      <c r="E161" s="2320"/>
      <c r="F161" s="2320"/>
      <c r="G161" s="2320"/>
      <c r="H161" s="2320"/>
      <c r="I161" s="2320"/>
      <c r="J161" s="2320"/>
      <c r="K161" s="2320"/>
      <c r="L161" s="2320"/>
      <c r="M161" s="2320"/>
      <c r="N161" s="2320"/>
      <c r="O161" s="2320"/>
      <c r="P161" s="2320"/>
      <c r="Q161" s="2320" t="s">
        <v>2603</v>
      </c>
      <c r="R161" s="2320"/>
      <c r="S161" s="2320"/>
      <c r="T161" s="2101" t="s">
        <v>2604</v>
      </c>
      <c r="U161" s="2101"/>
      <c r="V161" s="2101"/>
      <c r="W161" s="2101"/>
      <c r="X161" s="2101"/>
      <c r="Y161" s="2101"/>
      <c r="Z161" s="2101"/>
      <c r="AA161" s="2101"/>
      <c r="AB161" s="2320" t="s">
        <v>2605</v>
      </c>
      <c r="AC161" s="2320"/>
      <c r="AD161" s="2320"/>
      <c r="AE161" s="2320"/>
      <c r="AF161" s="2320"/>
      <c r="AG161" s="2321"/>
      <c r="AH161" s="1085"/>
      <c r="AI161" s="1085"/>
      <c r="AJ161" s="1085"/>
      <c r="AK161" s="1085"/>
      <c r="AL161" s="1085"/>
      <c r="AM161" s="1085"/>
      <c r="AN161" s="1085"/>
      <c r="AO161" s="1085"/>
      <c r="AP161" s="1085"/>
      <c r="AQ161" s="1085"/>
      <c r="AR161" s="1085"/>
      <c r="AS161" s="1085"/>
      <c r="AT161" s="1085"/>
      <c r="AU161" s="1085"/>
      <c r="AV161" s="1085"/>
      <c r="AW161" s="1085"/>
      <c r="AX161" s="1085"/>
      <c r="AY161" s="1085"/>
      <c r="AZ161" s="1085"/>
      <c r="BA161" s="1085"/>
      <c r="BB161" s="1085"/>
      <c r="BC161" s="1085"/>
      <c r="BD161" s="1085"/>
      <c r="BE161" s="1081"/>
    </row>
    <row r="162" spans="1:57" ht="15.75" customHeight="1">
      <c r="A162" s="1085"/>
      <c r="B162" s="1085"/>
      <c r="C162" s="2328" t="s">
        <v>2606</v>
      </c>
      <c r="D162" s="2329"/>
      <c r="E162" s="2329"/>
      <c r="F162" s="2329"/>
      <c r="G162" s="2329"/>
      <c r="H162" s="2329"/>
      <c r="I162" s="2329"/>
      <c r="J162" s="2329"/>
      <c r="K162" s="2329"/>
      <c r="L162" s="2329"/>
      <c r="M162" s="2329"/>
      <c r="N162" s="2329"/>
      <c r="O162" s="2329"/>
      <c r="P162" s="2329"/>
      <c r="Q162" s="2278">
        <v>55</v>
      </c>
      <c r="R162" s="2278"/>
      <c r="S162" s="2278"/>
      <c r="T162" s="2292"/>
      <c r="U162" s="2292"/>
      <c r="V162" s="2292"/>
      <c r="W162" s="2292"/>
      <c r="X162" s="2292"/>
      <c r="Y162" s="2292"/>
      <c r="Z162" s="2292"/>
      <c r="AA162" s="2292"/>
      <c r="AB162" s="1103"/>
      <c r="AC162" s="1103"/>
      <c r="AD162" s="1103"/>
      <c r="AE162" s="1103"/>
      <c r="AF162" s="1103"/>
      <c r="AG162" s="1102"/>
      <c r="AH162" s="1085"/>
      <c r="AI162" s="1085"/>
      <c r="AJ162" s="1085"/>
      <c r="AK162" s="1085"/>
      <c r="AL162" s="1085"/>
      <c r="AM162" s="1085"/>
      <c r="AN162" s="1085"/>
      <c r="AO162" s="1085"/>
      <c r="AP162" s="1085" t="s">
        <v>253</v>
      </c>
      <c r="AQ162" s="1085"/>
      <c r="AR162" s="1085"/>
      <c r="AS162" s="1085"/>
      <c r="AT162" s="1085"/>
      <c r="AU162" s="1085"/>
      <c r="AV162" s="1085"/>
      <c r="AW162" s="1085"/>
      <c r="AX162" s="1085"/>
      <c r="AY162" s="1085"/>
      <c r="AZ162" s="1085"/>
      <c r="BA162" s="1085"/>
      <c r="BB162" s="1085"/>
      <c r="BC162" s="1085"/>
      <c r="BD162" s="1085"/>
      <c r="BE162" s="1081"/>
    </row>
    <row r="163" spans="1:57" ht="15.75" customHeight="1">
      <c r="A163" s="1085"/>
      <c r="B163" s="1085"/>
      <c r="C163" s="2328" t="s">
        <v>2607</v>
      </c>
      <c r="D163" s="2329"/>
      <c r="E163" s="2329"/>
      <c r="F163" s="2329"/>
      <c r="G163" s="2329"/>
      <c r="H163" s="2329"/>
      <c r="I163" s="2329"/>
      <c r="J163" s="2329"/>
      <c r="K163" s="2329"/>
      <c r="L163" s="2329"/>
      <c r="M163" s="2329"/>
      <c r="N163" s="2329"/>
      <c r="O163" s="2329"/>
      <c r="P163" s="2329"/>
      <c r="Q163" s="2278">
        <v>55</v>
      </c>
      <c r="R163" s="2278"/>
      <c r="S163" s="2278"/>
      <c r="T163" s="2331"/>
      <c r="U163" s="2331"/>
      <c r="V163" s="2331"/>
      <c r="W163" s="2331"/>
      <c r="X163" s="2331"/>
      <c r="Y163" s="2331"/>
      <c r="Z163" s="2331"/>
      <c r="AA163" s="2331"/>
      <c r="AB163" s="1103"/>
      <c r="AC163" s="1103"/>
      <c r="AD163" s="1103"/>
      <c r="AE163" s="1103"/>
      <c r="AF163" s="1103"/>
      <c r="AG163" s="1102"/>
      <c r="AH163" s="1085"/>
      <c r="AI163" s="1085"/>
      <c r="AJ163" s="1085"/>
      <c r="AK163" s="1085"/>
      <c r="AL163" s="1085"/>
      <c r="AM163" s="1085"/>
      <c r="AN163" s="1085"/>
      <c r="AO163" s="1085"/>
      <c r="AP163" s="1085"/>
      <c r="AQ163" s="1085"/>
      <c r="AR163" s="1085"/>
      <c r="AS163" s="1085"/>
      <c r="AT163" s="1085"/>
      <c r="AU163" s="1085"/>
      <c r="AV163" s="1085"/>
      <c r="AW163" s="1085"/>
      <c r="AX163" s="1085"/>
      <c r="AY163" s="1085"/>
      <c r="AZ163" s="1085"/>
      <c r="BA163" s="1085"/>
      <c r="BB163" s="1085"/>
      <c r="BC163" s="1085"/>
      <c r="BD163" s="1085"/>
      <c r="BE163" s="1081"/>
    </row>
    <row r="164" spans="1:57" ht="15.75" customHeight="1">
      <c r="A164" s="1085"/>
      <c r="B164" s="1085"/>
      <c r="C164" s="2328" t="s">
        <v>2608</v>
      </c>
      <c r="D164" s="2329"/>
      <c r="E164" s="2329"/>
      <c r="F164" s="2329"/>
      <c r="G164" s="2329"/>
      <c r="H164" s="2329"/>
      <c r="I164" s="2329"/>
      <c r="J164" s="2329"/>
      <c r="K164" s="2329"/>
      <c r="L164" s="2329"/>
      <c r="M164" s="2329"/>
      <c r="N164" s="2329"/>
      <c r="O164" s="2329"/>
      <c r="P164" s="2329"/>
      <c r="Q164" s="2278">
        <v>55</v>
      </c>
      <c r="R164" s="2278"/>
      <c r="S164" s="2278"/>
      <c r="T164" s="2292"/>
      <c r="U164" s="2292"/>
      <c r="V164" s="2292"/>
      <c r="W164" s="2292"/>
      <c r="X164" s="2292"/>
      <c r="Y164" s="2292"/>
      <c r="Z164" s="2292"/>
      <c r="AA164" s="2292"/>
      <c r="AB164" s="1103"/>
      <c r="AC164" s="1103"/>
      <c r="AD164" s="1103"/>
      <c r="AE164" s="1103"/>
      <c r="AF164" s="1103"/>
      <c r="AG164" s="1102"/>
      <c r="AH164" s="1085"/>
      <c r="AI164" s="1085"/>
      <c r="AJ164" s="1085"/>
      <c r="AK164" s="1085"/>
      <c r="AL164" s="1085"/>
      <c r="AM164" s="1085"/>
      <c r="AN164" s="1085"/>
      <c r="AO164" s="1085"/>
      <c r="AP164" s="1085"/>
      <c r="AQ164" s="1085"/>
      <c r="AR164" s="1085"/>
      <c r="AS164" s="1085"/>
      <c r="AT164" s="1085"/>
      <c r="AU164" s="1085"/>
      <c r="AV164" s="1085"/>
      <c r="AW164" s="1085"/>
      <c r="AX164" s="1085"/>
      <c r="AY164" s="1085"/>
      <c r="AZ164" s="1085"/>
      <c r="BA164" s="1085"/>
      <c r="BB164" s="1085"/>
      <c r="BC164" s="1085"/>
      <c r="BD164" s="1085"/>
      <c r="BE164" s="1081"/>
    </row>
    <row r="165" spans="1:57" ht="15.75" customHeight="1">
      <c r="A165" s="1085"/>
      <c r="B165" s="1085"/>
      <c r="C165" s="2328" t="s">
        <v>2533</v>
      </c>
      <c r="D165" s="2329"/>
      <c r="E165" s="2329"/>
      <c r="F165" s="2329"/>
      <c r="G165" s="2329"/>
      <c r="H165" s="2329"/>
      <c r="I165" s="2329"/>
      <c r="J165" s="2329"/>
      <c r="K165" s="2329"/>
      <c r="L165" s="2329"/>
      <c r="M165" s="2329"/>
      <c r="N165" s="2329"/>
      <c r="O165" s="2329"/>
      <c r="P165" s="2329"/>
      <c r="Q165" s="2278">
        <v>55</v>
      </c>
      <c r="R165" s="2278"/>
      <c r="S165" s="2278"/>
      <c r="T165" s="2292"/>
      <c r="U165" s="2292"/>
      <c r="V165" s="2292"/>
      <c r="W165" s="2292"/>
      <c r="X165" s="2292"/>
      <c r="Y165" s="2292"/>
      <c r="Z165" s="2292"/>
      <c r="AA165" s="2292"/>
      <c r="AB165" s="2332">
        <v>0</v>
      </c>
      <c r="AC165" s="2332"/>
      <c r="AD165" s="2332"/>
      <c r="AE165" s="2332"/>
      <c r="AF165" s="2332"/>
      <c r="AG165" s="2333"/>
      <c r="AH165" s="1085"/>
      <c r="AI165" s="1085"/>
      <c r="AJ165" s="1085"/>
      <c r="AK165" s="1085"/>
      <c r="AL165" s="1085"/>
      <c r="AM165" s="1085"/>
      <c r="AN165" s="1085"/>
      <c r="AO165" s="1085"/>
      <c r="AP165" s="1085"/>
      <c r="AQ165" s="1085"/>
      <c r="AR165" s="1085"/>
      <c r="AS165" s="1085"/>
      <c r="AT165" s="1085"/>
      <c r="AU165" s="1085"/>
      <c r="AV165" s="1085"/>
      <c r="AW165" s="1085"/>
      <c r="AX165" s="1085"/>
      <c r="AY165" s="1085"/>
      <c r="AZ165" s="1085"/>
      <c r="BA165" s="1085"/>
      <c r="BB165" s="1085"/>
      <c r="BC165" s="1085"/>
      <c r="BD165" s="1085"/>
      <c r="BE165" s="1081"/>
    </row>
    <row r="166" spans="1:57" ht="15.75" customHeight="1">
      <c r="A166" s="1085"/>
      <c r="B166" s="1085"/>
      <c r="C166" s="2328" t="s">
        <v>232</v>
      </c>
      <c r="D166" s="2329"/>
      <c r="E166" s="2329"/>
      <c r="F166" s="2330" t="s">
        <v>2609</v>
      </c>
      <c r="G166" s="2330"/>
      <c r="H166" s="2330"/>
      <c r="I166" s="2330"/>
      <c r="J166" s="2330"/>
      <c r="K166" s="2330"/>
      <c r="L166" s="2330"/>
      <c r="M166" s="2330"/>
      <c r="N166" s="2330"/>
      <c r="O166" s="2330"/>
      <c r="P166" s="2330"/>
      <c r="Q166" s="2278">
        <v>55</v>
      </c>
      <c r="R166" s="2278"/>
      <c r="S166" s="2278"/>
      <c r="T166" s="2331"/>
      <c r="U166" s="2331"/>
      <c r="V166" s="2331"/>
      <c r="W166" s="2331"/>
      <c r="X166" s="2331"/>
      <c r="Y166" s="2331"/>
      <c r="Z166" s="2331"/>
      <c r="AA166" s="2331"/>
      <c r="AB166" s="2332">
        <v>0</v>
      </c>
      <c r="AC166" s="2332"/>
      <c r="AD166" s="2332"/>
      <c r="AE166" s="2332"/>
      <c r="AF166" s="2332"/>
      <c r="AG166" s="2333"/>
      <c r="AH166" s="1085"/>
      <c r="AI166" s="1085"/>
      <c r="AJ166" s="1085"/>
      <c r="AK166" s="1085"/>
      <c r="AL166" s="1085"/>
      <c r="AM166" s="1085"/>
      <c r="AN166" s="1085"/>
      <c r="AO166" s="1085"/>
      <c r="AP166" s="1085"/>
      <c r="AQ166" s="1085"/>
      <c r="AR166" s="1085"/>
      <c r="AS166" s="1085"/>
      <c r="AT166" s="1085"/>
      <c r="AU166" s="1085"/>
      <c r="AV166" s="1085"/>
      <c r="AW166" s="1085"/>
      <c r="AX166" s="1085"/>
      <c r="AY166" s="1085"/>
      <c r="AZ166" s="1085"/>
      <c r="BA166" s="1085"/>
      <c r="BB166" s="1085"/>
      <c r="BC166" s="1085"/>
      <c r="BD166" s="1085"/>
      <c r="BE166" s="1081"/>
    </row>
    <row r="167" spans="1:57" ht="15.75" customHeight="1">
      <c r="A167" s="1085"/>
      <c r="B167" s="1085"/>
      <c r="C167" s="2328" t="s">
        <v>232</v>
      </c>
      <c r="D167" s="2329"/>
      <c r="E167" s="2329"/>
      <c r="F167" s="2330" t="s">
        <v>2609</v>
      </c>
      <c r="G167" s="2330"/>
      <c r="H167" s="2330"/>
      <c r="I167" s="2330"/>
      <c r="J167" s="2330"/>
      <c r="K167" s="2330"/>
      <c r="L167" s="2330"/>
      <c r="M167" s="2330"/>
      <c r="N167" s="2330"/>
      <c r="O167" s="2330"/>
      <c r="P167" s="2330"/>
      <c r="Q167" s="2278">
        <v>55</v>
      </c>
      <c r="R167" s="2278"/>
      <c r="S167" s="2278"/>
      <c r="T167" s="2331"/>
      <c r="U167" s="2331"/>
      <c r="V167" s="2331"/>
      <c r="W167" s="2331"/>
      <c r="X167" s="2331"/>
      <c r="Y167" s="2331"/>
      <c r="Z167" s="2331"/>
      <c r="AA167" s="2331"/>
      <c r="AB167" s="2332">
        <v>0</v>
      </c>
      <c r="AC167" s="2332"/>
      <c r="AD167" s="2332"/>
      <c r="AE167" s="2332"/>
      <c r="AF167" s="2332"/>
      <c r="AG167" s="2333"/>
      <c r="AH167" s="1085"/>
      <c r="AI167" s="1085"/>
      <c r="AJ167" s="1085"/>
      <c r="AK167" s="1085" t="s">
        <v>253</v>
      </c>
      <c r="AL167" s="1085"/>
      <c r="AM167" s="1085"/>
      <c r="AN167" s="1085"/>
      <c r="AO167" s="1085"/>
      <c r="AP167" s="1085"/>
      <c r="AQ167" s="1085"/>
      <c r="AR167" s="1085"/>
      <c r="AS167" s="1085"/>
      <c r="AT167" s="1085"/>
      <c r="AU167" s="1085"/>
      <c r="AV167" s="1085"/>
      <c r="AW167" s="1085"/>
      <c r="AX167" s="1085"/>
      <c r="AY167" s="1085"/>
      <c r="AZ167" s="1085"/>
      <c r="BA167" s="1085"/>
      <c r="BB167" s="1085"/>
      <c r="BC167" s="1085"/>
      <c r="BD167" s="1085"/>
      <c r="BE167" s="1081"/>
    </row>
    <row r="168" spans="1:57" ht="15.75" customHeight="1" thickBot="1">
      <c r="A168" s="1085"/>
      <c r="B168" s="1085"/>
      <c r="C168" s="2299" t="s">
        <v>232</v>
      </c>
      <c r="D168" s="2300"/>
      <c r="E168" s="2300"/>
      <c r="F168" s="2301" t="s">
        <v>2609</v>
      </c>
      <c r="G168" s="2301"/>
      <c r="H168" s="2301"/>
      <c r="I168" s="2301"/>
      <c r="J168" s="2301"/>
      <c r="K168" s="2301"/>
      <c r="L168" s="2301"/>
      <c r="M168" s="2301"/>
      <c r="N168" s="2301"/>
      <c r="O168" s="2301"/>
      <c r="P168" s="2301"/>
      <c r="Q168" s="2302">
        <v>55</v>
      </c>
      <c r="R168" s="2302"/>
      <c r="S168" s="2302"/>
      <c r="T168" s="2303"/>
      <c r="U168" s="2303"/>
      <c r="V168" s="2303"/>
      <c r="W168" s="2303"/>
      <c r="X168" s="2303"/>
      <c r="Y168" s="2303"/>
      <c r="Z168" s="2303"/>
      <c r="AA168" s="2303"/>
      <c r="AB168" s="2304">
        <v>0</v>
      </c>
      <c r="AC168" s="2304"/>
      <c r="AD168" s="2304"/>
      <c r="AE168" s="2304"/>
      <c r="AF168" s="2304"/>
      <c r="AG168" s="2305"/>
      <c r="AH168" s="1085"/>
      <c r="AI168" s="1085"/>
      <c r="AJ168" s="1085"/>
      <c r="AK168" s="1085"/>
      <c r="AL168" s="1085"/>
      <c r="AM168" s="1085"/>
      <c r="AN168" s="1085"/>
      <c r="AO168" s="1085"/>
      <c r="AP168" s="1085"/>
      <c r="AQ168" s="1085"/>
      <c r="AR168" s="1085"/>
      <c r="AS168" s="1085"/>
      <c r="AT168" s="1085"/>
      <c r="AU168" s="1085"/>
      <c r="AV168" s="1085"/>
      <c r="AW168" s="1085"/>
      <c r="AX168" s="1085"/>
      <c r="AY168" s="1085"/>
      <c r="AZ168" s="1085"/>
      <c r="BA168" s="1085"/>
      <c r="BB168" s="1085"/>
      <c r="BC168" s="1085"/>
      <c r="BD168" s="1085"/>
      <c r="BE168" s="1081"/>
    </row>
    <row r="169" spans="1:57" ht="15.75" customHeight="1" thickBot="1">
      <c r="A169" s="1085"/>
      <c r="B169" s="1085"/>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c r="W169" s="1085"/>
      <c r="X169" s="1085"/>
      <c r="Y169" s="1085"/>
      <c r="Z169" s="1085"/>
      <c r="AA169" s="1085"/>
      <c r="AB169" s="1085"/>
      <c r="AC169" s="1085"/>
      <c r="AD169" s="1085"/>
      <c r="AE169" s="1085"/>
      <c r="AF169" s="1085"/>
      <c r="AG169" s="1085"/>
      <c r="AH169" s="1085"/>
      <c r="AI169" s="1085"/>
      <c r="AJ169" s="1085"/>
      <c r="AK169" s="1085"/>
      <c r="AL169" s="1085"/>
      <c r="AM169" s="1085"/>
      <c r="AN169" s="1085"/>
      <c r="AO169" s="1085"/>
      <c r="AP169" s="1085"/>
      <c r="AQ169" s="1085"/>
      <c r="AR169" s="1085"/>
      <c r="AS169" s="1085"/>
      <c r="AT169" s="1085"/>
      <c r="AU169" s="1085"/>
      <c r="AV169" s="1085"/>
      <c r="AW169" s="1085"/>
      <c r="AX169" s="1085"/>
      <c r="AY169" s="1085"/>
      <c r="AZ169" s="1085"/>
      <c r="BA169" s="1085"/>
      <c r="BB169" s="1085"/>
      <c r="BC169" s="1085"/>
      <c r="BD169" s="1085"/>
      <c r="BE169" s="1081"/>
    </row>
    <row r="170" spans="1:57" ht="15.75" customHeight="1">
      <c r="A170" s="1085"/>
      <c r="B170" s="1085"/>
      <c r="C170" s="2103" t="s">
        <v>2610</v>
      </c>
      <c r="D170" s="2104"/>
      <c r="E170" s="2104"/>
      <c r="F170" s="2104"/>
      <c r="G170" s="2104"/>
      <c r="H170" s="2104"/>
      <c r="I170" s="2104"/>
      <c r="J170" s="2104"/>
      <c r="K170" s="2104"/>
      <c r="L170" s="2104"/>
      <c r="M170" s="2104"/>
      <c r="N170" s="2105"/>
      <c r="O170" s="1085"/>
      <c r="P170" s="2316" t="s">
        <v>2611</v>
      </c>
      <c r="Q170" s="2317"/>
      <c r="R170" s="2317"/>
      <c r="S170" s="2317"/>
      <c r="T170" s="2317"/>
      <c r="U170" s="2317"/>
      <c r="V170" s="2317"/>
      <c r="W170" s="2317"/>
      <c r="X170" s="2317"/>
      <c r="Y170" s="2317"/>
      <c r="Z170" s="2317"/>
      <c r="AA170" s="2317"/>
      <c r="AB170" s="2317"/>
      <c r="AC170" s="2317"/>
      <c r="AD170" s="2317"/>
      <c r="AE170" s="2317"/>
      <c r="AF170" s="2317"/>
      <c r="AG170" s="2317"/>
      <c r="AH170" s="2317"/>
      <c r="AI170" s="2317"/>
      <c r="AJ170" s="2317"/>
      <c r="AK170" s="2317"/>
      <c r="AL170" s="2317"/>
      <c r="AM170" s="2317"/>
      <c r="AN170" s="2317"/>
      <c r="AO170" s="2318"/>
      <c r="AP170" s="1085"/>
      <c r="AQ170" s="1085"/>
      <c r="AR170" s="1085"/>
      <c r="AS170" s="1085"/>
      <c r="AT170" s="1085"/>
      <c r="AU170" s="1085"/>
      <c r="AV170" s="1085"/>
      <c r="AW170" s="1085"/>
      <c r="AX170" s="1085"/>
      <c r="AY170" s="1085"/>
      <c r="AZ170" s="1085"/>
      <c r="BA170" s="1085"/>
      <c r="BB170" s="1085"/>
      <c r="BC170" s="1085"/>
      <c r="BD170" s="1085"/>
      <c r="BE170" s="1081"/>
    </row>
    <row r="171" spans="1:57" ht="15.75" customHeight="1">
      <c r="A171" s="1085"/>
      <c r="B171" s="1085"/>
      <c r="C171" s="2319" t="s">
        <v>2612</v>
      </c>
      <c r="D171" s="2320"/>
      <c r="E171" s="2320"/>
      <c r="F171" s="2320"/>
      <c r="G171" s="2320"/>
      <c r="H171" s="2320"/>
      <c r="I171" s="2320" t="s">
        <v>2613</v>
      </c>
      <c r="J171" s="2320"/>
      <c r="K171" s="2320"/>
      <c r="L171" s="2320"/>
      <c r="M171" s="2320"/>
      <c r="N171" s="2321"/>
      <c r="O171" s="1085"/>
      <c r="P171" s="2322" t="s">
        <v>2560</v>
      </c>
      <c r="Q171" s="2323"/>
      <c r="R171" s="2323"/>
      <c r="S171" s="2323"/>
      <c r="T171" s="2323"/>
      <c r="U171" s="2323"/>
      <c r="V171" s="2323"/>
      <c r="W171" s="2323"/>
      <c r="X171" s="2323"/>
      <c r="Y171" s="2323"/>
      <c r="Z171" s="2323"/>
      <c r="AA171" s="2323"/>
      <c r="AB171" s="2323"/>
      <c r="AC171" s="2323"/>
      <c r="AD171" s="2323"/>
      <c r="AE171" s="2323"/>
      <c r="AF171" s="2323"/>
      <c r="AG171" s="2323"/>
      <c r="AH171" s="2323"/>
      <c r="AI171" s="2323"/>
      <c r="AJ171" s="2323"/>
      <c r="AK171" s="2323"/>
      <c r="AL171" s="2323"/>
      <c r="AM171" s="2323"/>
      <c r="AN171" s="2323"/>
      <c r="AO171" s="2324"/>
      <c r="AP171" s="1085"/>
      <c r="AQ171" s="1085"/>
      <c r="AR171" s="1085"/>
      <c r="AS171" s="1085"/>
      <c r="AT171" s="1085"/>
      <c r="AU171" s="1085"/>
      <c r="AV171" s="1085"/>
      <c r="AW171" s="1085"/>
      <c r="AX171" s="1085"/>
      <c r="AY171" s="1085"/>
      <c r="AZ171" s="1085"/>
      <c r="BA171" s="1085"/>
      <c r="BB171" s="1085"/>
      <c r="BC171" s="1085"/>
      <c r="BD171" s="1085"/>
      <c r="BE171" s="1081"/>
    </row>
    <row r="172" spans="1:57" ht="15.75" customHeight="1">
      <c r="A172" s="1085"/>
      <c r="B172" s="1085"/>
      <c r="C172" s="2271"/>
      <c r="D172" s="2272"/>
      <c r="E172" s="2272"/>
      <c r="F172" s="2272"/>
      <c r="G172" s="2272"/>
      <c r="H172" s="2272"/>
      <c r="I172" s="2292"/>
      <c r="J172" s="2292"/>
      <c r="K172" s="2292"/>
      <c r="L172" s="2292"/>
      <c r="M172" s="2292"/>
      <c r="N172" s="2293"/>
      <c r="O172" s="1085"/>
      <c r="P172" s="2322"/>
      <c r="Q172" s="2323"/>
      <c r="R172" s="2323"/>
      <c r="S172" s="2323"/>
      <c r="T172" s="2323"/>
      <c r="U172" s="2323"/>
      <c r="V172" s="2323"/>
      <c r="W172" s="2323"/>
      <c r="X172" s="2323"/>
      <c r="Y172" s="2323"/>
      <c r="Z172" s="2323"/>
      <c r="AA172" s="2323"/>
      <c r="AB172" s="2323"/>
      <c r="AC172" s="2323"/>
      <c r="AD172" s="2323"/>
      <c r="AE172" s="2323"/>
      <c r="AF172" s="2323"/>
      <c r="AG172" s="2323"/>
      <c r="AH172" s="2323"/>
      <c r="AI172" s="2323"/>
      <c r="AJ172" s="2323"/>
      <c r="AK172" s="2323"/>
      <c r="AL172" s="2323"/>
      <c r="AM172" s="2323"/>
      <c r="AN172" s="2323"/>
      <c r="AO172" s="2324"/>
      <c r="AP172" s="1085"/>
      <c r="AQ172" s="1085"/>
      <c r="AR172" s="1085"/>
      <c r="AS172" s="1085"/>
      <c r="AT172" s="1085"/>
      <c r="AU172" s="1085"/>
      <c r="AV172" s="1085"/>
      <c r="AW172" s="1085"/>
      <c r="AX172" s="1085"/>
      <c r="AY172" s="1085"/>
      <c r="AZ172" s="1085"/>
      <c r="BA172" s="1085"/>
      <c r="BB172" s="1085"/>
      <c r="BC172" s="1085"/>
      <c r="BD172" s="1085"/>
      <c r="BE172" s="1081"/>
    </row>
    <row r="173" spans="1:57" ht="15.75" customHeight="1">
      <c r="A173" s="1085"/>
      <c r="B173" s="1085"/>
      <c r="C173" s="2271"/>
      <c r="D173" s="2272"/>
      <c r="E173" s="2272"/>
      <c r="F173" s="2272"/>
      <c r="G173" s="2272"/>
      <c r="H173" s="2272"/>
      <c r="I173" s="2292"/>
      <c r="J173" s="2292"/>
      <c r="K173" s="2292"/>
      <c r="L173" s="2292"/>
      <c r="M173" s="2292"/>
      <c r="N173" s="2293"/>
      <c r="O173" s="1085"/>
      <c r="P173" s="2322"/>
      <c r="Q173" s="2323"/>
      <c r="R173" s="2323"/>
      <c r="S173" s="2323"/>
      <c r="T173" s="2323"/>
      <c r="U173" s="2323"/>
      <c r="V173" s="2323"/>
      <c r="W173" s="2323"/>
      <c r="X173" s="2323"/>
      <c r="Y173" s="2323"/>
      <c r="Z173" s="2323"/>
      <c r="AA173" s="2323"/>
      <c r="AB173" s="2323"/>
      <c r="AC173" s="2323"/>
      <c r="AD173" s="2323"/>
      <c r="AE173" s="2323"/>
      <c r="AF173" s="2323"/>
      <c r="AG173" s="2323"/>
      <c r="AH173" s="2323"/>
      <c r="AI173" s="2323"/>
      <c r="AJ173" s="2323"/>
      <c r="AK173" s="2323"/>
      <c r="AL173" s="2323"/>
      <c r="AM173" s="2323"/>
      <c r="AN173" s="2323"/>
      <c r="AO173" s="2324"/>
      <c r="AP173" s="1085"/>
      <c r="AQ173" s="1085"/>
      <c r="AR173" s="1085"/>
      <c r="AS173" s="1085"/>
      <c r="AT173" s="1085"/>
      <c r="AU173" s="1085"/>
      <c r="AV173" s="1085"/>
      <c r="AW173" s="1085"/>
      <c r="AX173" s="1085"/>
      <c r="AY173" s="1085"/>
      <c r="AZ173" s="1085"/>
      <c r="BA173" s="1085"/>
      <c r="BB173" s="1085"/>
      <c r="BC173" s="1085"/>
      <c r="BD173" s="1085"/>
      <c r="BE173" s="1081"/>
    </row>
    <row r="174" spans="1:57" ht="15.75" customHeight="1">
      <c r="A174" s="1085"/>
      <c r="B174" s="1085"/>
      <c r="C174" s="2271"/>
      <c r="D174" s="2272"/>
      <c r="E174" s="2272"/>
      <c r="F174" s="2272"/>
      <c r="G174" s="2272"/>
      <c r="H174" s="2272"/>
      <c r="I174" s="2292"/>
      <c r="J174" s="2292"/>
      <c r="K174" s="2292"/>
      <c r="L174" s="2292"/>
      <c r="M174" s="2292"/>
      <c r="N174" s="2293"/>
      <c r="O174" s="1085"/>
      <c r="P174" s="2322"/>
      <c r="Q174" s="2323"/>
      <c r="R174" s="2323"/>
      <c r="S174" s="2323"/>
      <c r="T174" s="2323"/>
      <c r="U174" s="2323"/>
      <c r="V174" s="2323"/>
      <c r="W174" s="2323"/>
      <c r="X174" s="2323"/>
      <c r="Y174" s="2323"/>
      <c r="Z174" s="2323"/>
      <c r="AA174" s="2323"/>
      <c r="AB174" s="2323"/>
      <c r="AC174" s="2323"/>
      <c r="AD174" s="2323"/>
      <c r="AE174" s="2323"/>
      <c r="AF174" s="2323"/>
      <c r="AG174" s="2323"/>
      <c r="AH174" s="2323"/>
      <c r="AI174" s="2323"/>
      <c r="AJ174" s="2323"/>
      <c r="AK174" s="2323"/>
      <c r="AL174" s="2323"/>
      <c r="AM174" s="2323"/>
      <c r="AN174" s="2323"/>
      <c r="AO174" s="2324"/>
      <c r="AP174" s="1085"/>
      <c r="AQ174" s="1085"/>
      <c r="AR174" s="1085"/>
      <c r="AS174" s="1085"/>
      <c r="AT174" s="1085"/>
      <c r="AU174" s="1085"/>
      <c r="AV174" s="1085"/>
      <c r="AW174" s="1085"/>
      <c r="AX174" s="1085"/>
      <c r="AY174" s="1085"/>
      <c r="AZ174" s="1085"/>
      <c r="BA174" s="1085"/>
      <c r="BB174" s="1085"/>
      <c r="BC174" s="1085"/>
      <c r="BD174" s="1085"/>
      <c r="BE174" s="1081"/>
    </row>
    <row r="175" spans="1:57" ht="15.75" customHeight="1">
      <c r="A175" s="1085"/>
      <c r="B175" s="1085"/>
      <c r="C175" s="2271"/>
      <c r="D175" s="2272"/>
      <c r="E175" s="2272"/>
      <c r="F175" s="2272"/>
      <c r="G175" s="2272"/>
      <c r="H175" s="2272"/>
      <c r="I175" s="2292"/>
      <c r="J175" s="2292"/>
      <c r="K175" s="2292"/>
      <c r="L175" s="2292"/>
      <c r="M175" s="2292"/>
      <c r="N175" s="2293"/>
      <c r="O175" s="1085"/>
      <c r="P175" s="2322"/>
      <c r="Q175" s="2323"/>
      <c r="R175" s="2323"/>
      <c r="S175" s="2323"/>
      <c r="T175" s="2323"/>
      <c r="U175" s="2323"/>
      <c r="V175" s="2323"/>
      <c r="W175" s="2323"/>
      <c r="X175" s="2323"/>
      <c r="Y175" s="2323"/>
      <c r="Z175" s="2323"/>
      <c r="AA175" s="2323"/>
      <c r="AB175" s="2323"/>
      <c r="AC175" s="2323"/>
      <c r="AD175" s="2323"/>
      <c r="AE175" s="2323"/>
      <c r="AF175" s="2323"/>
      <c r="AG175" s="2323"/>
      <c r="AH175" s="2323"/>
      <c r="AI175" s="2323"/>
      <c r="AJ175" s="2323"/>
      <c r="AK175" s="2323"/>
      <c r="AL175" s="2323"/>
      <c r="AM175" s="2323"/>
      <c r="AN175" s="2323"/>
      <c r="AO175" s="2324"/>
      <c r="AP175" s="1085"/>
      <c r="AQ175" s="1085"/>
      <c r="AR175" s="1085"/>
      <c r="AS175" s="1085"/>
      <c r="AT175" s="1085"/>
      <c r="AU175" s="1085"/>
      <c r="AV175" s="1085"/>
      <c r="AW175" s="1085"/>
      <c r="AX175" s="1085"/>
      <c r="AY175" s="1085"/>
      <c r="AZ175" s="1085"/>
      <c r="BA175" s="1085"/>
      <c r="BB175" s="1085"/>
      <c r="BC175" s="1085"/>
      <c r="BD175" s="1085"/>
      <c r="BE175" s="1081"/>
    </row>
    <row r="176" spans="1:57" ht="15.75" customHeight="1">
      <c r="A176" s="1085"/>
      <c r="B176" s="1085"/>
      <c r="C176" s="2271"/>
      <c r="D176" s="2272"/>
      <c r="E176" s="2272"/>
      <c r="F176" s="2272"/>
      <c r="G176" s="2272"/>
      <c r="H176" s="2272"/>
      <c r="I176" s="2292"/>
      <c r="J176" s="2292"/>
      <c r="K176" s="2292"/>
      <c r="L176" s="2292"/>
      <c r="M176" s="2292"/>
      <c r="N176" s="2293"/>
      <c r="O176" s="1085"/>
      <c r="P176" s="2322"/>
      <c r="Q176" s="2323"/>
      <c r="R176" s="2323"/>
      <c r="S176" s="2323"/>
      <c r="T176" s="2323"/>
      <c r="U176" s="2323"/>
      <c r="V176" s="2323"/>
      <c r="W176" s="2323"/>
      <c r="X176" s="2323"/>
      <c r="Y176" s="2323"/>
      <c r="Z176" s="2323"/>
      <c r="AA176" s="2323"/>
      <c r="AB176" s="2323"/>
      <c r="AC176" s="2323"/>
      <c r="AD176" s="2323"/>
      <c r="AE176" s="2323"/>
      <c r="AF176" s="2323"/>
      <c r="AG176" s="2323"/>
      <c r="AH176" s="2323"/>
      <c r="AI176" s="2323"/>
      <c r="AJ176" s="2323"/>
      <c r="AK176" s="2323"/>
      <c r="AL176" s="2323"/>
      <c r="AM176" s="2323"/>
      <c r="AN176" s="2323"/>
      <c r="AO176" s="2324"/>
      <c r="AP176" s="1085"/>
      <c r="AQ176" s="1085"/>
      <c r="AR176" s="1085"/>
      <c r="AS176" s="1085"/>
      <c r="AT176" s="1085"/>
      <c r="AU176" s="1085"/>
      <c r="AV176" s="1085"/>
      <c r="AW176" s="1085"/>
      <c r="AX176" s="1085"/>
      <c r="AY176" s="1085"/>
      <c r="AZ176" s="1085"/>
      <c r="BA176" s="1085"/>
      <c r="BB176" s="1085"/>
      <c r="BC176" s="1085"/>
      <c r="BD176" s="1085"/>
      <c r="BE176" s="1081"/>
    </row>
    <row r="177" spans="1:57" ht="15.75" customHeight="1">
      <c r="A177" s="1085"/>
      <c r="B177" s="1085"/>
      <c r="C177" s="2271"/>
      <c r="D177" s="2272"/>
      <c r="E177" s="2272"/>
      <c r="F177" s="2272"/>
      <c r="G177" s="2272"/>
      <c r="H177" s="2272"/>
      <c r="I177" s="2292"/>
      <c r="J177" s="2292"/>
      <c r="K177" s="2292"/>
      <c r="L177" s="2292"/>
      <c r="M177" s="2292"/>
      <c r="N177" s="2293"/>
      <c r="O177" s="1085"/>
      <c r="P177" s="2322"/>
      <c r="Q177" s="2323"/>
      <c r="R177" s="2323"/>
      <c r="S177" s="2323"/>
      <c r="T177" s="2323"/>
      <c r="U177" s="2323"/>
      <c r="V177" s="2323"/>
      <c r="W177" s="2323"/>
      <c r="X177" s="2323"/>
      <c r="Y177" s="2323"/>
      <c r="Z177" s="2323"/>
      <c r="AA177" s="2323"/>
      <c r="AB177" s="2323"/>
      <c r="AC177" s="2323"/>
      <c r="AD177" s="2323"/>
      <c r="AE177" s="2323"/>
      <c r="AF177" s="2323"/>
      <c r="AG177" s="2323"/>
      <c r="AH177" s="2323"/>
      <c r="AI177" s="2323"/>
      <c r="AJ177" s="2323"/>
      <c r="AK177" s="2323"/>
      <c r="AL177" s="2323"/>
      <c r="AM177" s="2323"/>
      <c r="AN177" s="2323"/>
      <c r="AO177" s="2324"/>
      <c r="AP177" s="1085"/>
      <c r="AQ177" s="1085"/>
      <c r="AR177" s="1085"/>
      <c r="AS177" s="1085"/>
      <c r="AT177" s="1085"/>
      <c r="AU177" s="1085"/>
      <c r="AV177" s="1085"/>
      <c r="AW177" s="1085"/>
      <c r="AX177" s="1085"/>
      <c r="AY177" s="1085"/>
      <c r="AZ177" s="1085"/>
      <c r="BA177" s="1085"/>
      <c r="BB177" s="1085"/>
      <c r="BC177" s="1085"/>
      <c r="BD177" s="1085"/>
      <c r="BE177" s="1081"/>
    </row>
    <row r="178" spans="1:57" ht="15.75" customHeight="1" thickBot="1">
      <c r="A178" s="1085"/>
      <c r="B178" s="1085"/>
      <c r="C178" s="2306"/>
      <c r="D178" s="2307"/>
      <c r="E178" s="2307"/>
      <c r="F178" s="2307"/>
      <c r="G178" s="2307"/>
      <c r="H178" s="2307"/>
      <c r="I178" s="2308"/>
      <c r="J178" s="2308"/>
      <c r="K178" s="2308"/>
      <c r="L178" s="2308"/>
      <c r="M178" s="2308"/>
      <c r="N178" s="2309"/>
      <c r="O178" s="1085"/>
      <c r="P178" s="2325"/>
      <c r="Q178" s="2326"/>
      <c r="R178" s="2326"/>
      <c r="S178" s="2326"/>
      <c r="T178" s="2326"/>
      <c r="U178" s="2326"/>
      <c r="V178" s="2326"/>
      <c r="W178" s="2326"/>
      <c r="X178" s="2326"/>
      <c r="Y178" s="2326"/>
      <c r="Z178" s="2326"/>
      <c r="AA178" s="2326"/>
      <c r="AB178" s="2326"/>
      <c r="AC178" s="2326"/>
      <c r="AD178" s="2326"/>
      <c r="AE178" s="2326"/>
      <c r="AF178" s="2326"/>
      <c r="AG178" s="2326"/>
      <c r="AH178" s="2326"/>
      <c r="AI178" s="2326"/>
      <c r="AJ178" s="2326"/>
      <c r="AK178" s="2326"/>
      <c r="AL178" s="2326"/>
      <c r="AM178" s="2326"/>
      <c r="AN178" s="2326"/>
      <c r="AO178" s="2327"/>
      <c r="AP178" s="1085"/>
      <c r="AQ178" s="1085"/>
      <c r="AR178" s="1085"/>
      <c r="AS178" s="1085"/>
      <c r="AT178" s="1085"/>
      <c r="AU178" s="1085"/>
      <c r="AV178" s="1085"/>
      <c r="AW178" s="1085"/>
      <c r="AX178" s="1085"/>
      <c r="AY178" s="1085"/>
      <c r="AZ178" s="1085"/>
      <c r="BA178" s="1085"/>
      <c r="BB178" s="1085"/>
      <c r="BC178" s="1085"/>
      <c r="BD178" s="1085"/>
      <c r="BE178" s="1081"/>
    </row>
    <row r="179" spans="1:57" ht="15.75" customHeight="1" thickBot="1">
      <c r="A179" s="1085"/>
      <c r="B179" s="1085"/>
      <c r="C179" s="1085"/>
      <c r="D179" s="1085"/>
      <c r="E179" s="1085"/>
      <c r="F179" s="1085"/>
      <c r="G179" s="1085"/>
      <c r="H179" s="1085"/>
      <c r="I179" s="1085"/>
      <c r="J179" s="1085"/>
      <c r="K179" s="1085"/>
      <c r="L179" s="1085"/>
      <c r="M179" s="1085"/>
      <c r="N179" s="1085"/>
      <c r="O179" s="1085"/>
      <c r="P179" s="1085"/>
      <c r="Q179" s="1085"/>
      <c r="R179" s="1085"/>
      <c r="S179" s="1085"/>
      <c r="T179" s="1085"/>
      <c r="U179" s="1085"/>
      <c r="V179" s="1085"/>
      <c r="W179" s="1085"/>
      <c r="X179" s="1085"/>
      <c r="Y179" s="1085"/>
      <c r="Z179" s="1085"/>
      <c r="AA179" s="1085"/>
      <c r="AB179" s="1085"/>
      <c r="AC179" s="1085"/>
      <c r="AD179" s="1085"/>
      <c r="AE179" s="1085"/>
      <c r="AF179" s="1085"/>
      <c r="AG179" s="1085"/>
      <c r="AH179" s="1085"/>
      <c r="AI179" s="1085"/>
      <c r="AJ179" s="1085"/>
      <c r="AK179" s="1085"/>
      <c r="AL179" s="1085"/>
      <c r="AM179" s="1085"/>
      <c r="AN179" s="1085"/>
      <c r="AO179" s="1085"/>
      <c r="AP179" s="1085"/>
      <c r="AQ179" s="1085"/>
      <c r="AR179" s="1085"/>
      <c r="AS179" s="1085"/>
      <c r="AT179" s="1085"/>
      <c r="AU179" s="1085"/>
      <c r="AV179" s="1085"/>
      <c r="AW179" s="1085"/>
      <c r="AX179" s="1085"/>
      <c r="AY179" s="1085"/>
      <c r="AZ179" s="1085"/>
      <c r="BA179" s="1085"/>
      <c r="BB179" s="1085"/>
      <c r="BC179" s="1085"/>
      <c r="BD179" s="1085"/>
      <c r="BE179" s="1081"/>
    </row>
    <row r="180" spans="1:57" ht="15.75" customHeight="1" thickBot="1">
      <c r="A180" s="1085"/>
      <c r="B180" s="1085"/>
      <c r="C180" s="2310" t="s">
        <v>2614</v>
      </c>
      <c r="D180" s="2311"/>
      <c r="E180" s="2311"/>
      <c r="F180" s="2311"/>
      <c r="G180" s="2311"/>
      <c r="H180" s="2311"/>
      <c r="I180" s="2311"/>
      <c r="J180" s="2311"/>
      <c r="K180" s="2311"/>
      <c r="L180" s="2311"/>
      <c r="M180" s="2311"/>
      <c r="N180" s="2311"/>
      <c r="O180" s="2311"/>
      <c r="P180" s="2311"/>
      <c r="Q180" s="2311"/>
      <c r="R180" s="2311"/>
      <c r="S180" s="2311"/>
      <c r="T180" s="2311"/>
      <c r="U180" s="2311"/>
      <c r="V180" s="2311"/>
      <c r="W180" s="2311"/>
      <c r="X180" s="2311"/>
      <c r="Y180" s="2311"/>
      <c r="Z180" s="2311"/>
      <c r="AA180" s="2311"/>
      <c r="AB180" s="2311"/>
      <c r="AC180" s="2311"/>
      <c r="AD180" s="2311"/>
      <c r="AE180" s="2312"/>
      <c r="AF180" s="1085"/>
      <c r="AG180" s="1085"/>
      <c r="AH180" s="2505" t="s">
        <v>2615</v>
      </c>
      <c r="AI180" s="2506"/>
      <c r="AJ180" s="2506"/>
      <c r="AK180" s="2506"/>
      <c r="AL180" s="2506"/>
      <c r="AM180" s="2506"/>
      <c r="AN180" s="2506"/>
      <c r="AO180" s="2506"/>
      <c r="AP180" s="2506"/>
      <c r="AQ180" s="2506"/>
      <c r="AR180" s="2506"/>
      <c r="AS180" s="2506"/>
      <c r="AT180" s="2506"/>
      <c r="AU180" s="2506"/>
      <c r="AV180" s="2506"/>
      <c r="AW180" s="2506"/>
      <c r="AX180" s="2506"/>
      <c r="AY180" s="2506"/>
      <c r="AZ180" s="2506"/>
      <c r="BA180" s="2506"/>
      <c r="BB180" s="2506"/>
      <c r="BC180" s="2506"/>
      <c r="BD180" s="2506"/>
      <c r="BE180" s="2507"/>
    </row>
    <row r="181" spans="1:57" ht="15.75" customHeight="1" thickBot="1">
      <c r="A181" s="1085"/>
      <c r="B181" s="1085"/>
      <c r="C181" s="2313"/>
      <c r="D181" s="2314"/>
      <c r="E181" s="2314"/>
      <c r="F181" s="2314"/>
      <c r="G181" s="2314"/>
      <c r="H181" s="2314"/>
      <c r="I181" s="2314"/>
      <c r="J181" s="2314"/>
      <c r="K181" s="2314"/>
      <c r="L181" s="2314"/>
      <c r="M181" s="2314"/>
      <c r="N181" s="2314"/>
      <c r="O181" s="2314"/>
      <c r="P181" s="2314"/>
      <c r="Q181" s="2314"/>
      <c r="R181" s="2314"/>
      <c r="S181" s="2314"/>
      <c r="T181" s="2314"/>
      <c r="U181" s="2314"/>
      <c r="V181" s="2314"/>
      <c r="W181" s="2314"/>
      <c r="X181" s="2314"/>
      <c r="Y181" s="2314"/>
      <c r="Z181" s="2314"/>
      <c r="AA181" s="2314"/>
      <c r="AB181" s="2314"/>
      <c r="AC181" s="2314"/>
      <c r="AD181" s="2314"/>
      <c r="AE181" s="2315"/>
      <c r="AF181" s="1085"/>
      <c r="AG181" s="1085"/>
      <c r="AH181" s="2508" t="s">
        <v>2616</v>
      </c>
      <c r="AI181" s="2508"/>
      <c r="AJ181" s="2508"/>
      <c r="AK181" s="2508"/>
      <c r="AL181" s="2508"/>
      <c r="AM181" s="2508"/>
      <c r="AN181" s="2508"/>
      <c r="AO181" s="2508"/>
      <c r="AP181" s="2508"/>
      <c r="AQ181" s="2508"/>
      <c r="AR181" s="2508"/>
      <c r="AS181" s="2508"/>
      <c r="AT181" s="2508"/>
      <c r="AU181" s="2508"/>
      <c r="AV181" s="2508"/>
      <c r="AW181" s="2508"/>
      <c r="AX181" s="2508"/>
      <c r="AY181" s="2508"/>
      <c r="AZ181" s="2508"/>
      <c r="BA181" s="2508"/>
      <c r="BB181" s="2508"/>
      <c r="BC181" s="2508"/>
      <c r="BD181" s="2508"/>
      <c r="BE181" s="2508"/>
    </row>
    <row r="182" spans="1:57" ht="15.75" customHeight="1">
      <c r="A182" s="1085"/>
      <c r="B182" s="1085"/>
      <c r="C182" s="2103" t="s">
        <v>2602</v>
      </c>
      <c r="D182" s="2104"/>
      <c r="E182" s="2104"/>
      <c r="F182" s="2104"/>
      <c r="G182" s="2104"/>
      <c r="H182" s="2104"/>
      <c r="I182" s="2104"/>
      <c r="J182" s="2104"/>
      <c r="K182" s="2104"/>
      <c r="L182" s="2104"/>
      <c r="M182" s="2104"/>
      <c r="N182" s="2104" t="s">
        <v>2617</v>
      </c>
      <c r="O182" s="2104"/>
      <c r="P182" s="2104"/>
      <c r="Q182" s="2104"/>
      <c r="R182" s="2104"/>
      <c r="S182" s="2104"/>
      <c r="T182" s="2104"/>
      <c r="U182" s="2136" t="s">
        <v>2602</v>
      </c>
      <c r="V182" s="2136"/>
      <c r="W182" s="2136"/>
      <c r="X182" s="2136"/>
      <c r="Y182" s="2136"/>
      <c r="Z182" s="2136"/>
      <c r="AA182" s="2136"/>
      <c r="AB182" s="2136"/>
      <c r="AC182" s="2136"/>
      <c r="AD182" s="2136"/>
      <c r="AE182" s="2137"/>
      <c r="AF182" s="1085"/>
      <c r="AG182" s="1085"/>
      <c r="AH182" s="2291" t="s">
        <v>2618</v>
      </c>
      <c r="AI182" s="2291"/>
      <c r="AJ182" s="2291"/>
      <c r="AK182" s="2291"/>
      <c r="AL182" s="2291"/>
      <c r="AM182" s="2291"/>
      <c r="AN182" s="2291"/>
      <c r="AO182" s="2291"/>
      <c r="AP182" s="2291"/>
      <c r="AQ182" s="2291"/>
      <c r="AR182" s="2291"/>
      <c r="AS182" s="2291"/>
      <c r="AT182" s="2291"/>
      <c r="AU182" s="2516">
        <v>2500000</v>
      </c>
      <c r="AV182" s="2516"/>
      <c r="AW182" s="2516"/>
      <c r="AX182" s="2516"/>
      <c r="AY182" s="2516"/>
      <c r="AZ182" s="2516"/>
      <c r="BA182" s="2516"/>
      <c r="BB182" s="2516"/>
      <c r="BC182" s="2520"/>
      <c r="BD182" s="2521"/>
      <c r="BE182" s="2522"/>
    </row>
    <row r="183" spans="1:57" ht="15.75" customHeight="1">
      <c r="A183" s="1085"/>
      <c r="B183" s="1085"/>
      <c r="C183" s="2280" t="s">
        <v>2619</v>
      </c>
      <c r="D183" s="2281"/>
      <c r="E183" s="2281"/>
      <c r="F183" s="2281"/>
      <c r="G183" s="2281"/>
      <c r="H183" s="2281"/>
      <c r="I183" s="2281"/>
      <c r="J183" s="2281"/>
      <c r="K183" s="2281"/>
      <c r="L183" s="2281"/>
      <c r="M183" s="2281"/>
      <c r="N183" s="2294">
        <f>'Sources and Uses Budget'!B105</f>
        <v>73286134</v>
      </c>
      <c r="O183" s="2294"/>
      <c r="P183" s="2294"/>
      <c r="Q183" s="2294"/>
      <c r="R183" s="2294"/>
      <c r="S183" s="2294"/>
      <c r="T183" s="2294"/>
      <c r="U183" s="2295"/>
      <c r="V183" s="2295"/>
      <c r="W183" s="2295"/>
      <c r="X183" s="2295"/>
      <c r="Y183" s="2295"/>
      <c r="Z183" s="2295"/>
      <c r="AA183" s="2295"/>
      <c r="AB183" s="2295"/>
      <c r="AC183" s="2295"/>
      <c r="AD183" s="2295"/>
      <c r="AE183" s="2296"/>
      <c r="AF183" s="1085"/>
      <c r="AG183" s="1085"/>
      <c r="AH183" s="2291" t="s">
        <v>2620</v>
      </c>
      <c r="AI183" s="2291"/>
      <c r="AJ183" s="2291"/>
      <c r="AK183" s="2291"/>
      <c r="AL183" s="2291"/>
      <c r="AM183" s="2291"/>
      <c r="AN183" s="2291"/>
      <c r="AO183" s="2291"/>
      <c r="AP183" s="2291"/>
      <c r="AQ183" s="2291"/>
      <c r="AR183" s="2291"/>
      <c r="AS183" s="2291"/>
      <c r="AT183" s="2291"/>
      <c r="AU183" s="2517">
        <f>MAX(0,Application!AG439-100)*20000</f>
        <v>0</v>
      </c>
      <c r="AV183" s="2517"/>
      <c r="AW183" s="2517"/>
      <c r="AX183" s="2517"/>
      <c r="AY183" s="2517"/>
      <c r="AZ183" s="2517"/>
      <c r="BA183" s="2517"/>
      <c r="BB183" s="2517"/>
      <c r="BC183" s="2250"/>
      <c r="BD183" s="2251"/>
      <c r="BE183" s="2252"/>
    </row>
    <row r="184" spans="1:57" ht="15.75" customHeight="1">
      <c r="A184" s="1085"/>
      <c r="B184" s="1085"/>
      <c r="C184" s="2280" t="s">
        <v>2621</v>
      </c>
      <c r="D184" s="2281"/>
      <c r="E184" s="2281"/>
      <c r="F184" s="2281"/>
      <c r="G184" s="2281"/>
      <c r="H184" s="2281"/>
      <c r="I184" s="2281"/>
      <c r="J184" s="2281"/>
      <c r="K184" s="2281"/>
      <c r="L184" s="2281"/>
      <c r="M184" s="2281"/>
      <c r="N184" s="2294">
        <f>N183/J29</f>
        <v>732861.34</v>
      </c>
      <c r="O184" s="2294"/>
      <c r="P184" s="2294"/>
      <c r="Q184" s="2294"/>
      <c r="R184" s="2294"/>
      <c r="S184" s="2294"/>
      <c r="T184" s="2294"/>
      <c r="U184" s="1101"/>
      <c r="V184" s="1101"/>
      <c r="W184" s="1101"/>
      <c r="X184" s="1101"/>
      <c r="Y184" s="1101"/>
      <c r="Z184" s="1101"/>
      <c r="AA184" s="1101"/>
      <c r="AB184" s="1101"/>
      <c r="AC184" s="1101"/>
      <c r="AD184" s="1101"/>
      <c r="AE184" s="1100"/>
      <c r="AF184" s="1085"/>
      <c r="AG184" s="1085"/>
      <c r="AH184" s="2509" t="s">
        <v>2622</v>
      </c>
      <c r="AI184" s="2509"/>
      <c r="AJ184" s="2509"/>
      <c r="AK184" s="2509"/>
      <c r="AL184" s="2509"/>
      <c r="AM184" s="2509"/>
      <c r="AN184" s="2509"/>
      <c r="AO184" s="2509"/>
      <c r="AP184" s="2509"/>
      <c r="AQ184" s="2509"/>
      <c r="AR184" s="2509"/>
      <c r="AS184" s="2509"/>
      <c r="AT184" s="2509"/>
      <c r="AU184" s="2249">
        <f>AU182+AU183</f>
        <v>2500000</v>
      </c>
      <c r="AV184" s="2249"/>
      <c r="AW184" s="2249"/>
      <c r="AX184" s="2249"/>
      <c r="AY184" s="2249"/>
      <c r="AZ184" s="2249"/>
      <c r="BA184" s="2249"/>
      <c r="BB184" s="2249"/>
      <c r="BC184" s="2250"/>
      <c r="BD184" s="2251"/>
      <c r="BE184" s="2252"/>
    </row>
    <row r="185" spans="1:57" ht="15.75" customHeight="1">
      <c r="A185" s="1085"/>
      <c r="B185" s="1085"/>
      <c r="C185" s="2297" t="s">
        <v>2623</v>
      </c>
      <c r="D185" s="2298"/>
      <c r="E185" s="2298"/>
      <c r="F185" s="2298"/>
      <c r="G185" s="2298"/>
      <c r="H185" s="2298"/>
      <c r="I185" s="2298"/>
      <c r="J185" s="2298"/>
      <c r="K185" s="2298"/>
      <c r="L185" s="2298"/>
      <c r="M185" s="2298"/>
      <c r="N185" s="2132">
        <v>0</v>
      </c>
      <c r="O185" s="2132"/>
      <c r="P185" s="2132"/>
      <c r="Q185" s="2132"/>
      <c r="R185" s="2132"/>
      <c r="S185" s="2132"/>
      <c r="T185" s="2132"/>
      <c r="U185" s="2275"/>
      <c r="V185" s="2275"/>
      <c r="W185" s="2275"/>
      <c r="X185" s="2275"/>
      <c r="Y185" s="2275"/>
      <c r="Z185" s="2275"/>
      <c r="AA185" s="2275"/>
      <c r="AB185" s="2275"/>
      <c r="AC185" s="2275"/>
      <c r="AD185" s="2275"/>
      <c r="AE185" s="2276"/>
      <c r="AF185" s="1085"/>
      <c r="AG185" s="1085"/>
      <c r="AH185" s="2519" t="s">
        <v>2624</v>
      </c>
      <c r="AI185" s="2519"/>
      <c r="AJ185" s="2519"/>
      <c r="AK185" s="2519"/>
      <c r="AL185" s="2519"/>
      <c r="AM185" s="2519"/>
      <c r="AN185" s="2519"/>
      <c r="AO185" s="2519"/>
      <c r="AP185" s="2519"/>
      <c r="AQ185" s="2519"/>
      <c r="AR185" s="2519"/>
      <c r="AS185" s="2519"/>
      <c r="AT185" s="2519"/>
      <c r="AU185" s="2518" t="str">
        <f>IF(AU189-AU192&lt;=AU184,"Y","N")</f>
        <v>Y</v>
      </c>
      <c r="AV185" s="2518"/>
      <c r="AW185" s="2518"/>
      <c r="AX185" s="2518"/>
      <c r="AY185" s="2518"/>
      <c r="AZ185" s="2518"/>
      <c r="BA185" s="2518"/>
      <c r="BB185" s="2518"/>
      <c r="BC185" s="2250"/>
      <c r="BD185" s="2251"/>
      <c r="BE185" s="2252"/>
    </row>
    <row r="186" spans="1:57" ht="15.75" customHeight="1" thickBot="1">
      <c r="A186" s="1085"/>
      <c r="B186" s="1085"/>
      <c r="C186" s="2280" t="s">
        <v>2625</v>
      </c>
      <c r="D186" s="2281"/>
      <c r="E186" s="2281"/>
      <c r="F186" s="2281"/>
      <c r="G186" s="2281"/>
      <c r="H186" s="2281"/>
      <c r="I186" s="2281"/>
      <c r="J186" s="2281"/>
      <c r="K186" s="2281"/>
      <c r="L186" s="2281"/>
      <c r="M186" s="2281"/>
      <c r="N186" s="2282">
        <f>SUM('Sources and Uses Budget'!B85:B86)</f>
        <v>410859.99999999994</v>
      </c>
      <c r="O186" s="2282"/>
      <c r="P186" s="2282"/>
      <c r="Q186" s="2282"/>
      <c r="R186" s="2282"/>
      <c r="S186" s="2282"/>
      <c r="T186" s="2282"/>
      <c r="U186" s="2275"/>
      <c r="V186" s="2275"/>
      <c r="W186" s="2275"/>
      <c r="X186" s="2275"/>
      <c r="Y186" s="2275"/>
      <c r="Z186" s="2275"/>
      <c r="AA186" s="2275"/>
      <c r="AB186" s="2275"/>
      <c r="AC186" s="2275"/>
      <c r="AD186" s="2275"/>
      <c r="AE186" s="2276"/>
      <c r="AF186" s="1085"/>
      <c r="AG186" s="1085"/>
      <c r="AH186" s="1099"/>
      <c r="AI186" s="1085"/>
      <c r="AJ186" s="1085"/>
      <c r="AK186" s="1085"/>
      <c r="AL186" s="1085"/>
      <c r="AM186" s="1085"/>
      <c r="AN186" s="1085"/>
      <c r="AO186" s="1085"/>
      <c r="AP186" s="1085"/>
      <c r="AQ186" s="1085"/>
      <c r="AR186" s="1085"/>
      <c r="AS186" s="1085"/>
      <c r="AT186" s="1085"/>
      <c r="AU186" s="1085"/>
      <c r="AV186" s="1085"/>
      <c r="AW186" s="1085"/>
      <c r="AX186" s="1085"/>
      <c r="AY186" s="1085"/>
      <c r="AZ186" s="1085"/>
      <c r="BA186" s="1085"/>
      <c r="BB186" s="1085"/>
      <c r="BC186" s="1085"/>
      <c r="BD186" s="1085"/>
      <c r="BE186" s="1081"/>
    </row>
    <row r="187" spans="1:57" ht="15.75" customHeight="1" thickBot="1">
      <c r="A187" s="1085"/>
      <c r="B187" s="1085"/>
      <c r="C187" s="2280" t="s">
        <v>2626</v>
      </c>
      <c r="D187" s="2281"/>
      <c r="E187" s="2281"/>
      <c r="F187" s="2281"/>
      <c r="G187" s="2281"/>
      <c r="H187" s="2281"/>
      <c r="I187" s="2281"/>
      <c r="J187" s="2281"/>
      <c r="K187" s="2281"/>
      <c r="L187" s="2281"/>
      <c r="M187" s="2281"/>
      <c r="N187" s="2282">
        <f>'Sources and Uses Budget'!B8</f>
        <v>325001</v>
      </c>
      <c r="O187" s="2282"/>
      <c r="P187" s="2282"/>
      <c r="Q187" s="2282"/>
      <c r="R187" s="2282"/>
      <c r="S187" s="2282"/>
      <c r="T187" s="2282"/>
      <c r="U187" s="2275"/>
      <c r="V187" s="2275"/>
      <c r="W187" s="2275"/>
      <c r="X187" s="2275"/>
      <c r="Y187" s="2275"/>
      <c r="Z187" s="2275"/>
      <c r="AA187" s="2275"/>
      <c r="AB187" s="2275"/>
      <c r="AC187" s="2275"/>
      <c r="AD187" s="2275"/>
      <c r="AE187" s="2276"/>
      <c r="AF187" s="1085"/>
      <c r="AG187" s="1085"/>
      <c r="AH187" s="2283" t="s">
        <v>1467</v>
      </c>
      <c r="AI187" s="2284"/>
      <c r="AJ187" s="2284"/>
      <c r="AK187" s="2284"/>
      <c r="AL187" s="2284"/>
      <c r="AM187" s="2284"/>
      <c r="AN187" s="2284"/>
      <c r="AO187" s="2284"/>
      <c r="AP187" s="2284"/>
      <c r="AQ187" s="2284"/>
      <c r="AR187" s="2284"/>
      <c r="AS187" s="2284"/>
      <c r="AT187" s="2284"/>
      <c r="AU187" s="2284"/>
      <c r="AV187" s="2284"/>
      <c r="AW187" s="2284"/>
      <c r="AX187" s="2284"/>
      <c r="AY187" s="2284"/>
      <c r="AZ187" s="2284"/>
      <c r="BA187" s="2284"/>
      <c r="BB187" s="2284"/>
      <c r="BC187" s="2284"/>
      <c r="BD187" s="2284"/>
      <c r="BE187" s="2285"/>
    </row>
    <row r="188" spans="1:57" ht="15.75" customHeight="1">
      <c r="A188" s="1085"/>
      <c r="B188" s="1085"/>
      <c r="C188" s="2280" t="s">
        <v>2627</v>
      </c>
      <c r="D188" s="2281"/>
      <c r="E188" s="2281"/>
      <c r="F188" s="2281"/>
      <c r="G188" s="2281"/>
      <c r="H188" s="2281"/>
      <c r="I188" s="2281"/>
      <c r="J188" s="2281"/>
      <c r="K188" s="2281"/>
      <c r="L188" s="2281"/>
      <c r="M188" s="2281"/>
      <c r="N188" s="2274">
        <v>0</v>
      </c>
      <c r="O188" s="2274"/>
      <c r="P188" s="2274"/>
      <c r="Q188" s="2274"/>
      <c r="R188" s="2274"/>
      <c r="S188" s="2274"/>
      <c r="T188" s="2274"/>
      <c r="U188" s="2275"/>
      <c r="V188" s="2275"/>
      <c r="W188" s="2275"/>
      <c r="X188" s="2275"/>
      <c r="Y188" s="2275"/>
      <c r="Z188" s="2275"/>
      <c r="AA188" s="2275"/>
      <c r="AB188" s="2275"/>
      <c r="AC188" s="2275"/>
      <c r="AD188" s="2275"/>
      <c r="AE188" s="2276"/>
      <c r="AF188" s="1085"/>
      <c r="AG188" s="1085"/>
      <c r="AH188" s="2286" t="s">
        <v>1467</v>
      </c>
      <c r="AI188" s="2286"/>
      <c r="AJ188" s="2286"/>
      <c r="AK188" s="2286"/>
      <c r="AL188" s="2286"/>
      <c r="AM188" s="2286"/>
      <c r="AN188" s="2286"/>
      <c r="AO188" s="2286"/>
      <c r="AP188" s="2286"/>
      <c r="AQ188" s="2286"/>
      <c r="AR188" s="2286"/>
      <c r="AS188" s="2286"/>
      <c r="AT188" s="2286"/>
      <c r="AU188" s="2287">
        <v>0</v>
      </c>
      <c r="AV188" s="2287"/>
      <c r="AW188" s="2287"/>
      <c r="AX188" s="2287"/>
      <c r="AY188" s="2287"/>
      <c r="AZ188" s="2287"/>
      <c r="BA188" s="2287"/>
      <c r="BB188" s="2287"/>
      <c r="BC188" s="2288"/>
      <c r="BD188" s="2289"/>
      <c r="BE188" s="2290"/>
    </row>
    <row r="189" spans="1:57" ht="15.75" customHeight="1">
      <c r="A189" s="1085"/>
      <c r="B189" s="1085"/>
      <c r="C189" s="2280" t="s">
        <v>2628</v>
      </c>
      <c r="D189" s="2281"/>
      <c r="E189" s="2281"/>
      <c r="F189" s="2281"/>
      <c r="G189" s="2281"/>
      <c r="H189" s="2281"/>
      <c r="I189" s="2281"/>
      <c r="J189" s="2281"/>
      <c r="K189" s="2281"/>
      <c r="L189" s="2281"/>
      <c r="M189" s="2281"/>
      <c r="N189" s="2274">
        <v>0</v>
      </c>
      <c r="O189" s="2274"/>
      <c r="P189" s="2274"/>
      <c r="Q189" s="2274"/>
      <c r="R189" s="2274"/>
      <c r="S189" s="2274"/>
      <c r="T189" s="2274"/>
      <c r="U189" s="2275"/>
      <c r="V189" s="2275"/>
      <c r="W189" s="2275"/>
      <c r="X189" s="2275"/>
      <c r="Y189" s="2275"/>
      <c r="Z189" s="2275"/>
      <c r="AA189" s="2275"/>
      <c r="AB189" s="2275"/>
      <c r="AC189" s="2275"/>
      <c r="AD189" s="2275"/>
      <c r="AE189" s="2276"/>
      <c r="AF189" s="1085"/>
      <c r="AG189" s="1085"/>
      <c r="AH189" s="2291" t="s">
        <v>2629</v>
      </c>
      <c r="AI189" s="2291"/>
      <c r="AJ189" s="2291"/>
      <c r="AK189" s="2291"/>
      <c r="AL189" s="2291"/>
      <c r="AM189" s="2291"/>
      <c r="AN189" s="2291"/>
      <c r="AO189" s="2291"/>
      <c r="AP189" s="2291"/>
      <c r="AQ189" s="2291"/>
      <c r="AR189" s="2291"/>
      <c r="AS189" s="2291"/>
      <c r="AT189" s="2291"/>
      <c r="AU189" s="2279"/>
      <c r="AV189" s="2279"/>
      <c r="AW189" s="2279"/>
      <c r="AX189" s="2279"/>
      <c r="AY189" s="2279"/>
      <c r="AZ189" s="2279"/>
      <c r="BA189" s="2279"/>
      <c r="BB189" s="2279"/>
      <c r="BC189" s="2250"/>
      <c r="BD189" s="2251"/>
      <c r="BE189" s="2252"/>
    </row>
    <row r="190" spans="1:57" ht="15.75" customHeight="1">
      <c r="A190" s="1085"/>
      <c r="B190" s="1085"/>
      <c r="C190" s="2277" t="s">
        <v>1099</v>
      </c>
      <c r="D190" s="2278"/>
      <c r="E190" s="2273" t="s">
        <v>2609</v>
      </c>
      <c r="F190" s="2273"/>
      <c r="G190" s="2273"/>
      <c r="H190" s="2273"/>
      <c r="I190" s="2273"/>
      <c r="J190" s="2273"/>
      <c r="K190" s="2273"/>
      <c r="L190" s="2273"/>
      <c r="M190" s="2273"/>
      <c r="N190" s="2274">
        <v>0</v>
      </c>
      <c r="O190" s="2274"/>
      <c r="P190" s="2274"/>
      <c r="Q190" s="2274"/>
      <c r="R190" s="2274"/>
      <c r="S190" s="2274"/>
      <c r="T190" s="2274"/>
      <c r="U190" s="2275"/>
      <c r="V190" s="2275"/>
      <c r="W190" s="2275"/>
      <c r="X190" s="2275"/>
      <c r="Y190" s="2275"/>
      <c r="Z190" s="2275"/>
      <c r="AA190" s="2275"/>
      <c r="AB190" s="2275"/>
      <c r="AC190" s="2275"/>
      <c r="AD190" s="2275"/>
      <c r="AE190" s="2276"/>
      <c r="AF190" s="1085"/>
      <c r="AG190" s="1085"/>
      <c r="AH190" s="2509" t="s">
        <v>2615</v>
      </c>
      <c r="AI190" s="2509"/>
      <c r="AJ190" s="2509"/>
      <c r="AK190" s="2509"/>
      <c r="AL190" s="2509"/>
      <c r="AM190" s="2509"/>
      <c r="AN190" s="2509"/>
      <c r="AO190" s="2509"/>
      <c r="AP190" s="2509"/>
      <c r="AQ190" s="2509"/>
      <c r="AR190" s="2509"/>
      <c r="AS190" s="2509"/>
      <c r="AT190" s="2509"/>
      <c r="AU190" s="2249">
        <f>SUM(AU188:BB189)</f>
        <v>0</v>
      </c>
      <c r="AV190" s="2249"/>
      <c r="AW190" s="2249"/>
      <c r="AX190" s="2249"/>
      <c r="AY190" s="2249"/>
      <c r="AZ190" s="2249"/>
      <c r="BA190" s="2249"/>
      <c r="BB190" s="2249"/>
      <c r="BC190" s="2250"/>
      <c r="BD190" s="2251"/>
      <c r="BE190" s="2252"/>
    </row>
    <row r="191" spans="1:57" ht="15.75" customHeight="1" thickBot="1">
      <c r="A191" s="1085"/>
      <c r="B191" s="1085"/>
      <c r="C191" s="2271" t="s">
        <v>1099</v>
      </c>
      <c r="D191" s="2272"/>
      <c r="E191" s="2273" t="s">
        <v>2609</v>
      </c>
      <c r="F191" s="2273"/>
      <c r="G191" s="2273"/>
      <c r="H191" s="2273"/>
      <c r="I191" s="2273"/>
      <c r="J191" s="2273"/>
      <c r="K191" s="2273"/>
      <c r="L191" s="2273"/>
      <c r="M191" s="2273"/>
      <c r="N191" s="2274">
        <v>0</v>
      </c>
      <c r="O191" s="2274"/>
      <c r="P191" s="2274"/>
      <c r="Q191" s="2274"/>
      <c r="R191" s="2274"/>
      <c r="S191" s="2274"/>
      <c r="T191" s="2274"/>
      <c r="U191" s="2275"/>
      <c r="V191" s="2275"/>
      <c r="W191" s="2275"/>
      <c r="X191" s="2275"/>
      <c r="Y191" s="2275"/>
      <c r="Z191" s="2275"/>
      <c r="AA191" s="2275"/>
      <c r="AB191" s="2275"/>
      <c r="AC191" s="2275"/>
      <c r="AD191" s="2275"/>
      <c r="AE191" s="2276"/>
      <c r="AF191" s="1085"/>
      <c r="AG191" s="1085"/>
      <c r="AH191" s="1085"/>
      <c r="AI191" s="1085"/>
      <c r="AJ191" s="1085"/>
      <c r="AK191" s="1085"/>
      <c r="AL191" s="1085"/>
      <c r="AM191" s="1085"/>
      <c r="AN191" s="1085"/>
      <c r="AO191" s="1085"/>
      <c r="AP191" s="1085"/>
      <c r="AQ191" s="1085"/>
      <c r="AR191" s="1085"/>
      <c r="AS191" s="1085"/>
      <c r="AT191" s="1085"/>
      <c r="AU191" s="1085"/>
      <c r="AV191" s="1085"/>
      <c r="AW191" s="1085"/>
      <c r="AX191" s="1085"/>
      <c r="AY191" s="1085"/>
      <c r="AZ191" s="1085"/>
      <c r="BA191" s="1085"/>
      <c r="BB191" s="1085"/>
      <c r="BC191" s="2253"/>
      <c r="BD191" s="2254"/>
      <c r="BE191" s="2255"/>
    </row>
    <row r="192" spans="1:57" ht="15.75" customHeight="1" thickBot="1">
      <c r="A192" s="1085"/>
      <c r="B192" s="1085"/>
      <c r="C192" s="2260" t="s">
        <v>1099</v>
      </c>
      <c r="D192" s="2261"/>
      <c r="E192" s="2262" t="s">
        <v>2609</v>
      </c>
      <c r="F192" s="2262"/>
      <c r="G192" s="2262"/>
      <c r="H192" s="2262"/>
      <c r="I192" s="2262"/>
      <c r="J192" s="2262"/>
      <c r="K192" s="2262"/>
      <c r="L192" s="2262"/>
      <c r="M192" s="2263"/>
      <c r="N192" s="2264">
        <v>0</v>
      </c>
      <c r="O192" s="2264"/>
      <c r="P192" s="2264"/>
      <c r="Q192" s="2264"/>
      <c r="R192" s="2264"/>
      <c r="S192" s="2264"/>
      <c r="T192" s="2265"/>
      <c r="U192" s="2266"/>
      <c r="V192" s="2267"/>
      <c r="W192" s="2267"/>
      <c r="X192" s="2267"/>
      <c r="Y192" s="2267"/>
      <c r="Z192" s="2267"/>
      <c r="AA192" s="2267"/>
      <c r="AB192" s="2267"/>
      <c r="AC192" s="2267"/>
      <c r="AD192" s="2267"/>
      <c r="AE192" s="2268"/>
      <c r="AF192" s="1085"/>
      <c r="AG192" s="1085"/>
      <c r="AH192" s="2234" t="s">
        <v>2630</v>
      </c>
      <c r="AI192" s="2235"/>
      <c r="AJ192" s="2235"/>
      <c r="AK192" s="2235"/>
      <c r="AL192" s="2235"/>
      <c r="AM192" s="2235"/>
      <c r="AN192" s="2235"/>
      <c r="AO192" s="2235"/>
      <c r="AP192" s="2235"/>
      <c r="AQ192" s="2235"/>
      <c r="AR192" s="2235"/>
      <c r="AS192" s="2235"/>
      <c r="AT192" s="2235"/>
      <c r="AU192" s="2244"/>
      <c r="AV192" s="2244"/>
      <c r="AW192" s="2244"/>
      <c r="AX192" s="2244"/>
      <c r="AY192" s="2244"/>
      <c r="AZ192" s="2244"/>
      <c r="BA192" s="2244"/>
      <c r="BB192" s="2244"/>
      <c r="BC192" s="1098"/>
      <c r="BD192" s="1098"/>
      <c r="BE192" s="1097"/>
    </row>
    <row r="193" spans="1:57" ht="15.75" customHeight="1">
      <c r="A193" s="1085"/>
      <c r="B193" s="1085"/>
      <c r="C193" s="2256" t="s">
        <v>2631</v>
      </c>
      <c r="D193" s="2257"/>
      <c r="E193" s="2257"/>
      <c r="F193" s="2257"/>
      <c r="G193" s="2257"/>
      <c r="H193" s="2257"/>
      <c r="I193" s="2257"/>
      <c r="J193" s="2257"/>
      <c r="K193" s="2257"/>
      <c r="L193" s="2257"/>
      <c r="M193" s="2257"/>
      <c r="N193" s="2258">
        <f>SUM(N185:T192)</f>
        <v>735861</v>
      </c>
      <c r="O193" s="2258"/>
      <c r="P193" s="2258"/>
      <c r="Q193" s="2258"/>
      <c r="R193" s="2258"/>
      <c r="S193" s="2258"/>
      <c r="T193" s="2259"/>
      <c r="U193" s="1085"/>
      <c r="V193" s="1085"/>
      <c r="W193" s="1085"/>
      <c r="X193" s="1085"/>
      <c r="Y193" s="1085"/>
      <c r="Z193" s="1085"/>
      <c r="AA193" s="1085"/>
      <c r="AB193" s="1085"/>
      <c r="AC193" s="1085"/>
      <c r="AD193" s="1085"/>
      <c r="AE193" s="1085"/>
      <c r="AF193" s="1085"/>
      <c r="AG193" s="1085"/>
      <c r="AH193" s="2269" t="s">
        <v>2632</v>
      </c>
      <c r="AI193" s="2269"/>
      <c r="AJ193" s="2269"/>
      <c r="AK193" s="2269"/>
      <c r="AL193" s="2269"/>
      <c r="AM193" s="2269"/>
      <c r="AN193" s="2269"/>
      <c r="AO193" s="2269"/>
      <c r="AP193" s="2269"/>
      <c r="AQ193" s="2269"/>
      <c r="AR193" s="2269"/>
      <c r="AS193" s="2269"/>
      <c r="AT193" s="2269"/>
      <c r="AU193" s="2269"/>
      <c r="AV193" s="2269"/>
      <c r="AW193" s="2269"/>
      <c r="AX193" s="2269"/>
      <c r="AY193" s="2269"/>
      <c r="AZ193" s="2269"/>
      <c r="BA193" s="2269"/>
      <c r="BB193" s="2269"/>
      <c r="BC193" s="2269"/>
      <c r="BD193" s="2269"/>
      <c r="BE193" s="2270"/>
    </row>
    <row r="194" spans="1:57" ht="15.75" customHeight="1" thickBot="1">
      <c r="A194" s="1085"/>
      <c r="B194" s="1085"/>
      <c r="C194" s="2236" t="s">
        <v>2633</v>
      </c>
      <c r="D194" s="2237"/>
      <c r="E194" s="2237"/>
      <c r="F194" s="2237"/>
      <c r="G194" s="2237"/>
      <c r="H194" s="2237"/>
      <c r="I194" s="2237"/>
      <c r="J194" s="2237"/>
      <c r="K194" s="2237"/>
      <c r="L194" s="2237"/>
      <c r="M194" s="2237"/>
      <c r="N194" s="2238">
        <f>(N183-N193)/J29</f>
        <v>725502.73</v>
      </c>
      <c r="O194" s="2239"/>
      <c r="P194" s="2239"/>
      <c r="Q194" s="2239"/>
      <c r="R194" s="2239"/>
      <c r="S194" s="2239"/>
      <c r="T194" s="2240"/>
      <c r="U194" s="1096"/>
      <c r="V194" s="1085"/>
      <c r="W194" s="1085"/>
      <c r="X194" s="1085"/>
      <c r="Y194" s="1085"/>
      <c r="Z194" s="1085"/>
      <c r="AA194" s="1085"/>
      <c r="AB194" s="1085"/>
      <c r="AC194" s="1085"/>
      <c r="AD194" s="1085"/>
      <c r="AE194" s="1085"/>
      <c r="AF194" s="1085"/>
      <c r="AG194" s="1085"/>
      <c r="AH194" s="2269"/>
      <c r="AI194" s="2269"/>
      <c r="AJ194" s="2269"/>
      <c r="AK194" s="2269"/>
      <c r="AL194" s="2269"/>
      <c r="AM194" s="2269"/>
      <c r="AN194" s="2269"/>
      <c r="AO194" s="2269"/>
      <c r="AP194" s="2269"/>
      <c r="AQ194" s="2269"/>
      <c r="AR194" s="2269"/>
      <c r="AS194" s="2269"/>
      <c r="AT194" s="2269"/>
      <c r="AU194" s="2269"/>
      <c r="AV194" s="2269"/>
      <c r="AW194" s="2269"/>
      <c r="AX194" s="2269"/>
      <c r="AY194" s="2269"/>
      <c r="AZ194" s="2269"/>
      <c r="BA194" s="2269"/>
      <c r="BB194" s="2269"/>
      <c r="BC194" s="2269"/>
      <c r="BD194" s="2269"/>
      <c r="BE194" s="2270"/>
    </row>
    <row r="195" spans="1:57" ht="15.75" customHeight="1">
      <c r="A195" s="1085"/>
      <c r="B195" s="1085"/>
      <c r="C195" s="1085"/>
      <c r="D195" s="1085"/>
      <c r="E195" s="1085"/>
      <c r="F195" s="1085"/>
      <c r="G195" s="1085"/>
      <c r="H195" s="1085"/>
      <c r="I195" s="1085"/>
      <c r="J195" s="1085"/>
      <c r="K195" s="1085"/>
      <c r="L195" s="1085"/>
      <c r="M195" s="1085"/>
      <c r="N195" s="1085"/>
      <c r="O195" s="1085"/>
      <c r="P195" s="1085"/>
      <c r="Q195" s="1085"/>
      <c r="R195" s="1085"/>
      <c r="S195" s="1085"/>
      <c r="T195" s="1085"/>
      <c r="U195" s="1085"/>
      <c r="V195" s="1085"/>
      <c r="W195" s="1085"/>
      <c r="X195" s="1085"/>
      <c r="Y195" s="1085"/>
      <c r="Z195" s="1085"/>
      <c r="AA195" s="1085"/>
      <c r="AB195" s="1085"/>
      <c r="AC195" s="1085"/>
      <c r="AD195" s="1085"/>
      <c r="AE195" s="1085"/>
      <c r="AF195" s="1085"/>
      <c r="AG195" s="1085"/>
      <c r="AH195" s="2241"/>
      <c r="AI195" s="2241"/>
      <c r="AJ195" s="2241"/>
      <c r="AK195" s="2241"/>
      <c r="AL195" s="2241"/>
      <c r="AM195" s="2241"/>
      <c r="AN195" s="2241"/>
      <c r="AO195" s="2241"/>
      <c r="AP195" s="2241"/>
      <c r="AQ195" s="2241"/>
      <c r="AR195" s="2241"/>
      <c r="AS195" s="2245"/>
      <c r="AT195" s="2245"/>
      <c r="AU195" s="2245"/>
      <c r="AV195" s="2245"/>
      <c r="AW195" s="2245"/>
      <c r="AX195" s="2245"/>
      <c r="AY195" s="2245"/>
      <c r="AZ195" s="2245"/>
      <c r="BA195" s="2245"/>
      <c r="BB195" s="2245"/>
      <c r="BC195" s="2245"/>
      <c r="BD195" s="2245"/>
      <c r="BE195" s="1081"/>
    </row>
    <row r="196" spans="1:57" ht="15.75" customHeight="1" thickBot="1">
      <c r="A196" s="1085"/>
      <c r="B196" s="1085"/>
      <c r="C196" s="1085"/>
      <c r="D196" s="1085"/>
      <c r="E196" s="1085"/>
      <c r="F196" s="1085"/>
      <c r="G196" s="1085"/>
      <c r="H196" s="1085"/>
      <c r="I196" s="1085"/>
      <c r="J196" s="1085"/>
      <c r="K196" s="1085"/>
      <c r="L196" s="1085"/>
      <c r="M196" s="1085"/>
      <c r="N196" s="1085"/>
      <c r="O196" s="1085"/>
      <c r="P196" s="1085"/>
      <c r="Q196" s="1085"/>
      <c r="R196" s="1085"/>
      <c r="S196" s="1085"/>
      <c r="T196" s="1085"/>
      <c r="U196" s="1085"/>
      <c r="V196" s="1085"/>
      <c r="W196" s="1085"/>
      <c r="X196" s="1085"/>
      <c r="Y196" s="1085"/>
      <c r="Z196" s="1085"/>
      <c r="AA196" s="1085"/>
      <c r="AB196" s="1085"/>
      <c r="AC196" s="1085"/>
      <c r="AD196" s="1085"/>
      <c r="AE196" s="1085"/>
      <c r="AF196" s="1085"/>
      <c r="AG196" s="1085"/>
      <c r="AH196" s="1085"/>
      <c r="AI196" s="1085"/>
      <c r="AJ196" s="1085"/>
      <c r="AK196" s="1085"/>
      <c r="AL196" s="1085"/>
      <c r="AM196" s="1085"/>
      <c r="AN196" s="1085"/>
      <c r="AO196" s="1085"/>
      <c r="AP196" s="1085"/>
      <c r="AQ196" s="1085"/>
      <c r="AR196" s="1085"/>
      <c r="AS196" s="1085"/>
      <c r="AT196" s="1085"/>
      <c r="AU196" s="1085"/>
      <c r="AV196" s="1085"/>
      <c r="AW196" s="1085"/>
      <c r="AX196" s="1085"/>
      <c r="AY196" s="1085"/>
      <c r="AZ196" s="1085"/>
      <c r="BA196" s="1085"/>
      <c r="BB196" s="1085"/>
      <c r="BC196" s="1085"/>
      <c r="BD196" s="1085"/>
      <c r="BE196" s="1081"/>
    </row>
    <row r="197" spans="1:57" ht="15.75" customHeight="1" thickBot="1">
      <c r="A197" s="1085"/>
      <c r="B197" s="1085"/>
      <c r="C197" s="2246" t="s">
        <v>2634</v>
      </c>
      <c r="D197" s="2247"/>
      <c r="E197" s="2247"/>
      <c r="F197" s="2247"/>
      <c r="G197" s="2247"/>
      <c r="H197" s="2247"/>
      <c r="I197" s="2247"/>
      <c r="J197" s="2247"/>
      <c r="K197" s="2247"/>
      <c r="L197" s="2247"/>
      <c r="M197" s="2247"/>
      <c r="N197" s="2247"/>
      <c r="O197" s="2247"/>
      <c r="P197" s="2247"/>
      <c r="Q197" s="2247"/>
      <c r="R197" s="2247"/>
      <c r="S197" s="2247"/>
      <c r="T197" s="2247"/>
      <c r="U197" s="2247"/>
      <c r="V197" s="2247"/>
      <c r="W197" s="2247"/>
      <c r="X197" s="2247"/>
      <c r="Y197" s="2247"/>
      <c r="Z197" s="2247"/>
      <c r="AA197" s="2247"/>
      <c r="AB197" s="2247"/>
      <c r="AC197" s="2247"/>
      <c r="AD197" s="2247"/>
      <c r="AE197" s="2248"/>
      <c r="AF197" s="1085"/>
      <c r="AG197" s="1085"/>
      <c r="AH197" s="1085"/>
      <c r="AI197" s="1085"/>
      <c r="AJ197" s="1085"/>
      <c r="AK197" s="1085"/>
      <c r="AL197" s="1085"/>
      <c r="AM197" s="1085"/>
      <c r="AN197" s="1085"/>
      <c r="AO197" s="1085"/>
      <c r="AP197" s="1085"/>
      <c r="AQ197" s="1085"/>
      <c r="AR197" s="1085"/>
      <c r="AS197" s="1085"/>
      <c r="AT197" s="1085"/>
      <c r="AU197" s="1085"/>
      <c r="AV197" s="1085"/>
      <c r="AW197" s="1085"/>
      <c r="AX197" s="1085"/>
      <c r="AY197" s="1085"/>
      <c r="AZ197" s="1085"/>
      <c r="BA197" s="1085"/>
      <c r="BB197" s="1085"/>
      <c r="BC197" s="1085"/>
      <c r="BD197" s="1085"/>
      <c r="BE197" s="1081"/>
    </row>
    <row r="198" spans="1:57" ht="15.75" customHeight="1">
      <c r="A198" s="1085"/>
      <c r="B198" s="1085"/>
      <c r="C198" s="2512" t="s">
        <v>2635</v>
      </c>
      <c r="D198" s="2512"/>
      <c r="E198" s="2512"/>
      <c r="F198" s="2512"/>
      <c r="G198" s="2512"/>
      <c r="H198" s="2512"/>
      <c r="I198" s="2512"/>
      <c r="J198" s="2512"/>
      <c r="K198" s="2512"/>
      <c r="L198" s="2512"/>
      <c r="M198" s="2512"/>
      <c r="N198" s="2512"/>
      <c r="O198" s="2513" t="s">
        <v>2636</v>
      </c>
      <c r="P198" s="2513"/>
      <c r="Q198" s="2513"/>
      <c r="R198" s="2513"/>
      <c r="S198" s="2513"/>
      <c r="T198" s="2513"/>
      <c r="U198" s="2513"/>
      <c r="V198" s="2513"/>
      <c r="W198" s="2513"/>
      <c r="X198" s="2513" t="s">
        <v>2637</v>
      </c>
      <c r="Y198" s="2513"/>
      <c r="Z198" s="2513"/>
      <c r="AA198" s="2513"/>
      <c r="AB198" s="2513"/>
      <c r="AC198" s="2513"/>
      <c r="AD198" s="2513"/>
      <c r="AE198" s="2513"/>
      <c r="AF198" s="1085"/>
      <c r="AG198" s="1085"/>
      <c r="AH198" s="1085"/>
      <c r="AI198" s="1085"/>
      <c r="AJ198" s="1085"/>
      <c r="AK198" s="1085"/>
      <c r="AL198" s="1085"/>
      <c r="AM198" s="1085"/>
      <c r="AN198" s="1085"/>
      <c r="AO198" s="1085"/>
      <c r="AP198" s="1085"/>
      <c r="AQ198" s="1085"/>
      <c r="AR198" s="1085"/>
      <c r="AS198" s="1085"/>
      <c r="AT198" s="1085"/>
      <c r="AU198" s="1085"/>
      <c r="AV198" s="1085"/>
      <c r="AW198" s="1085"/>
      <c r="AX198" s="1085"/>
      <c r="AY198" s="1085"/>
      <c r="AZ198" s="1085"/>
      <c r="BA198" s="1085"/>
      <c r="BB198" s="1085"/>
      <c r="BC198" s="1085"/>
      <c r="BD198" s="1085"/>
      <c r="BE198" s="1081"/>
    </row>
    <row r="199" spans="1:57" ht="15.75" customHeight="1">
      <c r="A199" s="1085"/>
      <c r="B199" s="1085"/>
      <c r="C199" s="2510" t="s">
        <v>2638</v>
      </c>
      <c r="D199" s="2510"/>
      <c r="E199" s="2510"/>
      <c r="F199" s="2510"/>
      <c r="G199" s="2510"/>
      <c r="H199" s="2510"/>
      <c r="I199" s="2510"/>
      <c r="J199" s="2510"/>
      <c r="K199" s="2510"/>
      <c r="L199" s="2510"/>
      <c r="M199" s="2510"/>
      <c r="N199" s="2510"/>
      <c r="O199" s="2242" t="s">
        <v>2639</v>
      </c>
      <c r="P199" s="2242"/>
      <c r="Q199" s="2242"/>
      <c r="R199" s="2242"/>
      <c r="S199" s="2242"/>
      <c r="T199" s="2242"/>
      <c r="U199" s="2242"/>
      <c r="V199" s="2242"/>
      <c r="W199" s="2242"/>
      <c r="X199" s="2243">
        <v>0.03</v>
      </c>
      <c r="Y199" s="2243"/>
      <c r="Z199" s="2243"/>
      <c r="AA199" s="2243"/>
      <c r="AB199" s="2243"/>
      <c r="AC199" s="2243"/>
      <c r="AD199" s="2243"/>
      <c r="AE199" s="2243"/>
      <c r="AF199" s="1085"/>
      <c r="AG199" s="1085"/>
      <c r="AH199" s="1085"/>
      <c r="AI199" s="1085"/>
      <c r="AJ199" s="1085"/>
      <c r="AK199" s="1085"/>
      <c r="AL199" s="1085"/>
      <c r="AM199" s="1085"/>
      <c r="AN199" s="1085"/>
      <c r="AO199" s="1085"/>
      <c r="AP199" s="1085"/>
      <c r="AQ199" s="1085"/>
      <c r="AR199" s="1085"/>
      <c r="AS199" s="1085"/>
      <c r="AT199" s="1085"/>
      <c r="AU199" s="1085"/>
      <c r="AV199" s="1085"/>
      <c r="AW199" s="1085"/>
      <c r="AX199" s="1085"/>
      <c r="AY199" s="1085"/>
      <c r="AZ199" s="1085"/>
      <c r="BA199" s="1085"/>
      <c r="BB199" s="1085"/>
      <c r="BC199" s="1085"/>
      <c r="BD199" s="1085"/>
      <c r="BE199" s="1081"/>
    </row>
    <row r="200" spans="1:57" ht="15.75" customHeight="1">
      <c r="A200" s="1085"/>
      <c r="B200" s="1085"/>
      <c r="C200" s="2510" t="s">
        <v>2640</v>
      </c>
      <c r="D200" s="2510"/>
      <c r="E200" s="2510"/>
      <c r="F200" s="2510"/>
      <c r="G200" s="2510"/>
      <c r="H200" s="2510"/>
      <c r="I200" s="2510"/>
      <c r="J200" s="2510"/>
      <c r="K200" s="2510"/>
      <c r="L200" s="2510"/>
      <c r="M200" s="2510"/>
      <c r="N200" s="2510"/>
      <c r="O200" s="2242" t="s">
        <v>2639</v>
      </c>
      <c r="P200" s="2242"/>
      <c r="Q200" s="2242"/>
      <c r="R200" s="2242"/>
      <c r="S200" s="2242"/>
      <c r="T200" s="2242"/>
      <c r="U200" s="2242"/>
      <c r="V200" s="2242"/>
      <c r="W200" s="2242"/>
      <c r="X200" s="2243">
        <v>0.03</v>
      </c>
      <c r="Y200" s="2243"/>
      <c r="Z200" s="2243"/>
      <c r="AA200" s="2243"/>
      <c r="AB200" s="2243"/>
      <c r="AC200" s="2243"/>
      <c r="AD200" s="2243"/>
      <c r="AE200" s="2243"/>
      <c r="AF200" s="1085"/>
      <c r="AG200" s="1085"/>
      <c r="AH200" s="1085"/>
      <c r="AI200" s="1085"/>
      <c r="AJ200" s="1085"/>
      <c r="AK200" s="1085"/>
      <c r="AL200" s="1085"/>
      <c r="AM200" s="1085"/>
      <c r="AN200" s="1085"/>
      <c r="AO200" s="1085"/>
      <c r="AP200" s="1085"/>
      <c r="AQ200" s="1085"/>
      <c r="AR200" s="1085"/>
      <c r="AS200" s="1085"/>
      <c r="AT200" s="1085"/>
      <c r="AU200" s="1085"/>
      <c r="AV200" s="1085"/>
      <c r="AW200" s="1085"/>
      <c r="AX200" s="1085"/>
      <c r="AY200" s="1085"/>
      <c r="AZ200" s="1085"/>
      <c r="BA200" s="1085"/>
      <c r="BB200" s="1085"/>
      <c r="BC200" s="1085"/>
      <c r="BD200" s="1085"/>
      <c r="BE200" s="1081"/>
    </row>
    <row r="201" spans="1:57" ht="15.75" customHeight="1">
      <c r="A201" s="1085"/>
      <c r="B201" s="1085"/>
      <c r="C201" s="2510" t="s">
        <v>2641</v>
      </c>
      <c r="D201" s="2510"/>
      <c r="E201" s="2510"/>
      <c r="F201" s="2510"/>
      <c r="G201" s="2510"/>
      <c r="H201" s="2510"/>
      <c r="I201" s="2510"/>
      <c r="J201" s="2510"/>
      <c r="K201" s="2510"/>
      <c r="L201" s="2510"/>
      <c r="M201" s="2510"/>
      <c r="N201" s="2510"/>
      <c r="O201" s="2514">
        <f>SUM(O199:W200)</f>
        <v>0</v>
      </c>
      <c r="P201" s="2515"/>
      <c r="Q201" s="2515"/>
      <c r="R201" s="2515"/>
      <c r="S201" s="2515"/>
      <c r="T201" s="2515"/>
      <c r="U201" s="2515"/>
      <c r="V201" s="2515"/>
      <c r="W201" s="2515"/>
      <c r="X201" s="2515" t="s">
        <v>2642</v>
      </c>
      <c r="Y201" s="2515"/>
      <c r="Z201" s="2515"/>
      <c r="AA201" s="2515"/>
      <c r="AB201" s="2515"/>
      <c r="AC201" s="2515"/>
      <c r="AD201" s="2515"/>
      <c r="AE201" s="2515"/>
      <c r="AF201" s="1085"/>
      <c r="AG201" s="1085"/>
      <c r="AH201" s="1085"/>
      <c r="AI201" s="1085"/>
      <c r="AJ201" s="1085"/>
      <c r="AK201" s="1085"/>
      <c r="AL201" s="1085"/>
      <c r="AM201" s="1085"/>
      <c r="AN201" s="1085"/>
      <c r="AO201" s="1085"/>
      <c r="AP201" s="1085"/>
      <c r="AQ201" s="1085"/>
      <c r="AR201" s="1085"/>
      <c r="AS201" s="1085"/>
      <c r="AT201" s="1085"/>
      <c r="AU201" s="1085"/>
      <c r="AV201" s="1085"/>
      <c r="AW201" s="1085"/>
      <c r="AX201" s="1085"/>
      <c r="AY201" s="1085"/>
      <c r="AZ201" s="1085"/>
      <c r="BA201" s="1085"/>
      <c r="BB201" s="1085"/>
      <c r="BC201" s="1085"/>
      <c r="BD201" s="1085"/>
      <c r="BE201" s="1081"/>
    </row>
    <row r="202" spans="1:57" ht="15.75" customHeight="1">
      <c r="A202" s="1085"/>
      <c r="B202" s="1085"/>
      <c r="C202" s="2511" t="s">
        <v>2643</v>
      </c>
      <c r="D202" s="2511"/>
      <c r="E202" s="2511"/>
      <c r="F202" s="2511"/>
      <c r="G202" s="2511"/>
      <c r="H202" s="2511"/>
      <c r="I202" s="2511"/>
      <c r="J202" s="2511"/>
      <c r="K202" s="2511"/>
      <c r="L202" s="2511"/>
      <c r="M202" s="2511"/>
      <c r="N202" s="2511"/>
      <c r="O202" s="2511"/>
      <c r="P202" s="2511"/>
      <c r="Q202" s="2511"/>
      <c r="R202" s="2511"/>
      <c r="S202" s="2511"/>
      <c r="T202" s="2511"/>
      <c r="U202" s="2511"/>
      <c r="V202" s="2511"/>
      <c r="W202" s="2511"/>
      <c r="X202" s="2511"/>
      <c r="Y202" s="2511"/>
      <c r="Z202" s="2511"/>
      <c r="AA202" s="2511"/>
      <c r="AB202" s="2511"/>
      <c r="AC202" s="2511"/>
      <c r="AD202" s="2511"/>
      <c r="AE202" s="2511"/>
      <c r="AF202" s="1085"/>
      <c r="AG202" s="1085"/>
      <c r="AH202" s="1085"/>
      <c r="AI202" s="1085"/>
      <c r="AJ202" s="1085"/>
      <c r="AK202" s="1085"/>
      <c r="AL202" s="1085"/>
      <c r="AM202" s="1085"/>
      <c r="AN202" s="1085"/>
      <c r="AO202" s="1085"/>
      <c r="AP202" s="1085"/>
      <c r="AQ202" s="1085"/>
      <c r="AR202" s="1085"/>
      <c r="AS202" s="1085"/>
      <c r="AT202" s="1085"/>
      <c r="AU202" s="1085"/>
      <c r="AV202" s="1085"/>
      <c r="AW202" s="1085"/>
      <c r="AX202" s="1085"/>
      <c r="AY202" s="1085"/>
      <c r="AZ202" s="1085"/>
      <c r="BA202" s="1085"/>
      <c r="BB202" s="1085"/>
      <c r="BC202" s="1085"/>
      <c r="BD202" s="1085"/>
      <c r="BE202" s="1081"/>
    </row>
    <row r="203" spans="1:57" ht="15.75" customHeight="1" thickBot="1">
      <c r="A203" s="1085"/>
      <c r="B203" s="1085"/>
      <c r="C203" s="1085"/>
      <c r="D203" s="1085"/>
      <c r="E203" s="1085"/>
      <c r="F203" s="1085"/>
      <c r="G203" s="1085"/>
      <c r="H203" s="1085"/>
      <c r="I203" s="1085"/>
      <c r="J203" s="1085"/>
      <c r="K203" s="1085"/>
      <c r="L203" s="1085"/>
      <c r="M203" s="1085"/>
      <c r="N203" s="1085"/>
      <c r="O203" s="1085"/>
      <c r="P203" s="1085"/>
      <c r="Q203" s="1085"/>
      <c r="R203" s="1085"/>
      <c r="S203" s="1085"/>
      <c r="T203" s="1085"/>
      <c r="U203" s="1085"/>
      <c r="V203" s="1085"/>
      <c r="W203" s="1085"/>
      <c r="X203" s="1085"/>
      <c r="Y203" s="1085"/>
      <c r="Z203" s="1085"/>
      <c r="AA203" s="1085"/>
      <c r="AB203" s="1085"/>
      <c r="AC203" s="1085"/>
      <c r="AD203" s="1085"/>
      <c r="AE203" s="1085"/>
      <c r="AF203" s="1085"/>
      <c r="AG203" s="1085"/>
      <c r="AH203" s="1085"/>
      <c r="AI203" s="1085"/>
      <c r="AJ203" s="1085"/>
      <c r="AK203" s="1085"/>
      <c r="AL203" s="1085"/>
      <c r="AM203" s="1085"/>
      <c r="AN203" s="1085"/>
      <c r="AO203" s="1085"/>
      <c r="AP203" s="1085"/>
      <c r="AQ203" s="1085"/>
      <c r="AR203" s="1085"/>
      <c r="AS203" s="1085"/>
      <c r="AT203" s="1085"/>
      <c r="AU203" s="1085"/>
      <c r="AV203" s="1085"/>
      <c r="AW203" s="1085"/>
      <c r="AX203" s="1085"/>
      <c r="AY203" s="1085"/>
      <c r="AZ203" s="1085"/>
      <c r="BA203" s="1085"/>
      <c r="BB203" s="1085"/>
      <c r="BC203" s="1085"/>
      <c r="BD203" s="1085"/>
      <c r="BE203" s="1081"/>
    </row>
    <row r="204" spans="1:57" ht="15.75" customHeight="1" thickBot="1">
      <c r="A204" s="1085"/>
      <c r="B204" s="1085"/>
      <c r="C204" s="2221" t="s">
        <v>2644</v>
      </c>
      <c r="D204" s="2222"/>
      <c r="E204" s="2222"/>
      <c r="F204" s="2222"/>
      <c r="G204" s="2222"/>
      <c r="H204" s="2222"/>
      <c r="I204" s="2222"/>
      <c r="J204" s="2222"/>
      <c r="K204" s="2222"/>
      <c r="L204" s="2222"/>
      <c r="M204" s="2222"/>
      <c r="N204" s="2222"/>
      <c r="O204" s="2222"/>
      <c r="P204" s="2222"/>
      <c r="Q204" s="2222"/>
      <c r="R204" s="2222"/>
      <c r="S204" s="2222"/>
      <c r="T204" s="2222"/>
      <c r="U204" s="2222"/>
      <c r="V204" s="2222"/>
      <c r="W204" s="2222"/>
      <c r="X204" s="2222"/>
      <c r="Y204" s="2222"/>
      <c r="Z204" s="2222"/>
      <c r="AA204" s="2222"/>
      <c r="AB204" s="2222"/>
      <c r="AC204" s="2222"/>
      <c r="AD204" s="2222"/>
      <c r="AE204" s="2222"/>
      <c r="AF204" s="2222"/>
      <c r="AG204" s="2222"/>
      <c r="AH204" s="2222"/>
      <c r="AI204" s="2222"/>
      <c r="AJ204" s="2222"/>
      <c r="AK204" s="2223"/>
      <c r="AL204" s="1085"/>
      <c r="AM204" s="1085"/>
      <c r="AN204" s="1085"/>
      <c r="AO204" s="1085"/>
      <c r="AP204" s="1085"/>
      <c r="AQ204" s="1085"/>
      <c r="AR204" s="1085"/>
      <c r="AS204" s="1085"/>
      <c r="AT204" s="1085"/>
      <c r="AU204" s="1085"/>
      <c r="AV204" s="1085"/>
      <c r="AW204" s="1085"/>
      <c r="AX204" s="1085"/>
      <c r="AY204" s="1085"/>
      <c r="AZ204" s="1085"/>
      <c r="BA204" s="1085"/>
      <c r="BB204" s="1085"/>
      <c r="BC204" s="1085"/>
      <c r="BD204" s="1085"/>
      <c r="BE204" s="1081"/>
    </row>
    <row r="205" spans="1:57" ht="15.75" customHeight="1">
      <c r="A205" s="1085"/>
      <c r="B205" s="1085"/>
      <c r="C205" s="2224" t="s">
        <v>2645</v>
      </c>
      <c r="D205" s="2182"/>
      <c r="E205" s="2182"/>
      <c r="F205" s="2225"/>
      <c r="G205" s="2181" t="s">
        <v>2646</v>
      </c>
      <c r="H205" s="2182"/>
      <c r="I205" s="2182"/>
      <c r="J205" s="2182"/>
      <c r="K205" s="2182"/>
      <c r="L205" s="2182"/>
      <c r="M205" s="2182"/>
      <c r="N205" s="2182"/>
      <c r="O205" s="2225"/>
      <c r="P205" s="2228" t="s">
        <v>2647</v>
      </c>
      <c r="Q205" s="2229"/>
      <c r="R205" s="2229"/>
      <c r="S205" s="2229"/>
      <c r="T205" s="2230"/>
      <c r="U205" s="2175" t="s">
        <v>2648</v>
      </c>
      <c r="V205" s="2176"/>
      <c r="W205" s="2176"/>
      <c r="X205" s="2177"/>
      <c r="Y205" s="2175" t="s">
        <v>2649</v>
      </c>
      <c r="Z205" s="2176"/>
      <c r="AA205" s="2176"/>
      <c r="AB205" s="2177"/>
      <c r="AC205" s="2175" t="s">
        <v>2650</v>
      </c>
      <c r="AD205" s="2176"/>
      <c r="AE205" s="2176"/>
      <c r="AF205" s="2177"/>
      <c r="AG205" s="2181" t="s">
        <v>2651</v>
      </c>
      <c r="AH205" s="2182"/>
      <c r="AI205" s="2182"/>
      <c r="AJ205" s="2182"/>
      <c r="AK205" s="2183"/>
      <c r="AL205" s="1085"/>
      <c r="AM205" s="1085"/>
      <c r="AN205" s="1085"/>
      <c r="AO205" s="1085"/>
      <c r="AP205" s="1085"/>
      <c r="AQ205" s="1085"/>
      <c r="AR205" s="1085"/>
      <c r="AS205" s="1085"/>
      <c r="AT205" s="1085"/>
      <c r="AU205" s="1085"/>
      <c r="AV205" s="1085"/>
      <c r="AW205" s="1085"/>
      <c r="AX205" s="1085"/>
      <c r="AY205" s="1085"/>
      <c r="AZ205" s="1085"/>
      <c r="BA205" s="1085"/>
      <c r="BB205" s="1085"/>
      <c r="BC205" s="1085"/>
      <c r="BD205" s="1085"/>
      <c r="BE205" s="1081"/>
    </row>
    <row r="206" spans="1:57" ht="15.75" customHeight="1">
      <c r="A206" s="1085"/>
      <c r="B206" s="1085"/>
      <c r="C206" s="2226"/>
      <c r="D206" s="2185"/>
      <c r="E206" s="2185"/>
      <c r="F206" s="2227"/>
      <c r="G206" s="2184"/>
      <c r="H206" s="2185"/>
      <c r="I206" s="2185"/>
      <c r="J206" s="2185"/>
      <c r="K206" s="2185"/>
      <c r="L206" s="2185"/>
      <c r="M206" s="2185"/>
      <c r="N206" s="2185"/>
      <c r="O206" s="2227"/>
      <c r="P206" s="2231"/>
      <c r="Q206" s="2232"/>
      <c r="R206" s="2232"/>
      <c r="S206" s="2232"/>
      <c r="T206" s="2233"/>
      <c r="U206" s="2178"/>
      <c r="V206" s="2179"/>
      <c r="W206" s="2179"/>
      <c r="X206" s="2180"/>
      <c r="Y206" s="2178"/>
      <c r="Z206" s="2179"/>
      <c r="AA206" s="2179"/>
      <c r="AB206" s="2180"/>
      <c r="AC206" s="2178"/>
      <c r="AD206" s="2179"/>
      <c r="AE206" s="2179"/>
      <c r="AF206" s="2180"/>
      <c r="AG206" s="2184"/>
      <c r="AH206" s="2185"/>
      <c r="AI206" s="2185"/>
      <c r="AJ206" s="2185"/>
      <c r="AK206" s="2186"/>
      <c r="AL206" s="1085"/>
      <c r="AM206" s="1085"/>
      <c r="AN206" s="1085"/>
      <c r="AO206" s="1085"/>
      <c r="AP206" s="1085"/>
      <c r="AQ206" s="1085"/>
      <c r="AR206" s="1085"/>
      <c r="AS206" s="1085"/>
      <c r="AT206" s="1085"/>
      <c r="AU206" s="1085"/>
      <c r="AV206" s="1085"/>
      <c r="AW206" s="1085"/>
      <c r="AX206" s="1085"/>
      <c r="AY206" s="1085"/>
      <c r="AZ206" s="1085"/>
      <c r="BA206" s="1085"/>
      <c r="BB206" s="1085"/>
      <c r="BC206" s="1085"/>
      <c r="BD206" s="1085"/>
      <c r="BE206" s="1081"/>
    </row>
    <row r="207" spans="1:57" ht="15.75" customHeight="1">
      <c r="A207" s="1085"/>
      <c r="B207" s="1085"/>
      <c r="C207" s="2187">
        <v>1</v>
      </c>
      <c r="D207" s="2188"/>
      <c r="E207" s="2188"/>
      <c r="F207" s="2188"/>
      <c r="G207" s="2189" t="s">
        <v>662</v>
      </c>
      <c r="H207" s="2189"/>
      <c r="I207" s="2189"/>
      <c r="J207" s="2189"/>
      <c r="K207" s="2189"/>
      <c r="L207" s="2189"/>
      <c r="M207" s="2189"/>
      <c r="N207" s="2189"/>
      <c r="O207" s="2189"/>
      <c r="P207" s="2190"/>
      <c r="Q207" s="2191"/>
      <c r="R207" s="2191"/>
      <c r="S207" s="2191"/>
      <c r="T207" s="2191"/>
      <c r="U207" s="2192" t="s">
        <v>662</v>
      </c>
      <c r="V207" s="2192"/>
      <c r="W207" s="2192"/>
      <c r="X207" s="2192"/>
      <c r="Y207" s="2192" t="s">
        <v>662</v>
      </c>
      <c r="Z207" s="2192"/>
      <c r="AA207" s="2192"/>
      <c r="AB207" s="2192"/>
      <c r="AC207" s="2193" t="s">
        <v>662</v>
      </c>
      <c r="AD207" s="2193"/>
      <c r="AE207" s="2193"/>
      <c r="AF207" s="2193"/>
      <c r="AG207" s="2172"/>
      <c r="AH207" s="2173"/>
      <c r="AI207" s="2173"/>
      <c r="AJ207" s="2173"/>
      <c r="AK207" s="2174"/>
      <c r="AL207" s="1085"/>
      <c r="AM207" s="1085"/>
      <c r="AN207" s="1085"/>
      <c r="AO207" s="1085"/>
      <c r="AP207" s="1085"/>
      <c r="AQ207" s="1085"/>
      <c r="AR207" s="1085"/>
      <c r="AS207" s="1085"/>
      <c r="AT207" s="1085"/>
      <c r="AU207" s="1085"/>
      <c r="AV207" s="1085"/>
      <c r="AW207" s="1085"/>
      <c r="AX207" s="1085"/>
      <c r="AY207" s="1085"/>
      <c r="AZ207" s="1085"/>
      <c r="BA207" s="1085"/>
      <c r="BB207" s="1085"/>
      <c r="BC207" s="1085"/>
      <c r="BD207" s="1085"/>
      <c r="BE207" s="1081"/>
    </row>
    <row r="208" spans="1:57" ht="15.75" customHeight="1">
      <c r="A208" s="1085"/>
      <c r="B208" s="1085"/>
      <c r="C208" s="2187">
        <v>2</v>
      </c>
      <c r="D208" s="2188"/>
      <c r="E208" s="2188"/>
      <c r="F208" s="2188"/>
      <c r="G208" s="2189" t="s">
        <v>662</v>
      </c>
      <c r="H208" s="2189"/>
      <c r="I208" s="2189"/>
      <c r="J208" s="2189"/>
      <c r="K208" s="2189"/>
      <c r="L208" s="2189"/>
      <c r="M208" s="2189"/>
      <c r="N208" s="2189"/>
      <c r="O208" s="2189"/>
      <c r="P208" s="2190"/>
      <c r="Q208" s="2190"/>
      <c r="R208" s="2190"/>
      <c r="S208" s="2190"/>
      <c r="T208" s="2190"/>
      <c r="U208" s="2192" t="s">
        <v>662</v>
      </c>
      <c r="V208" s="2192"/>
      <c r="W208" s="2192"/>
      <c r="X208" s="2192"/>
      <c r="Y208" s="2192" t="s">
        <v>662</v>
      </c>
      <c r="Z208" s="2192"/>
      <c r="AA208" s="2192"/>
      <c r="AB208" s="2192"/>
      <c r="AC208" s="2193" t="s">
        <v>662</v>
      </c>
      <c r="AD208" s="2193"/>
      <c r="AE208" s="2193"/>
      <c r="AF208" s="2193"/>
      <c r="AG208" s="2172"/>
      <c r="AH208" s="2173"/>
      <c r="AI208" s="2173"/>
      <c r="AJ208" s="2173"/>
      <c r="AK208" s="2174"/>
      <c r="AL208" s="1085"/>
      <c r="AM208" s="1085"/>
      <c r="AN208" s="1085"/>
      <c r="AO208" s="1085"/>
      <c r="AP208" s="1085"/>
      <c r="AQ208" s="1085"/>
      <c r="AR208" s="1085"/>
      <c r="AS208" s="1085"/>
      <c r="AT208" s="1085"/>
      <c r="AU208" s="1085"/>
      <c r="AV208" s="1085"/>
      <c r="AW208" s="1085"/>
      <c r="AX208" s="1085"/>
      <c r="AY208" s="1085"/>
      <c r="AZ208" s="1085"/>
      <c r="BA208" s="1085"/>
      <c r="BB208" s="1085"/>
      <c r="BC208" s="1085"/>
      <c r="BD208" s="1085"/>
      <c r="BE208" s="1081"/>
    </row>
    <row r="209" spans="1:57" ht="15.75" customHeight="1">
      <c r="A209" s="1085"/>
      <c r="B209" s="1085"/>
      <c r="C209" s="2187">
        <v>3</v>
      </c>
      <c r="D209" s="2188"/>
      <c r="E209" s="2188"/>
      <c r="F209" s="2188"/>
      <c r="G209" s="2189" t="s">
        <v>662</v>
      </c>
      <c r="H209" s="2189"/>
      <c r="I209" s="2189"/>
      <c r="J209" s="2189"/>
      <c r="K209" s="2189"/>
      <c r="L209" s="2189"/>
      <c r="M209" s="2189"/>
      <c r="N209" s="2189"/>
      <c r="O209" s="2189"/>
      <c r="P209" s="2190"/>
      <c r="Q209" s="2190"/>
      <c r="R209" s="2190"/>
      <c r="S209" s="2190"/>
      <c r="T209" s="2190"/>
      <c r="U209" s="2192" t="s">
        <v>662</v>
      </c>
      <c r="V209" s="2192"/>
      <c r="W209" s="2192"/>
      <c r="X209" s="2192"/>
      <c r="Y209" s="2192" t="s">
        <v>662</v>
      </c>
      <c r="Z209" s="2192"/>
      <c r="AA209" s="2192"/>
      <c r="AB209" s="2192"/>
      <c r="AC209" s="2193" t="s">
        <v>662</v>
      </c>
      <c r="AD209" s="2193"/>
      <c r="AE209" s="2193"/>
      <c r="AF209" s="2193"/>
      <c r="AG209" s="2172"/>
      <c r="AH209" s="2173"/>
      <c r="AI209" s="2173"/>
      <c r="AJ209" s="2173"/>
      <c r="AK209" s="2174"/>
      <c r="AL209" s="1085"/>
      <c r="AM209" s="1085"/>
      <c r="AN209" s="1085"/>
      <c r="AO209" s="1085"/>
      <c r="AP209" s="1085"/>
      <c r="AQ209" s="1085"/>
      <c r="AR209" s="1085"/>
      <c r="AS209" s="1085"/>
      <c r="AT209" s="1085"/>
      <c r="AU209" s="1085"/>
      <c r="AV209" s="1085"/>
      <c r="AW209" s="1085"/>
      <c r="AX209" s="1085"/>
      <c r="AY209" s="1085"/>
      <c r="AZ209" s="1085"/>
      <c r="BA209" s="1085"/>
      <c r="BB209" s="1085"/>
      <c r="BC209" s="1085"/>
      <c r="BD209" s="1085"/>
      <c r="BE209" s="1081"/>
    </row>
    <row r="210" spans="1:57" ht="15.75" customHeight="1">
      <c r="A210" s="1085"/>
      <c r="B210" s="1085"/>
      <c r="C210" s="2187">
        <v>4</v>
      </c>
      <c r="D210" s="2188"/>
      <c r="E210" s="2188"/>
      <c r="F210" s="2188"/>
      <c r="G210" s="2189" t="s">
        <v>662</v>
      </c>
      <c r="H210" s="2189"/>
      <c r="I210" s="2189"/>
      <c r="J210" s="2189"/>
      <c r="K210" s="2189"/>
      <c r="L210" s="2189"/>
      <c r="M210" s="2189"/>
      <c r="N210" s="2189"/>
      <c r="O210" s="2189"/>
      <c r="P210" s="2190"/>
      <c r="Q210" s="2190"/>
      <c r="R210" s="2190"/>
      <c r="S210" s="2190"/>
      <c r="T210" s="2190"/>
      <c r="U210" s="2192" t="s">
        <v>662</v>
      </c>
      <c r="V210" s="2192"/>
      <c r="W210" s="2192"/>
      <c r="X210" s="2192"/>
      <c r="Y210" s="2192" t="s">
        <v>662</v>
      </c>
      <c r="Z210" s="2192"/>
      <c r="AA210" s="2192"/>
      <c r="AB210" s="2192"/>
      <c r="AC210" s="2193" t="s">
        <v>662</v>
      </c>
      <c r="AD210" s="2193"/>
      <c r="AE210" s="2193"/>
      <c r="AF210" s="2193"/>
      <c r="AG210" s="2172"/>
      <c r="AH210" s="2173"/>
      <c r="AI210" s="2173"/>
      <c r="AJ210" s="2173"/>
      <c r="AK210" s="2174"/>
      <c r="AL210" s="1085"/>
      <c r="AM210" s="1085"/>
      <c r="AN210" s="1085"/>
      <c r="AO210" s="1085"/>
      <c r="AP210" s="1085"/>
      <c r="AQ210" s="1085"/>
      <c r="AR210" s="1085"/>
      <c r="AS210" s="1085"/>
      <c r="AT210" s="1085"/>
      <c r="AU210" s="1085"/>
      <c r="AV210" s="1085"/>
      <c r="AW210" s="1085"/>
      <c r="AX210" s="1085"/>
      <c r="AY210" s="1085"/>
      <c r="AZ210" s="1085"/>
      <c r="BA210" s="1085"/>
      <c r="BB210" s="1085"/>
      <c r="BC210" s="1085"/>
      <c r="BD210" s="1085"/>
      <c r="BE210" s="1081"/>
    </row>
    <row r="211" spans="1:57" ht="15.75" customHeight="1">
      <c r="A211" s="1085"/>
      <c r="B211" s="1085"/>
      <c r="C211" s="2187">
        <v>5</v>
      </c>
      <c r="D211" s="2188"/>
      <c r="E211" s="2188"/>
      <c r="F211" s="2188"/>
      <c r="G211" s="2189"/>
      <c r="H211" s="2189"/>
      <c r="I211" s="2189"/>
      <c r="J211" s="2189"/>
      <c r="K211" s="2189"/>
      <c r="L211" s="2189"/>
      <c r="M211" s="2189"/>
      <c r="N211" s="2189"/>
      <c r="O211" s="2189"/>
      <c r="P211" s="2190"/>
      <c r="Q211" s="2190"/>
      <c r="R211" s="2190"/>
      <c r="S211" s="2190"/>
      <c r="T211" s="2190"/>
      <c r="U211" s="2192" t="s">
        <v>662</v>
      </c>
      <c r="V211" s="2192"/>
      <c r="W211" s="2192"/>
      <c r="X211" s="2192"/>
      <c r="Y211" s="2192" t="s">
        <v>662</v>
      </c>
      <c r="Z211" s="2192"/>
      <c r="AA211" s="2192"/>
      <c r="AB211" s="2192"/>
      <c r="AC211" s="2193" t="s">
        <v>662</v>
      </c>
      <c r="AD211" s="2193"/>
      <c r="AE211" s="2193"/>
      <c r="AF211" s="2193"/>
      <c r="AG211" s="2172"/>
      <c r="AH211" s="2173"/>
      <c r="AI211" s="2173"/>
      <c r="AJ211" s="2173"/>
      <c r="AK211" s="2174"/>
      <c r="AL211" s="1085"/>
      <c r="AM211" s="1085"/>
      <c r="AN211" s="1085"/>
      <c r="AO211" s="1085"/>
      <c r="AP211" s="1085"/>
      <c r="AQ211" s="1085"/>
      <c r="AR211" s="1085"/>
      <c r="AS211" s="1085"/>
      <c r="AT211" s="1085"/>
      <c r="AU211" s="1085"/>
      <c r="AV211" s="1085"/>
      <c r="AW211" s="1085"/>
      <c r="AX211" s="1085"/>
      <c r="AY211" s="1085"/>
      <c r="AZ211" s="1085"/>
      <c r="BA211" s="1085"/>
      <c r="BB211" s="1085"/>
      <c r="BC211" s="1085"/>
      <c r="BD211" s="1085"/>
      <c r="BE211" s="1081"/>
    </row>
    <row r="212" spans="1:57" ht="15.75" customHeight="1">
      <c r="A212" s="1085"/>
      <c r="B212" s="1085"/>
      <c r="C212" s="2187">
        <v>6</v>
      </c>
      <c r="D212" s="2188"/>
      <c r="E212" s="2188"/>
      <c r="F212" s="2188"/>
      <c r="G212" s="2189" t="s">
        <v>662</v>
      </c>
      <c r="H212" s="2189"/>
      <c r="I212" s="2189"/>
      <c r="J212" s="2189"/>
      <c r="K212" s="2189"/>
      <c r="L212" s="2189"/>
      <c r="M212" s="2189"/>
      <c r="N212" s="2189"/>
      <c r="O212" s="2189"/>
      <c r="P212" s="2190"/>
      <c r="Q212" s="2190"/>
      <c r="R212" s="2190"/>
      <c r="S212" s="2190"/>
      <c r="T212" s="2190"/>
      <c r="U212" s="2192"/>
      <c r="V212" s="2192"/>
      <c r="W212" s="2192"/>
      <c r="X212" s="2192"/>
      <c r="Y212" s="2192"/>
      <c r="Z212" s="2192"/>
      <c r="AA212" s="2192"/>
      <c r="AB212" s="2192"/>
      <c r="AC212" s="2193" t="s">
        <v>662</v>
      </c>
      <c r="AD212" s="2193"/>
      <c r="AE212" s="2193"/>
      <c r="AF212" s="2193"/>
      <c r="AG212" s="2172"/>
      <c r="AH212" s="2173"/>
      <c r="AI212" s="2173"/>
      <c r="AJ212" s="2173"/>
      <c r="AK212" s="2174"/>
      <c r="AL212" s="1085"/>
      <c r="AM212" s="1085"/>
      <c r="AN212" s="1085"/>
      <c r="AO212" s="1085"/>
      <c r="AP212" s="1085"/>
      <c r="AQ212" s="1085"/>
      <c r="AR212" s="1085"/>
      <c r="AS212" s="1085"/>
      <c r="AT212" s="1085"/>
      <c r="AU212" s="1085"/>
      <c r="AV212" s="1085"/>
      <c r="AW212" s="1085"/>
      <c r="AX212" s="1085"/>
      <c r="AY212" s="1085"/>
      <c r="AZ212" s="1085"/>
      <c r="BA212" s="1085"/>
      <c r="BB212" s="1085"/>
      <c r="BC212" s="1085"/>
      <c r="BD212" s="1085"/>
      <c r="BE212" s="1081"/>
    </row>
    <row r="213" spans="1:57" ht="15.75" customHeight="1">
      <c r="A213" s="1085"/>
      <c r="B213" s="1085"/>
      <c r="C213" s="2187">
        <v>7</v>
      </c>
      <c r="D213" s="2188"/>
      <c r="E213" s="2188"/>
      <c r="F213" s="2188"/>
      <c r="G213" s="2523"/>
      <c r="H213" s="2524"/>
      <c r="I213" s="2524"/>
      <c r="J213" s="2524"/>
      <c r="K213" s="2524"/>
      <c r="L213" s="2524"/>
      <c r="M213" s="2524"/>
      <c r="N213" s="2524"/>
      <c r="O213" s="2525"/>
      <c r="P213" s="2190"/>
      <c r="Q213" s="2190"/>
      <c r="R213" s="2190"/>
      <c r="S213" s="2190"/>
      <c r="T213" s="2190"/>
      <c r="U213" s="2192"/>
      <c r="V213" s="2192"/>
      <c r="W213" s="2192"/>
      <c r="X213" s="2192"/>
      <c r="Y213" s="2192"/>
      <c r="Z213" s="2192"/>
      <c r="AA213" s="2192"/>
      <c r="AB213" s="2192"/>
      <c r="AC213" s="2193" t="s">
        <v>662</v>
      </c>
      <c r="AD213" s="2193"/>
      <c r="AE213" s="2193"/>
      <c r="AF213" s="2193"/>
      <c r="AG213" s="2172"/>
      <c r="AH213" s="2173"/>
      <c r="AI213" s="2173"/>
      <c r="AJ213" s="2173"/>
      <c r="AK213" s="2174"/>
      <c r="AL213" s="1085"/>
      <c r="AM213" s="1085"/>
      <c r="AN213" s="1085"/>
      <c r="AO213" s="1085"/>
      <c r="AP213" s="1085"/>
      <c r="AQ213" s="1085"/>
      <c r="AR213" s="1085"/>
      <c r="AS213" s="1085"/>
      <c r="AT213" s="1085"/>
      <c r="AU213" s="1085"/>
      <c r="AV213" s="1085"/>
      <c r="AW213" s="1085"/>
      <c r="AX213" s="1085"/>
      <c r="AY213" s="1085"/>
      <c r="AZ213" s="1085"/>
      <c r="BA213" s="1085"/>
      <c r="BB213" s="1085"/>
      <c r="BC213" s="1085"/>
      <c r="BD213" s="1085"/>
      <c r="BE213" s="1081"/>
    </row>
    <row r="214" spans="1:57" ht="15.75" customHeight="1">
      <c r="A214" s="1085"/>
      <c r="B214" s="1085"/>
      <c r="C214" s="2526" t="s">
        <v>2652</v>
      </c>
      <c r="D214" s="2527"/>
      <c r="E214" s="2527"/>
      <c r="F214" s="2527"/>
      <c r="G214" s="2527"/>
      <c r="H214" s="2527"/>
      <c r="I214" s="2527"/>
      <c r="J214" s="2527"/>
      <c r="K214" s="2527"/>
      <c r="L214" s="2527"/>
      <c r="M214" s="2527"/>
      <c r="N214" s="2527"/>
      <c r="O214" s="2527"/>
      <c r="P214" s="2528"/>
      <c r="Q214" s="2528"/>
      <c r="R214" s="2528"/>
      <c r="S214" s="2528"/>
      <c r="T214" s="2528"/>
      <c r="U214" s="2529">
        <v>0</v>
      </c>
      <c r="V214" s="2529"/>
      <c r="W214" s="2529"/>
      <c r="X214" s="2529"/>
      <c r="Y214" s="2529">
        <v>0</v>
      </c>
      <c r="Z214" s="2529"/>
      <c r="AA214" s="2529"/>
      <c r="AB214" s="2529"/>
      <c r="AC214" s="2530">
        <v>0</v>
      </c>
      <c r="AD214" s="2530"/>
      <c r="AE214" s="2530"/>
      <c r="AF214" s="2530"/>
      <c r="AG214" s="2169"/>
      <c r="AH214" s="2170"/>
      <c r="AI214" s="2170"/>
      <c r="AJ214" s="2170"/>
      <c r="AK214" s="2171"/>
      <c r="AL214" s="1085"/>
      <c r="AM214" s="1085"/>
      <c r="AN214" s="1085"/>
      <c r="AO214" s="1085"/>
      <c r="AP214" s="1085"/>
      <c r="AQ214" s="1085"/>
      <c r="AR214" s="1085"/>
      <c r="AS214" s="1085"/>
      <c r="AT214" s="1085"/>
      <c r="AU214" s="1085"/>
      <c r="AV214" s="1085"/>
      <c r="AW214" s="1085"/>
      <c r="AX214" s="1085"/>
      <c r="AY214" s="1085"/>
      <c r="AZ214" s="1085"/>
      <c r="BA214" s="1085"/>
      <c r="BB214" s="1085"/>
      <c r="BC214" s="1085"/>
      <c r="BD214" s="1085"/>
      <c r="BE214" s="1081"/>
    </row>
    <row r="215" spans="1:57" ht="15.75" customHeight="1">
      <c r="A215" s="1085"/>
      <c r="B215" s="1085"/>
      <c r="C215" s="1085" t="s">
        <v>2653</v>
      </c>
      <c r="D215" s="1085"/>
      <c r="E215" s="1085"/>
      <c r="F215" s="1085"/>
      <c r="G215" s="1085"/>
      <c r="H215" s="1085"/>
      <c r="I215" s="1085"/>
      <c r="J215" s="1085"/>
      <c r="K215" s="1085"/>
      <c r="L215" s="1085"/>
      <c r="M215" s="1085"/>
      <c r="N215" s="1085"/>
      <c r="O215" s="1085"/>
      <c r="P215" s="1085"/>
      <c r="Q215" s="1085"/>
      <c r="R215" s="1085"/>
      <c r="S215" s="1085"/>
      <c r="T215" s="1085"/>
      <c r="U215" s="1085"/>
      <c r="V215" s="1085"/>
      <c r="W215" s="1085"/>
      <c r="X215" s="1085"/>
      <c r="Y215" s="1085"/>
      <c r="Z215" s="1085"/>
      <c r="AA215" s="1085"/>
      <c r="AB215" s="1085"/>
      <c r="AC215" s="1085"/>
      <c r="AD215" s="1085"/>
      <c r="AE215" s="1085"/>
      <c r="AF215" s="1085"/>
      <c r="AG215" s="1085"/>
      <c r="AH215" s="1085"/>
      <c r="AI215" s="1085"/>
      <c r="AJ215" s="1085"/>
      <c r="AK215" s="1085"/>
      <c r="AL215" s="1085"/>
      <c r="AM215" s="1085"/>
      <c r="AN215" s="1085"/>
      <c r="AO215" s="1085"/>
      <c r="AP215" s="1085"/>
      <c r="AQ215" s="1085"/>
      <c r="AR215" s="1085"/>
      <c r="AS215" s="1085"/>
      <c r="AT215" s="1085"/>
      <c r="AU215" s="1085"/>
      <c r="AV215" s="1085"/>
      <c r="AW215" s="1085"/>
      <c r="AX215" s="1085"/>
      <c r="AY215" s="1085"/>
      <c r="AZ215" s="1085"/>
      <c r="BA215" s="1085"/>
      <c r="BB215" s="1085"/>
      <c r="BC215" s="1085"/>
      <c r="BD215" s="1085"/>
      <c r="BE215" s="1081"/>
    </row>
    <row r="216" spans="1:57" ht="15.75" customHeight="1">
      <c r="A216" s="1085"/>
      <c r="B216" s="1085"/>
      <c r="C216" s="1085"/>
      <c r="D216" s="1085"/>
      <c r="E216" s="1085"/>
      <c r="F216" s="1085"/>
      <c r="G216" s="1085"/>
      <c r="H216" s="1085"/>
      <c r="I216" s="1085"/>
      <c r="J216" s="1085"/>
      <c r="K216" s="1085"/>
      <c r="L216" s="1085"/>
      <c r="M216" s="1085"/>
      <c r="N216" s="1085"/>
      <c r="O216" s="1085"/>
      <c r="P216" s="1085"/>
      <c r="Q216" s="1085"/>
      <c r="R216" s="1085"/>
      <c r="S216" s="1085"/>
      <c r="T216" s="1085"/>
      <c r="U216" s="1085"/>
      <c r="V216" s="1085"/>
      <c r="W216" s="1085"/>
      <c r="X216" s="1085"/>
      <c r="Y216" s="1085"/>
      <c r="Z216" s="1085"/>
      <c r="AA216" s="1085"/>
      <c r="AB216" s="1085"/>
      <c r="AC216" s="1085"/>
      <c r="AD216" s="1085"/>
      <c r="AE216" s="1085"/>
      <c r="AF216" s="1085"/>
      <c r="AG216" s="1085"/>
      <c r="AH216" s="1085"/>
      <c r="AI216" s="1085"/>
      <c r="AJ216" s="1085"/>
      <c r="AK216" s="1085"/>
      <c r="AL216" s="1085"/>
      <c r="AM216" s="1085"/>
      <c r="AN216" s="1085"/>
      <c r="AO216" s="1085"/>
      <c r="AP216" s="1085"/>
      <c r="AQ216" s="1085"/>
      <c r="AR216" s="1085"/>
      <c r="AS216" s="1085"/>
      <c r="AT216" s="1085"/>
      <c r="AU216" s="1085"/>
      <c r="AV216" s="1085"/>
      <c r="AW216" s="1085"/>
      <c r="AX216" s="1085"/>
      <c r="AY216" s="1085"/>
      <c r="AZ216" s="1085"/>
      <c r="BA216" s="1085"/>
      <c r="BB216" s="1085"/>
      <c r="BC216" s="1085"/>
      <c r="BD216" s="1085"/>
      <c r="BE216" s="1081"/>
    </row>
    <row r="217" spans="1:57" ht="15.75" customHeight="1">
      <c r="A217" s="1085"/>
      <c r="B217" s="1085"/>
      <c r="C217" s="1085"/>
      <c r="D217" s="1085"/>
      <c r="E217" s="1085"/>
      <c r="F217" s="1085"/>
      <c r="G217" s="1085"/>
      <c r="H217" s="1085"/>
      <c r="I217" s="1085"/>
      <c r="J217" s="1085"/>
      <c r="K217" s="1085"/>
      <c r="L217" s="1085"/>
      <c r="M217" s="1085"/>
      <c r="N217" s="1085"/>
      <c r="O217" s="1085"/>
      <c r="P217" s="1085"/>
      <c r="Q217" s="1085"/>
      <c r="R217" s="1085"/>
      <c r="S217" s="1085"/>
      <c r="T217" s="1085"/>
      <c r="U217" s="1085"/>
      <c r="V217" s="1085"/>
      <c r="W217" s="1085"/>
      <c r="X217" s="1085"/>
      <c r="Y217" s="1085"/>
      <c r="Z217" s="1085"/>
      <c r="AA217" s="1085"/>
      <c r="AB217" s="1085"/>
      <c r="AC217" s="1085"/>
      <c r="AD217" s="1085"/>
      <c r="AE217" s="1085"/>
      <c r="AF217" s="1085"/>
      <c r="AG217" s="1085"/>
      <c r="AH217" s="1085"/>
      <c r="AI217" s="1085"/>
      <c r="AJ217" s="1085"/>
      <c r="AK217" s="1085"/>
      <c r="AL217" s="1085"/>
      <c r="AM217" s="1085"/>
      <c r="AN217" s="1085"/>
      <c r="AO217" s="1085"/>
      <c r="AP217" s="1085"/>
      <c r="AQ217" s="1085"/>
      <c r="AR217" s="1085"/>
      <c r="AS217" s="1085"/>
      <c r="AT217" s="1085"/>
      <c r="AU217" s="1085"/>
      <c r="AV217" s="1085"/>
      <c r="AW217" s="1085"/>
      <c r="AX217" s="1085"/>
      <c r="AY217" s="1085"/>
      <c r="AZ217" s="1085"/>
      <c r="BA217" s="1085"/>
      <c r="BB217" s="1085"/>
      <c r="BC217" s="1085"/>
      <c r="BD217" s="1085"/>
      <c r="BE217" s="1081"/>
    </row>
    <row r="218" spans="1:57" ht="15.75" customHeight="1" thickBot="1">
      <c r="A218" s="1085"/>
      <c r="B218" s="1085"/>
      <c r="C218" s="1085"/>
      <c r="D218" s="1085"/>
      <c r="E218" s="1085"/>
      <c r="F218" s="1085"/>
      <c r="G218" s="1085"/>
      <c r="H218" s="1085"/>
      <c r="I218" s="1085"/>
      <c r="J218" s="1085"/>
      <c r="K218" s="1085"/>
      <c r="L218" s="1085"/>
      <c r="M218" s="1085"/>
      <c r="N218" s="1085"/>
      <c r="O218" s="1085"/>
      <c r="P218" s="1085"/>
      <c r="Q218" s="1085"/>
      <c r="R218" s="1085"/>
      <c r="S218" s="1085"/>
      <c r="T218" s="1085"/>
      <c r="U218" s="1085"/>
      <c r="V218" s="1085"/>
      <c r="W218" s="1085"/>
      <c r="X218" s="1085"/>
      <c r="Y218" s="1085"/>
      <c r="Z218" s="1085"/>
      <c r="AA218" s="1085"/>
      <c r="AB218" s="1085"/>
      <c r="AC218" s="1085"/>
      <c r="AD218" s="1085"/>
      <c r="AE218" s="1085"/>
      <c r="AF218" s="1085"/>
      <c r="AG218" s="1085"/>
      <c r="AH218" s="1085"/>
      <c r="AI218" s="1085"/>
      <c r="AJ218" s="1085"/>
      <c r="AK218" s="1085"/>
      <c r="AL218" s="1085"/>
      <c r="AM218" s="1085"/>
      <c r="AN218" s="1085"/>
      <c r="AO218" s="1085"/>
      <c r="AP218" s="1085"/>
      <c r="AQ218" s="1085"/>
      <c r="AR218" s="1085"/>
      <c r="AS218" s="1085"/>
      <c r="AT218" s="1085"/>
      <c r="AU218" s="1085"/>
      <c r="AV218" s="1085"/>
      <c r="AW218" s="1085"/>
      <c r="AX218" s="1085"/>
      <c r="AY218" s="1085"/>
      <c r="AZ218" s="1085"/>
      <c r="BA218" s="1085"/>
      <c r="BB218" s="1085"/>
      <c r="BC218" s="1085"/>
      <c r="BD218" s="1085"/>
      <c r="BE218" s="1081"/>
    </row>
    <row r="219" spans="1:57" ht="15.75" customHeight="1">
      <c r="A219" s="1085"/>
      <c r="B219" s="2197" t="s">
        <v>2654</v>
      </c>
      <c r="C219" s="2198"/>
      <c r="D219" s="2198"/>
      <c r="E219" s="2198"/>
      <c r="F219" s="2198"/>
      <c r="G219" s="2198"/>
      <c r="H219" s="2198"/>
      <c r="I219" s="2198"/>
      <c r="J219" s="2198"/>
      <c r="K219" s="2198"/>
      <c r="L219" s="2198"/>
      <c r="M219" s="2198"/>
      <c r="N219" s="2198"/>
      <c r="O219" s="2198"/>
      <c r="P219" s="2198"/>
      <c r="Q219" s="2198"/>
      <c r="R219" s="2198"/>
      <c r="S219" s="2198"/>
      <c r="T219" s="2198"/>
      <c r="U219" s="2198"/>
      <c r="V219" s="2198"/>
      <c r="W219" s="2198"/>
      <c r="X219" s="2198"/>
      <c r="Y219" s="2198"/>
      <c r="Z219" s="2198"/>
      <c r="AA219" s="2198"/>
      <c r="AB219" s="2198"/>
      <c r="AC219" s="2198"/>
      <c r="AD219" s="2198"/>
      <c r="AE219" s="2198"/>
      <c r="AF219" s="2198"/>
      <c r="AG219" s="2198"/>
      <c r="AH219" s="2198"/>
      <c r="AI219" s="2198"/>
      <c r="AJ219" s="2198"/>
      <c r="AK219" s="2198"/>
      <c r="AL219" s="2198"/>
      <c r="AM219" s="2198"/>
      <c r="AN219" s="2198"/>
      <c r="AO219" s="2198"/>
      <c r="AP219" s="2198"/>
      <c r="AQ219" s="2198"/>
      <c r="AR219" s="2198"/>
      <c r="AS219" s="2198"/>
      <c r="AT219" s="2198"/>
      <c r="AU219" s="2198"/>
      <c r="AV219" s="2198"/>
      <c r="AW219" s="2198"/>
      <c r="AX219" s="2198"/>
      <c r="AY219" s="2198"/>
      <c r="AZ219" s="2198"/>
      <c r="BA219" s="2198"/>
      <c r="BB219" s="2198"/>
      <c r="BC219" s="2198"/>
      <c r="BD219" s="2199"/>
      <c r="BE219" s="1081"/>
    </row>
    <row r="220" spans="1:57" ht="15.75" customHeight="1">
      <c r="A220" s="1085"/>
      <c r="B220" s="2200"/>
      <c r="C220" s="2201"/>
      <c r="D220" s="2201"/>
      <c r="E220" s="2201"/>
      <c r="F220" s="2201"/>
      <c r="G220" s="2201"/>
      <c r="H220" s="2201"/>
      <c r="I220" s="2201"/>
      <c r="J220" s="2201"/>
      <c r="K220" s="2201"/>
      <c r="L220" s="2201"/>
      <c r="M220" s="2201"/>
      <c r="N220" s="2201"/>
      <c r="O220" s="2201"/>
      <c r="P220" s="2201"/>
      <c r="Q220" s="2201"/>
      <c r="R220" s="2201"/>
      <c r="S220" s="2201"/>
      <c r="T220" s="2201"/>
      <c r="U220" s="2201"/>
      <c r="V220" s="2201"/>
      <c r="W220" s="2201"/>
      <c r="X220" s="2201"/>
      <c r="Y220" s="2201"/>
      <c r="Z220" s="2201"/>
      <c r="AA220" s="2201"/>
      <c r="AB220" s="2201"/>
      <c r="AC220" s="2201"/>
      <c r="AD220" s="2201"/>
      <c r="AE220" s="2201"/>
      <c r="AF220" s="2201"/>
      <c r="AG220" s="2201"/>
      <c r="AH220" s="2201"/>
      <c r="AI220" s="2201"/>
      <c r="AJ220" s="2201"/>
      <c r="AK220" s="2201"/>
      <c r="AL220" s="2201"/>
      <c r="AM220" s="2201"/>
      <c r="AN220" s="2201"/>
      <c r="AO220" s="2201"/>
      <c r="AP220" s="2201"/>
      <c r="AQ220" s="2201"/>
      <c r="AR220" s="2201"/>
      <c r="AS220" s="2201"/>
      <c r="AT220" s="2201"/>
      <c r="AU220" s="2201"/>
      <c r="AV220" s="2201"/>
      <c r="AW220" s="2201"/>
      <c r="AX220" s="2201"/>
      <c r="AY220" s="2201"/>
      <c r="AZ220" s="2201"/>
      <c r="BA220" s="2201"/>
      <c r="BB220" s="2201"/>
      <c r="BC220" s="2201"/>
      <c r="BD220" s="2202"/>
      <c r="BE220" s="1081"/>
    </row>
    <row r="221" spans="1:57" ht="15.75" customHeight="1">
      <c r="A221" s="1085"/>
      <c r="B221" s="2203" t="s">
        <v>2655</v>
      </c>
      <c r="C221" s="2204"/>
      <c r="D221" s="2204"/>
      <c r="E221" s="2204"/>
      <c r="F221" s="2204"/>
      <c r="G221" s="2204"/>
      <c r="H221" s="2204"/>
      <c r="I221" s="2204"/>
      <c r="J221" s="2204"/>
      <c r="K221" s="2204"/>
      <c r="L221" s="2204"/>
      <c r="M221" s="2204"/>
      <c r="N221" s="2204"/>
      <c r="O221" s="2204"/>
      <c r="P221" s="2204"/>
      <c r="Q221" s="2204"/>
      <c r="R221" s="2204"/>
      <c r="S221" s="2204"/>
      <c r="T221" s="2204"/>
      <c r="U221" s="2204"/>
      <c r="V221" s="2204"/>
      <c r="W221" s="2204"/>
      <c r="X221" s="2204"/>
      <c r="Y221" s="2204"/>
      <c r="Z221" s="2204"/>
      <c r="AA221" s="2204"/>
      <c r="AB221" s="2204"/>
      <c r="AC221" s="2204"/>
      <c r="AD221" s="2204"/>
      <c r="AE221" s="2204"/>
      <c r="AF221" s="2204"/>
      <c r="AG221" s="2204"/>
      <c r="AH221" s="2204"/>
      <c r="AI221" s="2204"/>
      <c r="AJ221" s="2204"/>
      <c r="AK221" s="2204"/>
      <c r="AL221" s="2204"/>
      <c r="AM221" s="2204"/>
      <c r="AN221" s="2204"/>
      <c r="AO221" s="2204"/>
      <c r="AP221" s="2204"/>
      <c r="AQ221" s="2204"/>
      <c r="AR221" s="2204"/>
      <c r="AS221" s="2204"/>
      <c r="AT221" s="2204"/>
      <c r="AU221" s="2204"/>
      <c r="AV221" s="2204"/>
      <c r="AW221" s="2204"/>
      <c r="AX221" s="2204"/>
      <c r="AY221" s="2204"/>
      <c r="AZ221" s="2204"/>
      <c r="BA221" s="2204"/>
      <c r="BB221" s="2204"/>
      <c r="BC221" s="2204"/>
      <c r="BD221" s="2205"/>
      <c r="BE221" s="1081"/>
    </row>
    <row r="222" spans="1:57" ht="15.75" customHeight="1">
      <c r="A222" s="1085"/>
      <c r="B222" s="2203" t="s">
        <v>2656</v>
      </c>
      <c r="C222" s="2204"/>
      <c r="D222" s="2204"/>
      <c r="E222" s="2204"/>
      <c r="F222" s="2204"/>
      <c r="G222" s="2204"/>
      <c r="H222" s="2204"/>
      <c r="I222" s="2204"/>
      <c r="J222" s="2204"/>
      <c r="K222" s="2204"/>
      <c r="L222" s="2204"/>
      <c r="M222" s="2204"/>
      <c r="N222" s="2204"/>
      <c r="O222" s="2204"/>
      <c r="P222" s="2204"/>
      <c r="Q222" s="2204"/>
      <c r="R222" s="2204"/>
      <c r="S222" s="2204"/>
      <c r="T222" s="2204"/>
      <c r="U222" s="2204"/>
      <c r="V222" s="2204"/>
      <c r="W222" s="2204"/>
      <c r="X222" s="2204"/>
      <c r="Y222" s="2204"/>
      <c r="Z222" s="2204"/>
      <c r="AA222" s="2204"/>
      <c r="AB222" s="2204"/>
      <c r="AC222" s="2204"/>
      <c r="AD222" s="2204"/>
      <c r="AE222" s="2204"/>
      <c r="AF222" s="2204"/>
      <c r="AG222" s="2204"/>
      <c r="AH222" s="2204"/>
      <c r="AI222" s="2204"/>
      <c r="AJ222" s="2204"/>
      <c r="AK222" s="2204"/>
      <c r="AL222" s="2204"/>
      <c r="AM222" s="2204"/>
      <c r="AN222" s="2204"/>
      <c r="AO222" s="2204"/>
      <c r="AP222" s="2204"/>
      <c r="AQ222" s="2204"/>
      <c r="AR222" s="2204"/>
      <c r="AS222" s="2204"/>
      <c r="AT222" s="2204"/>
      <c r="AU222" s="2204"/>
      <c r="AV222" s="2204"/>
      <c r="AW222" s="2204"/>
      <c r="AX222" s="2204"/>
      <c r="AY222" s="2204"/>
      <c r="AZ222" s="2204"/>
      <c r="BA222" s="2204"/>
      <c r="BB222" s="2204"/>
      <c r="BC222" s="2204"/>
      <c r="BD222" s="2205"/>
      <c r="BE222" s="1081"/>
    </row>
    <row r="223" spans="1:57" ht="15.75" customHeight="1">
      <c r="A223" s="1085"/>
      <c r="B223" s="1091"/>
      <c r="C223" s="1085"/>
      <c r="D223" s="1085"/>
      <c r="E223" s="1085"/>
      <c r="F223" s="1085"/>
      <c r="G223" s="1085"/>
      <c r="H223" s="1085"/>
      <c r="I223" s="1085"/>
      <c r="J223" s="1085"/>
      <c r="K223" s="1085"/>
      <c r="L223" s="1085"/>
      <c r="M223" s="1085"/>
      <c r="N223" s="1085"/>
      <c r="O223" s="1085"/>
      <c r="P223" s="1085"/>
      <c r="Q223" s="1085"/>
      <c r="R223" s="1085"/>
      <c r="S223" s="1085"/>
      <c r="T223" s="1085"/>
      <c r="U223" s="1085"/>
      <c r="V223" s="1085"/>
      <c r="W223" s="1085"/>
      <c r="X223" s="1085"/>
      <c r="Y223" s="1085"/>
      <c r="Z223" s="1085"/>
      <c r="AA223" s="1085"/>
      <c r="AB223" s="1085"/>
      <c r="AC223" s="1085"/>
      <c r="AD223" s="1085"/>
      <c r="AE223" s="1085"/>
      <c r="AF223" s="1085"/>
      <c r="AG223" s="1085"/>
      <c r="AH223" s="1085"/>
      <c r="AI223" s="1085"/>
      <c r="AJ223" s="1085"/>
      <c r="AK223" s="1085"/>
      <c r="AL223" s="1085"/>
      <c r="AM223" s="1085"/>
      <c r="AN223" s="1085"/>
      <c r="AO223" s="1085"/>
      <c r="AP223" s="1085"/>
      <c r="AQ223" s="1085"/>
      <c r="AR223" s="1085"/>
      <c r="AS223" s="1085"/>
      <c r="AT223" s="1085"/>
      <c r="AU223" s="1085"/>
      <c r="AV223" s="1085"/>
      <c r="AW223" s="1085"/>
      <c r="AX223" s="1085"/>
      <c r="AY223" s="1085"/>
      <c r="AZ223" s="1085"/>
      <c r="BA223" s="1085"/>
      <c r="BB223" s="1085"/>
      <c r="BC223" s="1085"/>
      <c r="BD223" s="1081"/>
      <c r="BE223" s="1081"/>
    </row>
    <row r="224" spans="1:57" ht="15.75" customHeight="1">
      <c r="A224" s="1085"/>
      <c r="B224" s="2206" t="s">
        <v>2657</v>
      </c>
      <c r="C224" s="2207"/>
      <c r="D224" s="2207"/>
      <c r="E224" s="2207"/>
      <c r="F224" s="2207"/>
      <c r="G224" s="2207"/>
      <c r="H224" s="2207"/>
      <c r="I224" s="2207"/>
      <c r="J224" s="2207"/>
      <c r="K224" s="2207"/>
      <c r="L224" s="2207"/>
      <c r="M224" s="2207"/>
      <c r="N224" s="2207"/>
      <c r="O224" s="2207"/>
      <c r="P224" s="2207"/>
      <c r="Q224" s="2207"/>
      <c r="R224" s="2207"/>
      <c r="S224" s="2207"/>
      <c r="T224" s="2207"/>
      <c r="U224" s="2207"/>
      <c r="V224" s="2207"/>
      <c r="W224" s="2207"/>
      <c r="X224" s="2207"/>
      <c r="Y224" s="2207"/>
      <c r="Z224" s="2207"/>
      <c r="AA224" s="2207"/>
      <c r="AB224" s="2207"/>
      <c r="AC224" s="2207"/>
      <c r="AD224" s="2207"/>
      <c r="AE224" s="2207"/>
      <c r="AF224" s="2207"/>
      <c r="AG224" s="2207"/>
      <c r="AH224" s="2207"/>
      <c r="AI224" s="2207"/>
      <c r="AJ224" s="2207"/>
      <c r="AK224" s="2207"/>
      <c r="AL224" s="2207"/>
      <c r="AM224" s="2207"/>
      <c r="AN224" s="2207"/>
      <c r="AO224" s="2207"/>
      <c r="AP224" s="2207"/>
      <c r="AQ224" s="2207"/>
      <c r="AR224" s="2207"/>
      <c r="AS224" s="2207"/>
      <c r="AT224" s="2207"/>
      <c r="AU224" s="2207"/>
      <c r="AV224" s="2207"/>
      <c r="AW224" s="2207"/>
      <c r="AX224" s="2207"/>
      <c r="AY224" s="2207"/>
      <c r="AZ224" s="2207"/>
      <c r="BA224" s="2207"/>
      <c r="BB224" s="2207"/>
      <c r="BC224" s="2207"/>
      <c r="BD224" s="2208"/>
      <c r="BE224" s="1081"/>
    </row>
    <row r="225" spans="1:57" ht="15.75" customHeight="1">
      <c r="A225" s="1085"/>
      <c r="B225" s="1094"/>
      <c r="C225" s="1085"/>
      <c r="D225" s="1085"/>
      <c r="E225" s="1085"/>
      <c r="F225" s="1085"/>
      <c r="G225" s="1085"/>
      <c r="H225" s="1085"/>
      <c r="I225" s="1085"/>
      <c r="J225" s="1085"/>
      <c r="K225" s="1085"/>
      <c r="L225" s="1085"/>
      <c r="M225" s="1085"/>
      <c r="N225" s="1085"/>
      <c r="O225" s="1085"/>
      <c r="P225" s="1085"/>
      <c r="Q225" s="1085"/>
      <c r="R225" s="1085"/>
      <c r="S225" s="1085"/>
      <c r="T225" s="1085"/>
      <c r="U225" s="1085"/>
      <c r="V225" s="1085"/>
      <c r="W225" s="1085"/>
      <c r="X225" s="1085"/>
      <c r="Y225" s="1085"/>
      <c r="Z225" s="1085"/>
      <c r="AA225" s="1085"/>
      <c r="AB225" s="1085"/>
      <c r="AC225" s="1085"/>
      <c r="AD225" s="1085"/>
      <c r="AE225" s="1085"/>
      <c r="AF225" s="1085"/>
      <c r="AG225" s="1085"/>
      <c r="AH225" s="1085"/>
      <c r="AI225" s="1085"/>
      <c r="AJ225" s="1085"/>
      <c r="AK225" s="1085"/>
      <c r="AL225" s="1085"/>
      <c r="AM225" s="1085"/>
      <c r="AN225" s="1085"/>
      <c r="AO225" s="1085"/>
      <c r="AP225" s="1085"/>
      <c r="AQ225" s="1085"/>
      <c r="AR225" s="1085"/>
      <c r="AS225" s="1085"/>
      <c r="AT225" s="1085"/>
      <c r="AU225" s="1085"/>
      <c r="AV225" s="1085"/>
      <c r="AW225" s="1085"/>
      <c r="AX225" s="1085"/>
      <c r="AY225" s="1085"/>
      <c r="AZ225" s="1085"/>
      <c r="BA225" s="1085"/>
      <c r="BB225" s="1085"/>
      <c r="BC225" s="1085"/>
      <c r="BD225" s="1081"/>
      <c r="BE225" s="1081"/>
    </row>
    <row r="226" spans="1:57" ht="15.75" customHeight="1">
      <c r="A226" s="1085"/>
      <c r="B226" s="1092"/>
      <c r="C226" s="1085"/>
      <c r="D226" s="1085"/>
      <c r="E226" s="1085"/>
      <c r="F226" s="1085"/>
      <c r="G226" s="1085"/>
      <c r="H226" s="1093" t="s">
        <v>2658</v>
      </c>
      <c r="I226" s="1085"/>
      <c r="J226" s="1085"/>
      <c r="K226" s="1085"/>
      <c r="L226" s="1085"/>
      <c r="M226" s="1085"/>
      <c r="N226" s="1085"/>
      <c r="O226" s="1085"/>
      <c r="P226" s="1085"/>
      <c r="Q226" s="1085"/>
      <c r="R226" s="1085"/>
      <c r="S226" s="1085"/>
      <c r="T226" s="1085"/>
      <c r="U226" s="1085"/>
      <c r="V226" s="1085"/>
      <c r="W226" s="1085"/>
      <c r="X226" s="1085"/>
      <c r="Y226" s="1085"/>
      <c r="Z226" s="1085"/>
      <c r="AA226" s="1085"/>
      <c r="AB226" s="1085"/>
      <c r="AC226" s="1085"/>
      <c r="AD226" s="1085"/>
      <c r="AE226" s="1085"/>
      <c r="AF226" s="1085"/>
      <c r="AG226" s="1085"/>
      <c r="AH226" s="1085"/>
      <c r="AI226" s="1085"/>
      <c r="AJ226" s="1085"/>
      <c r="AK226" s="1085"/>
      <c r="AL226" s="1085"/>
      <c r="AM226" s="1085"/>
      <c r="AN226" s="1085"/>
      <c r="AO226" s="1085"/>
      <c r="AP226" s="1085"/>
      <c r="AQ226" s="1085"/>
      <c r="AR226" s="1085"/>
      <c r="AS226" s="1085"/>
      <c r="AT226" s="1085"/>
      <c r="AU226" s="1085"/>
      <c r="AV226" s="1085"/>
      <c r="AW226" s="1085"/>
      <c r="AX226" s="1085"/>
      <c r="AY226" s="1085"/>
      <c r="AZ226" s="1085"/>
      <c r="BA226" s="1085"/>
      <c r="BB226" s="1085"/>
      <c r="BC226" s="1085"/>
      <c r="BD226" s="1081"/>
      <c r="BE226" s="1081"/>
    </row>
    <row r="227" spans="1:57" ht="15.75" customHeight="1">
      <c r="A227" s="1085"/>
      <c r="B227" s="1092"/>
      <c r="C227" s="1085"/>
      <c r="D227" s="1085"/>
      <c r="E227" s="1085"/>
      <c r="F227" s="1085"/>
      <c r="G227" s="1085"/>
      <c r="H227" s="1085"/>
      <c r="I227" s="1085"/>
      <c r="J227" s="1085"/>
      <c r="K227" s="1085"/>
      <c r="L227" s="1085"/>
      <c r="M227" s="1085"/>
      <c r="N227" s="1085"/>
      <c r="O227" s="1085"/>
      <c r="P227" s="1085"/>
      <c r="Q227" s="1085"/>
      <c r="R227" s="1085"/>
      <c r="S227" s="1085"/>
      <c r="T227" s="1085"/>
      <c r="U227" s="1085"/>
      <c r="V227" s="1085"/>
      <c r="W227" s="1085"/>
      <c r="X227" s="1085"/>
      <c r="Y227" s="1085"/>
      <c r="Z227" s="1085"/>
      <c r="AA227" s="1085"/>
      <c r="AB227" s="1085"/>
      <c r="AC227" s="1085"/>
      <c r="AD227" s="1085"/>
      <c r="AE227" s="1085"/>
      <c r="AF227" s="1085"/>
      <c r="AG227" s="1085"/>
      <c r="AH227" s="1085"/>
      <c r="AI227" s="1085"/>
      <c r="AJ227" s="1085"/>
      <c r="AK227" s="1085"/>
      <c r="AL227" s="1085"/>
      <c r="AM227" s="1085"/>
      <c r="AN227" s="1085"/>
      <c r="AO227" s="1085"/>
      <c r="AP227" s="1085"/>
      <c r="AQ227" s="1085"/>
      <c r="AR227" s="1085"/>
      <c r="AS227" s="1085"/>
      <c r="AT227" s="1085"/>
      <c r="AU227" s="1085"/>
      <c r="AV227" s="1085"/>
      <c r="AW227" s="1085"/>
      <c r="AX227" s="1085"/>
      <c r="AY227" s="1085"/>
      <c r="AZ227" s="1085"/>
      <c r="BA227" s="1085"/>
      <c r="BB227" s="1085"/>
      <c r="BC227" s="1085"/>
      <c r="BD227" s="1081"/>
      <c r="BE227" s="1081"/>
    </row>
    <row r="228" spans="1:57" ht="15.75" customHeight="1">
      <c r="A228" s="1085"/>
      <c r="B228" s="1092"/>
      <c r="C228" s="1085"/>
      <c r="D228" s="1085"/>
      <c r="E228" s="1085"/>
      <c r="F228" s="1085"/>
      <c r="G228" s="1085"/>
      <c r="H228" s="2220" t="s">
        <v>2659</v>
      </c>
      <c r="I228" s="2220"/>
      <c r="J228" s="2220"/>
      <c r="K228" s="2220"/>
      <c r="L228" s="2220"/>
      <c r="M228" s="2220"/>
      <c r="N228" s="2220"/>
      <c r="O228" s="2220"/>
      <c r="P228" s="2220"/>
      <c r="Q228" s="2220"/>
      <c r="R228" s="2220"/>
      <c r="S228" s="2220"/>
      <c r="T228" s="2220"/>
      <c r="U228" s="2220"/>
      <c r="V228" s="2220"/>
      <c r="W228" s="2220"/>
      <c r="X228" s="2220"/>
      <c r="Y228" s="2220"/>
      <c r="Z228" s="2220"/>
      <c r="AA228" s="2220"/>
      <c r="AB228" s="2220"/>
      <c r="AC228" s="2220"/>
      <c r="AD228" s="2220"/>
      <c r="AE228" s="2220"/>
      <c r="AF228" s="2220"/>
      <c r="AG228" s="2220"/>
      <c r="AH228" s="2220"/>
      <c r="AI228" s="2220"/>
      <c r="AJ228" s="2220"/>
      <c r="AK228" s="2220"/>
      <c r="AL228" s="2220"/>
      <c r="AM228" s="2220"/>
      <c r="AN228" s="2220"/>
      <c r="AO228" s="2220"/>
      <c r="AP228" s="2220"/>
      <c r="AQ228" s="2220"/>
      <c r="AR228" s="2220"/>
      <c r="AS228" s="2220"/>
      <c r="AT228" s="2220"/>
      <c r="AU228" s="2220"/>
      <c r="AV228" s="2220"/>
      <c r="AW228" s="2220"/>
      <c r="AX228" s="2220"/>
      <c r="AY228" s="2220"/>
      <c r="AZ228" s="1085"/>
      <c r="BA228" s="1085"/>
      <c r="BB228" s="1085"/>
      <c r="BC228" s="1085"/>
      <c r="BD228" s="1081"/>
      <c r="BE228" s="1081"/>
    </row>
    <row r="229" spans="1:57" ht="15.75" customHeight="1">
      <c r="A229" s="1085"/>
      <c r="B229" s="1092"/>
      <c r="C229" s="1085"/>
      <c r="D229" s="1085"/>
      <c r="E229" s="1085"/>
      <c r="F229" s="1085"/>
      <c r="G229" s="1085"/>
      <c r="H229" s="1085"/>
      <c r="I229" s="1085"/>
      <c r="J229" s="1085"/>
      <c r="K229" s="1085"/>
      <c r="L229" s="1085"/>
      <c r="M229" s="1085"/>
      <c r="N229" s="1085"/>
      <c r="O229" s="1085"/>
      <c r="P229" s="1085"/>
      <c r="Q229" s="1085"/>
      <c r="R229" s="1085"/>
      <c r="S229" s="1085"/>
      <c r="T229" s="1085"/>
      <c r="U229" s="1085"/>
      <c r="V229" s="1085"/>
      <c r="W229" s="1085"/>
      <c r="X229" s="1085"/>
      <c r="Y229" s="1085"/>
      <c r="Z229" s="1085"/>
      <c r="AA229" s="1085"/>
      <c r="AB229" s="1085"/>
      <c r="AC229" s="1085"/>
      <c r="AD229" s="1085"/>
      <c r="AE229" s="1085"/>
      <c r="AF229" s="1085"/>
      <c r="AG229" s="1085"/>
      <c r="AH229" s="1085"/>
      <c r="AI229" s="1085"/>
      <c r="AJ229" s="1085"/>
      <c r="AK229" s="1085"/>
      <c r="AL229" s="1085"/>
      <c r="AM229" s="1085"/>
      <c r="AN229" s="1085"/>
      <c r="AO229" s="1085"/>
      <c r="AP229" s="1085"/>
      <c r="AQ229" s="1085"/>
      <c r="AR229" s="1085"/>
      <c r="AS229" s="1085"/>
      <c r="AT229" s="1085"/>
      <c r="AU229" s="1085"/>
      <c r="AV229" s="1085"/>
      <c r="AW229" s="1085"/>
      <c r="AX229" s="1085"/>
      <c r="AY229" s="1085"/>
      <c r="AZ229" s="1085"/>
      <c r="BA229" s="1085"/>
      <c r="BB229" s="1085"/>
      <c r="BC229" s="1085"/>
      <c r="BD229" s="1081"/>
      <c r="BE229" s="1081"/>
    </row>
    <row r="230" spans="1:57" ht="15.75" customHeight="1">
      <c r="A230" s="1085"/>
      <c r="B230" s="1092"/>
      <c r="C230" s="1085"/>
      <c r="D230" s="1085"/>
      <c r="E230" s="1085"/>
      <c r="F230" s="1085"/>
      <c r="G230" s="1085"/>
      <c r="H230" s="2219" t="s">
        <v>2660</v>
      </c>
      <c r="I230" s="2219"/>
      <c r="J230" s="2219"/>
      <c r="K230" s="2219"/>
      <c r="L230" s="2219"/>
      <c r="M230" s="2219"/>
      <c r="N230" s="2219"/>
      <c r="O230" s="2219"/>
      <c r="P230" s="2219"/>
      <c r="Q230" s="2219"/>
      <c r="R230" s="2219"/>
      <c r="S230" s="2219"/>
      <c r="T230" s="2219"/>
      <c r="U230" s="2219"/>
      <c r="V230" s="2219"/>
      <c r="W230" s="2219"/>
      <c r="X230" s="2219"/>
      <c r="Y230" s="2219"/>
      <c r="Z230" s="2219"/>
      <c r="AA230" s="2219"/>
      <c r="AB230" s="2219"/>
      <c r="AC230" s="2219"/>
      <c r="AD230" s="2219"/>
      <c r="AE230" s="2219"/>
      <c r="AF230" s="2219"/>
      <c r="AG230" s="2219"/>
      <c r="AH230" s="2219"/>
      <c r="AI230" s="2219"/>
      <c r="AJ230" s="2219"/>
      <c r="AK230" s="2219"/>
      <c r="AL230" s="2219"/>
      <c r="AM230" s="2219"/>
      <c r="AN230" s="2219"/>
      <c r="AO230" s="2219"/>
      <c r="AP230" s="2219"/>
      <c r="AQ230" s="2219"/>
      <c r="AR230" s="2219"/>
      <c r="AS230" s="2219"/>
      <c r="AT230" s="2219"/>
      <c r="AU230" s="2219"/>
      <c r="AV230" s="2219"/>
      <c r="AW230" s="2219"/>
      <c r="AX230" s="2219"/>
      <c r="AY230" s="2219"/>
      <c r="AZ230" s="2219"/>
      <c r="BA230" s="1085"/>
      <c r="BB230" s="1085"/>
      <c r="BC230" s="1085"/>
      <c r="BD230" s="1081"/>
      <c r="BE230" s="1081"/>
    </row>
    <row r="231" spans="1:57" ht="15.75" customHeight="1">
      <c r="A231" s="1085"/>
      <c r="B231" s="1091"/>
      <c r="C231" s="1085"/>
      <c r="D231" s="1085"/>
      <c r="E231" s="1085"/>
      <c r="F231" s="1085"/>
      <c r="G231" s="1085"/>
      <c r="H231" s="2219"/>
      <c r="I231" s="2219"/>
      <c r="J231" s="2219"/>
      <c r="K231" s="2219"/>
      <c r="L231" s="2219"/>
      <c r="M231" s="2219"/>
      <c r="N231" s="2219"/>
      <c r="O231" s="2219"/>
      <c r="P231" s="2219"/>
      <c r="Q231" s="2219"/>
      <c r="R231" s="2219"/>
      <c r="S231" s="2219"/>
      <c r="T231" s="2219"/>
      <c r="U231" s="2219"/>
      <c r="V231" s="2219"/>
      <c r="W231" s="2219"/>
      <c r="X231" s="2219"/>
      <c r="Y231" s="2219"/>
      <c r="Z231" s="2219"/>
      <c r="AA231" s="2219"/>
      <c r="AB231" s="2219"/>
      <c r="AC231" s="2219"/>
      <c r="AD231" s="2219"/>
      <c r="AE231" s="2219"/>
      <c r="AF231" s="2219"/>
      <c r="AG231" s="2219"/>
      <c r="AH231" s="2219"/>
      <c r="AI231" s="2219"/>
      <c r="AJ231" s="2219"/>
      <c r="AK231" s="2219"/>
      <c r="AL231" s="2219"/>
      <c r="AM231" s="2219"/>
      <c r="AN231" s="2219"/>
      <c r="AO231" s="2219"/>
      <c r="AP231" s="2219"/>
      <c r="AQ231" s="2219"/>
      <c r="AR231" s="2219"/>
      <c r="AS231" s="2219"/>
      <c r="AT231" s="2219"/>
      <c r="AU231" s="2219"/>
      <c r="AV231" s="2219"/>
      <c r="AW231" s="2219"/>
      <c r="AX231" s="2219"/>
      <c r="AY231" s="2219"/>
      <c r="AZ231" s="2219"/>
      <c r="BA231" s="1085"/>
      <c r="BB231" s="1085"/>
      <c r="BC231" s="1085"/>
      <c r="BD231" s="1081"/>
      <c r="BE231" s="1081"/>
    </row>
    <row r="232" spans="1:57" ht="15.75" customHeight="1">
      <c r="A232" s="1085"/>
      <c r="B232" s="1091"/>
      <c r="C232" s="1085"/>
      <c r="D232" s="1085"/>
      <c r="E232" s="1085"/>
      <c r="F232" s="1085"/>
      <c r="G232" s="1085"/>
      <c r="H232" s="2219"/>
      <c r="I232" s="2219"/>
      <c r="J232" s="2219"/>
      <c r="K232" s="2219"/>
      <c r="L232" s="2219"/>
      <c r="M232" s="2219"/>
      <c r="N232" s="2219"/>
      <c r="O232" s="2219"/>
      <c r="P232" s="2219"/>
      <c r="Q232" s="2219"/>
      <c r="R232" s="2219"/>
      <c r="S232" s="2219"/>
      <c r="T232" s="2219"/>
      <c r="U232" s="2219"/>
      <c r="V232" s="2219"/>
      <c r="W232" s="2219"/>
      <c r="X232" s="2219"/>
      <c r="Y232" s="2219"/>
      <c r="Z232" s="2219"/>
      <c r="AA232" s="2219"/>
      <c r="AB232" s="2219"/>
      <c r="AC232" s="2219"/>
      <c r="AD232" s="2219"/>
      <c r="AE232" s="2219"/>
      <c r="AF232" s="2219"/>
      <c r="AG232" s="2219"/>
      <c r="AH232" s="2219"/>
      <c r="AI232" s="2219"/>
      <c r="AJ232" s="2219"/>
      <c r="AK232" s="2219"/>
      <c r="AL232" s="2219"/>
      <c r="AM232" s="2219"/>
      <c r="AN232" s="2219"/>
      <c r="AO232" s="2219"/>
      <c r="AP232" s="2219"/>
      <c r="AQ232" s="2219"/>
      <c r="AR232" s="2219"/>
      <c r="AS232" s="2219"/>
      <c r="AT232" s="2219"/>
      <c r="AU232" s="2219"/>
      <c r="AV232" s="2219"/>
      <c r="AW232" s="2219"/>
      <c r="AX232" s="2219"/>
      <c r="AY232" s="2219"/>
      <c r="AZ232" s="2219"/>
      <c r="BA232" s="1085"/>
      <c r="BB232" s="1085"/>
      <c r="BC232" s="1085"/>
      <c r="BD232" s="1081"/>
      <c r="BE232" s="1081"/>
    </row>
    <row r="233" spans="1:57" ht="15.75" customHeight="1">
      <c r="A233" s="1085"/>
      <c r="B233" s="1091"/>
      <c r="C233" s="1085"/>
      <c r="D233" s="1085"/>
      <c r="E233" s="1085"/>
      <c r="F233" s="1085"/>
      <c r="G233" s="1085"/>
      <c r="H233" s="2219"/>
      <c r="I233" s="2219"/>
      <c r="J233" s="2219"/>
      <c r="K233" s="2219"/>
      <c r="L233" s="2219"/>
      <c r="M233" s="2219"/>
      <c r="N233" s="2219"/>
      <c r="O233" s="2219"/>
      <c r="P233" s="2219"/>
      <c r="Q233" s="2219"/>
      <c r="R233" s="2219"/>
      <c r="S233" s="2219"/>
      <c r="T233" s="2219"/>
      <c r="U233" s="2219"/>
      <c r="V233" s="2219"/>
      <c r="W233" s="2219"/>
      <c r="X233" s="2219"/>
      <c r="Y233" s="2219"/>
      <c r="Z233" s="2219"/>
      <c r="AA233" s="2219"/>
      <c r="AB233" s="2219"/>
      <c r="AC233" s="2219"/>
      <c r="AD233" s="2219"/>
      <c r="AE233" s="2219"/>
      <c r="AF233" s="2219"/>
      <c r="AG233" s="2219"/>
      <c r="AH233" s="2219"/>
      <c r="AI233" s="2219"/>
      <c r="AJ233" s="2219"/>
      <c r="AK233" s="2219"/>
      <c r="AL233" s="2219"/>
      <c r="AM233" s="2219"/>
      <c r="AN233" s="2219"/>
      <c r="AO233" s="2219"/>
      <c r="AP233" s="2219"/>
      <c r="AQ233" s="2219"/>
      <c r="AR233" s="2219"/>
      <c r="AS233" s="2219"/>
      <c r="AT233" s="2219"/>
      <c r="AU233" s="2219"/>
      <c r="AV233" s="2219"/>
      <c r="AW233" s="2219"/>
      <c r="AX233" s="2219"/>
      <c r="AY233" s="2219"/>
      <c r="AZ233" s="2219"/>
      <c r="BA233" s="1085"/>
      <c r="BB233" s="1085"/>
      <c r="BC233" s="1085"/>
      <c r="BD233" s="1081"/>
      <c r="BE233" s="1081"/>
    </row>
    <row r="234" spans="1:57" ht="15.75" customHeight="1">
      <c r="A234" s="1085"/>
      <c r="B234" s="1091"/>
      <c r="C234" s="1085"/>
      <c r="D234" s="1085"/>
      <c r="E234" s="1085"/>
      <c r="F234" s="1085"/>
      <c r="G234" s="1085"/>
      <c r="H234" s="1085"/>
      <c r="I234" s="1085"/>
      <c r="J234" s="1085"/>
      <c r="K234" s="1085"/>
      <c r="L234" s="1085"/>
      <c r="M234" s="1085"/>
      <c r="N234" s="1085"/>
      <c r="O234" s="1085"/>
      <c r="P234" s="1085"/>
      <c r="Q234" s="1085"/>
      <c r="R234" s="1085"/>
      <c r="S234" s="1085"/>
      <c r="T234" s="1085"/>
      <c r="U234" s="1085"/>
      <c r="V234" s="1085"/>
      <c r="W234" s="1085"/>
      <c r="X234" s="1085"/>
      <c r="Y234" s="1085"/>
      <c r="Z234" s="1085"/>
      <c r="AA234" s="1085"/>
      <c r="AB234" s="1085"/>
      <c r="AC234" s="1085"/>
      <c r="AD234" s="1085"/>
      <c r="AE234" s="1085"/>
      <c r="AF234" s="1085"/>
      <c r="AG234" s="1085"/>
      <c r="AH234" s="1085"/>
      <c r="AI234" s="1085"/>
      <c r="AJ234" s="1085"/>
      <c r="AK234" s="1085"/>
      <c r="AL234" s="1085"/>
      <c r="AM234" s="1085"/>
      <c r="AN234" s="1085"/>
      <c r="AO234" s="1085"/>
      <c r="AP234" s="1085"/>
      <c r="AQ234" s="1085"/>
      <c r="AR234" s="1085"/>
      <c r="AS234" s="1085"/>
      <c r="AT234" s="1085"/>
      <c r="AU234" s="1085"/>
      <c r="AV234" s="1085"/>
      <c r="AW234" s="1085"/>
      <c r="AX234" s="1085"/>
      <c r="AY234" s="1085"/>
      <c r="AZ234" s="1085"/>
      <c r="BA234" s="1085"/>
      <c r="BB234" s="1085"/>
      <c r="BC234" s="1085"/>
      <c r="BD234" s="1081"/>
      <c r="BE234" s="1081"/>
    </row>
    <row r="235" spans="1:57" ht="15.75" customHeight="1" thickBot="1">
      <c r="A235" s="1085"/>
      <c r="B235" s="1090"/>
      <c r="C235" s="1080"/>
      <c r="D235" s="1080"/>
      <c r="E235" s="1080"/>
      <c r="F235" s="1080"/>
      <c r="G235" s="1080"/>
      <c r="H235" s="2218" t="s">
        <v>2661</v>
      </c>
      <c r="I235" s="2218"/>
      <c r="J235" s="2218"/>
      <c r="K235" s="2218"/>
      <c r="L235" s="2218"/>
      <c r="M235" s="2218"/>
      <c r="N235" s="2218"/>
      <c r="O235" s="2218"/>
      <c r="P235" s="2218"/>
      <c r="Q235" s="2218"/>
      <c r="R235" s="2218"/>
      <c r="S235" s="2218"/>
      <c r="T235" s="2218"/>
      <c r="U235" s="2218"/>
      <c r="V235" s="2218"/>
      <c r="W235" s="2218"/>
      <c r="X235" s="2218"/>
      <c r="Y235" s="2218"/>
      <c r="Z235" s="2218"/>
      <c r="AA235" s="2218"/>
      <c r="AB235" s="2218"/>
      <c r="AC235" s="2218"/>
      <c r="AD235" s="2218"/>
      <c r="AE235" s="2218"/>
      <c r="AF235" s="2218"/>
      <c r="AG235" s="2218"/>
      <c r="AH235" s="2218"/>
      <c r="AI235" s="2218"/>
      <c r="AJ235" s="2218"/>
      <c r="AK235" s="2218"/>
      <c r="AL235" s="2218"/>
      <c r="AM235" s="2218"/>
      <c r="AN235" s="2218"/>
      <c r="AO235" s="2218"/>
      <c r="AP235" s="2218"/>
      <c r="AQ235" s="2218"/>
      <c r="AR235" s="2218"/>
      <c r="AS235" s="2218"/>
      <c r="AT235" s="2218"/>
      <c r="AU235" s="2218"/>
      <c r="AV235" s="2218"/>
      <c r="AW235" s="1080"/>
      <c r="AX235" s="1080"/>
      <c r="AY235" s="1080"/>
      <c r="AZ235" s="1080"/>
      <c r="BA235" s="1080"/>
      <c r="BB235" s="1080"/>
      <c r="BC235" s="1080"/>
      <c r="BD235" s="1079"/>
      <c r="BE235" s="1081"/>
    </row>
    <row r="236" spans="1:57" ht="15.75" customHeight="1" thickBot="1">
      <c r="A236" s="1085"/>
      <c r="B236" s="1088"/>
      <c r="C236" s="1087"/>
      <c r="D236" s="1087"/>
      <c r="E236" s="1087"/>
      <c r="F236" s="1087"/>
      <c r="G236" s="1087"/>
      <c r="H236" s="1087"/>
      <c r="I236" s="1087"/>
      <c r="J236" s="1087"/>
      <c r="K236" s="1087"/>
      <c r="L236" s="1087"/>
      <c r="M236" s="1087"/>
      <c r="N236" s="1087"/>
      <c r="O236" s="1087"/>
      <c r="P236" s="1087"/>
      <c r="Q236" s="1087"/>
      <c r="R236" s="1087"/>
      <c r="S236" s="1087"/>
      <c r="T236" s="1087"/>
      <c r="U236" s="1087"/>
      <c r="V236" s="1087"/>
      <c r="W236" s="1087"/>
      <c r="X236" s="1087"/>
      <c r="Y236" s="1087"/>
      <c r="Z236" s="1087"/>
      <c r="AA236" s="1087"/>
      <c r="AB236" s="1087"/>
      <c r="AC236" s="1087"/>
      <c r="AD236" s="1087"/>
      <c r="AE236" s="1087"/>
      <c r="AF236" s="1087"/>
      <c r="AG236" s="1087"/>
      <c r="AH236" s="1087"/>
      <c r="AI236" s="1087"/>
      <c r="AJ236" s="1087"/>
      <c r="AK236" s="1087"/>
      <c r="AL236" s="1087"/>
      <c r="AM236" s="1087"/>
      <c r="AN236" s="1087"/>
      <c r="AO236" s="1087"/>
      <c r="AP236" s="1087"/>
      <c r="AQ236" s="1087"/>
      <c r="AR236" s="1087"/>
      <c r="AS236" s="1087"/>
      <c r="AT236" s="1087"/>
      <c r="AU236" s="1087"/>
      <c r="AV236" s="1087"/>
      <c r="AW236" s="1087"/>
      <c r="AX236" s="1087"/>
      <c r="AY236" s="1087"/>
      <c r="AZ236" s="1087"/>
      <c r="BA236" s="1087"/>
      <c r="BB236" s="1087"/>
      <c r="BC236" s="1087"/>
      <c r="BD236" s="1086"/>
      <c r="BE236" s="1081"/>
    </row>
    <row r="237" spans="1:57" ht="30" customHeight="1" thickBot="1">
      <c r="A237" s="1085"/>
      <c r="B237" s="1088"/>
      <c r="C237" s="1087"/>
      <c r="D237" s="1087"/>
      <c r="E237" s="1087"/>
      <c r="F237" s="1087"/>
      <c r="G237" s="1087"/>
      <c r="H237" s="2194" t="s">
        <v>2662</v>
      </c>
      <c r="I237" s="2194"/>
      <c r="J237" s="2194"/>
      <c r="K237" s="2194"/>
      <c r="L237" s="1087"/>
      <c r="M237" s="1087"/>
      <c r="N237" s="1087"/>
      <c r="O237" s="1087"/>
      <c r="P237" s="1087"/>
      <c r="Q237" s="1087"/>
      <c r="R237" s="1087"/>
      <c r="S237" s="2215"/>
      <c r="T237" s="2216"/>
      <c r="U237" s="2216"/>
      <c r="V237" s="2216"/>
      <c r="W237" s="2216"/>
      <c r="X237" s="2216"/>
      <c r="Y237" s="2216"/>
      <c r="Z237" s="2216"/>
      <c r="AA237" s="2216"/>
      <c r="AB237" s="2216"/>
      <c r="AC237" s="2216"/>
      <c r="AD237" s="2216"/>
      <c r="AE237" s="2216"/>
      <c r="AF237" s="2216"/>
      <c r="AG237" s="2216"/>
      <c r="AH237" s="2216"/>
      <c r="AI237" s="2216"/>
      <c r="AJ237" s="2217"/>
      <c r="AK237" s="1087"/>
      <c r="AL237" s="1087"/>
      <c r="AM237" s="1087"/>
      <c r="AN237" s="1087"/>
      <c r="AO237" s="1087"/>
      <c r="AP237" s="1087"/>
      <c r="AQ237" s="1087"/>
      <c r="AR237" s="1087"/>
      <c r="AS237" s="1087"/>
      <c r="AT237" s="1087"/>
      <c r="AU237" s="1087"/>
      <c r="AV237" s="1087"/>
      <c r="AW237" s="1087"/>
      <c r="AX237" s="1087"/>
      <c r="AY237" s="1087"/>
      <c r="AZ237" s="1087"/>
      <c r="BA237" s="1087"/>
      <c r="BB237" s="1087"/>
      <c r="BC237" s="1087"/>
      <c r="BD237" s="1086"/>
      <c r="BE237" s="1081"/>
    </row>
    <row r="238" spans="1:57" ht="15.75" customHeight="1" thickBot="1">
      <c r="A238" s="1085"/>
      <c r="B238" s="1088"/>
      <c r="C238" s="1087"/>
      <c r="D238" s="1087"/>
      <c r="E238" s="1087"/>
      <c r="F238" s="1087"/>
      <c r="G238" s="1087"/>
      <c r="H238" s="1089"/>
      <c r="I238" s="1089"/>
      <c r="J238" s="1089"/>
      <c r="K238" s="1089"/>
      <c r="L238" s="1087"/>
      <c r="M238" s="1087"/>
      <c r="N238" s="1087"/>
      <c r="O238" s="1087"/>
      <c r="P238" s="1087"/>
      <c r="Q238" s="1087"/>
      <c r="R238" s="1087"/>
      <c r="S238" s="1087"/>
      <c r="T238" s="1087"/>
      <c r="U238" s="1087"/>
      <c r="V238" s="1087"/>
      <c r="W238" s="1087"/>
      <c r="X238" s="1087"/>
      <c r="Y238" s="1087"/>
      <c r="Z238" s="1087"/>
      <c r="AA238" s="1087"/>
      <c r="AB238" s="1087"/>
      <c r="AC238" s="1087"/>
      <c r="AD238" s="1087"/>
      <c r="AE238" s="1087"/>
      <c r="AF238" s="1087"/>
      <c r="AG238" s="1087"/>
      <c r="AH238" s="1087"/>
      <c r="AI238" s="1087"/>
      <c r="AJ238" s="1087"/>
      <c r="AK238" s="1087"/>
      <c r="AL238" s="1087"/>
      <c r="AM238" s="1087"/>
      <c r="AN238" s="1087"/>
      <c r="AO238" s="1087"/>
      <c r="AP238" s="1087"/>
      <c r="AQ238" s="1087"/>
      <c r="AR238" s="1087"/>
      <c r="AS238" s="1087"/>
      <c r="AT238" s="1087"/>
      <c r="AU238" s="1087"/>
      <c r="AV238" s="1087"/>
      <c r="AW238" s="1087"/>
      <c r="AX238" s="1087"/>
      <c r="AY238" s="1087"/>
      <c r="AZ238" s="1087"/>
      <c r="BA238" s="1087"/>
      <c r="BB238" s="1087"/>
      <c r="BC238" s="1087"/>
      <c r="BD238" s="1086"/>
      <c r="BE238" s="1081"/>
    </row>
    <row r="239" spans="1:57" ht="15.75" customHeight="1" thickBot="1">
      <c r="A239" s="1085"/>
      <c r="B239" s="1088"/>
      <c r="C239" s="1087"/>
      <c r="D239" s="1087"/>
      <c r="E239" s="1087"/>
      <c r="F239" s="1087"/>
      <c r="G239" s="1087"/>
      <c r="H239" s="2194" t="s">
        <v>2562</v>
      </c>
      <c r="I239" s="2194"/>
      <c r="J239" s="2194"/>
      <c r="K239" s="1089"/>
      <c r="L239" s="1087"/>
      <c r="M239" s="1087"/>
      <c r="N239" s="1087"/>
      <c r="O239" s="1087"/>
      <c r="P239" s="1087"/>
      <c r="Q239" s="1087"/>
      <c r="R239" s="1087"/>
      <c r="S239" s="2212"/>
      <c r="T239" s="2213"/>
      <c r="U239" s="2213"/>
      <c r="V239" s="2213"/>
      <c r="W239" s="2213"/>
      <c r="X239" s="2213"/>
      <c r="Y239" s="2213"/>
      <c r="Z239" s="2213"/>
      <c r="AA239" s="2213"/>
      <c r="AB239" s="2213"/>
      <c r="AC239" s="2213"/>
      <c r="AD239" s="2213"/>
      <c r="AE239" s="2213"/>
      <c r="AF239" s="2213"/>
      <c r="AG239" s="2213"/>
      <c r="AH239" s="2213"/>
      <c r="AI239" s="2213"/>
      <c r="AJ239" s="2214"/>
      <c r="AK239" s="1087"/>
      <c r="AL239" s="1087"/>
      <c r="AM239" s="1087"/>
      <c r="AN239" s="1087"/>
      <c r="AO239" s="1087"/>
      <c r="AP239" s="1087"/>
      <c r="AQ239" s="1087"/>
      <c r="AR239" s="1087"/>
      <c r="AS239" s="1087"/>
      <c r="AT239" s="1087"/>
      <c r="AU239" s="1087"/>
      <c r="AV239" s="1087"/>
      <c r="AW239" s="1087"/>
      <c r="AX239" s="1087"/>
      <c r="AY239" s="1087"/>
      <c r="AZ239" s="1087"/>
      <c r="BA239" s="1087"/>
      <c r="BB239" s="1087"/>
      <c r="BC239" s="1087"/>
      <c r="BD239" s="1086"/>
      <c r="BE239" s="1081"/>
    </row>
    <row r="240" spans="1:57" ht="15.75" customHeight="1" thickBot="1">
      <c r="A240" s="1085"/>
      <c r="B240" s="1088"/>
      <c r="C240" s="1087"/>
      <c r="D240" s="1087"/>
      <c r="E240" s="1087"/>
      <c r="F240" s="1087"/>
      <c r="G240" s="1087"/>
      <c r="H240" s="1089"/>
      <c r="I240" s="1089"/>
      <c r="J240" s="1089"/>
      <c r="K240" s="1089"/>
      <c r="L240" s="1087"/>
      <c r="M240" s="1087"/>
      <c r="N240" s="1087"/>
      <c r="O240" s="1087"/>
      <c r="P240" s="1087"/>
      <c r="Q240" s="1087"/>
      <c r="R240" s="1087"/>
      <c r="S240" s="1087"/>
      <c r="T240" s="1087"/>
      <c r="U240" s="1087"/>
      <c r="V240" s="1087"/>
      <c r="W240" s="1087"/>
      <c r="X240" s="1087"/>
      <c r="Y240" s="1087"/>
      <c r="Z240" s="1087"/>
      <c r="AA240" s="1087"/>
      <c r="AB240" s="1087"/>
      <c r="AC240" s="1087"/>
      <c r="AD240" s="1087"/>
      <c r="AE240" s="1087"/>
      <c r="AF240" s="1087"/>
      <c r="AG240" s="1087"/>
      <c r="AH240" s="1087"/>
      <c r="AI240" s="1087"/>
      <c r="AJ240" s="1087"/>
      <c r="AK240" s="1087"/>
      <c r="AL240" s="1087"/>
      <c r="AM240" s="1087"/>
      <c r="AN240" s="1087"/>
      <c r="AO240" s="1087"/>
      <c r="AP240" s="1087"/>
      <c r="AQ240" s="1087"/>
      <c r="AR240" s="1087"/>
      <c r="AS240" s="1087"/>
      <c r="AT240" s="1087"/>
      <c r="AU240" s="1087"/>
      <c r="AV240" s="1087"/>
      <c r="AW240" s="1087"/>
      <c r="AX240" s="1087"/>
      <c r="AY240" s="1087"/>
      <c r="AZ240" s="1087"/>
      <c r="BA240" s="1087"/>
      <c r="BB240" s="1087"/>
      <c r="BC240" s="1087"/>
      <c r="BD240" s="1086"/>
      <c r="BE240" s="1081"/>
    </row>
    <row r="241" spans="1:57" ht="15.75" customHeight="1" thickBot="1">
      <c r="A241" s="1085"/>
      <c r="B241" s="1088"/>
      <c r="C241" s="1087"/>
      <c r="D241" s="1087"/>
      <c r="E241" s="1087"/>
      <c r="F241" s="1087"/>
      <c r="G241" s="1087"/>
      <c r="H241" s="2194" t="s">
        <v>870</v>
      </c>
      <c r="I241" s="2194"/>
      <c r="J241" s="1089"/>
      <c r="K241" s="1089"/>
      <c r="L241" s="1087"/>
      <c r="M241" s="1087"/>
      <c r="N241" s="1087"/>
      <c r="O241" s="1087"/>
      <c r="P241" s="1087"/>
      <c r="Q241" s="1087"/>
      <c r="R241" s="1087"/>
      <c r="S241" s="2212"/>
      <c r="T241" s="2213"/>
      <c r="U241" s="2213"/>
      <c r="V241" s="2213"/>
      <c r="W241" s="2213"/>
      <c r="X241" s="2213"/>
      <c r="Y241" s="2213"/>
      <c r="Z241" s="2213"/>
      <c r="AA241" s="2213"/>
      <c r="AB241" s="2213"/>
      <c r="AC241" s="2213"/>
      <c r="AD241" s="2213"/>
      <c r="AE241" s="2213"/>
      <c r="AF241" s="2213"/>
      <c r="AG241" s="2213"/>
      <c r="AH241" s="2213"/>
      <c r="AI241" s="2213"/>
      <c r="AJ241" s="2214"/>
      <c r="AK241" s="1087"/>
      <c r="AL241" s="1087"/>
      <c r="AM241" s="1087"/>
      <c r="AN241" s="1087"/>
      <c r="AO241" s="1087"/>
      <c r="AP241" s="1087"/>
      <c r="AQ241" s="1087"/>
      <c r="AR241" s="1087"/>
      <c r="AS241" s="1087"/>
      <c r="AT241" s="1087"/>
      <c r="AU241" s="1087"/>
      <c r="AV241" s="1087"/>
      <c r="AW241" s="1087"/>
      <c r="AX241" s="1087"/>
      <c r="AY241" s="1087"/>
      <c r="AZ241" s="1087"/>
      <c r="BA241" s="1087"/>
      <c r="BB241" s="1087"/>
      <c r="BC241" s="1087"/>
      <c r="BD241" s="1086"/>
      <c r="BE241" s="1081"/>
    </row>
    <row r="242" spans="1:57" ht="15.75" customHeight="1" thickBot="1">
      <c r="A242" s="1085"/>
      <c r="B242" s="1088"/>
      <c r="C242" s="1087"/>
      <c r="D242" s="1087"/>
      <c r="E242" s="1087"/>
      <c r="F242" s="1087"/>
      <c r="G242" s="1087"/>
      <c r="H242" s="1087"/>
      <c r="I242" s="1087"/>
      <c r="J242" s="1087"/>
      <c r="K242" s="1087"/>
      <c r="L242" s="1087"/>
      <c r="M242" s="1087"/>
      <c r="N242" s="1087"/>
      <c r="O242" s="1087"/>
      <c r="P242" s="1087"/>
      <c r="Q242" s="1087"/>
      <c r="R242" s="1087"/>
      <c r="S242" s="1087"/>
      <c r="T242" s="1087"/>
      <c r="U242" s="1087"/>
      <c r="V242" s="1087"/>
      <c r="W242" s="1087"/>
      <c r="X242" s="1087"/>
      <c r="Y242" s="1087"/>
      <c r="Z242" s="1087"/>
      <c r="AA242" s="1087"/>
      <c r="AB242" s="1087"/>
      <c r="AC242" s="1087"/>
      <c r="AD242" s="1087"/>
      <c r="AE242" s="1087"/>
      <c r="AF242" s="1087"/>
      <c r="AG242" s="1087"/>
      <c r="AH242" s="1087"/>
      <c r="AI242" s="1087"/>
      <c r="AJ242" s="1087"/>
      <c r="AK242" s="1087"/>
      <c r="AL242" s="1087"/>
      <c r="AM242" s="1087"/>
      <c r="AN242" s="1087"/>
      <c r="AO242" s="1087"/>
      <c r="AP242" s="1087"/>
      <c r="AQ242" s="1087"/>
      <c r="AR242" s="1087"/>
      <c r="AS242" s="1087"/>
      <c r="AT242" s="1087"/>
      <c r="AU242" s="1087"/>
      <c r="AV242" s="1087"/>
      <c r="AW242" s="1087"/>
      <c r="AX242" s="1087"/>
      <c r="AY242" s="1087"/>
      <c r="AZ242" s="1087"/>
      <c r="BA242" s="1087"/>
      <c r="BB242" s="1087"/>
      <c r="BC242" s="1087"/>
      <c r="BD242" s="1086"/>
      <c r="BE242" s="1081"/>
    </row>
    <row r="243" spans="1:57" ht="15.75" customHeight="1" thickBot="1">
      <c r="A243" s="1085"/>
      <c r="B243" s="1088"/>
      <c r="C243" s="1087"/>
      <c r="D243" s="1087"/>
      <c r="E243" s="1087"/>
      <c r="F243" s="1087"/>
      <c r="G243" s="1087"/>
      <c r="H243" s="2195" t="s">
        <v>2663</v>
      </c>
      <c r="I243" s="2195"/>
      <c r="J243" s="2195"/>
      <c r="K243" s="2195"/>
      <c r="L243" s="2195"/>
      <c r="M243" s="2195"/>
      <c r="N243" s="2195"/>
      <c r="O243" s="2195"/>
      <c r="P243" s="1087"/>
      <c r="Q243" s="1087"/>
      <c r="R243" s="1087"/>
      <c r="S243" s="2212"/>
      <c r="T243" s="2213"/>
      <c r="U243" s="2213"/>
      <c r="V243" s="2213"/>
      <c r="W243" s="2213"/>
      <c r="X243" s="2213"/>
      <c r="Y243" s="2213"/>
      <c r="Z243" s="2213"/>
      <c r="AA243" s="2213"/>
      <c r="AB243" s="2213"/>
      <c r="AC243" s="2213"/>
      <c r="AD243" s="2213"/>
      <c r="AE243" s="2213"/>
      <c r="AF243" s="2213"/>
      <c r="AG243" s="2213"/>
      <c r="AH243" s="2213"/>
      <c r="AI243" s="2213"/>
      <c r="AJ243" s="2214"/>
      <c r="AK243" s="1087"/>
      <c r="AL243" s="1087"/>
      <c r="AM243" s="1087"/>
      <c r="AN243" s="1087"/>
      <c r="AO243" s="1087"/>
      <c r="AP243" s="1087"/>
      <c r="AQ243" s="1087"/>
      <c r="AR243" s="1087"/>
      <c r="AS243" s="1087"/>
      <c r="AT243" s="1087"/>
      <c r="AU243" s="1087"/>
      <c r="AV243" s="1087"/>
      <c r="AW243" s="1087"/>
      <c r="AX243" s="1087"/>
      <c r="AY243" s="1087"/>
      <c r="AZ243" s="1087"/>
      <c r="BA243" s="1087"/>
      <c r="BB243" s="1087"/>
      <c r="BC243" s="1087"/>
      <c r="BD243" s="1086"/>
      <c r="BE243" s="1081"/>
    </row>
    <row r="244" spans="1:57" ht="15.75" customHeight="1" thickBot="1">
      <c r="A244" s="1085"/>
      <c r="B244" s="1088"/>
      <c r="C244" s="1087"/>
      <c r="D244" s="1087"/>
      <c r="E244" s="1087"/>
      <c r="F244" s="1087"/>
      <c r="G244" s="1087"/>
      <c r="H244" s="1087"/>
      <c r="I244" s="1087"/>
      <c r="J244" s="1087"/>
      <c r="K244" s="1087"/>
      <c r="L244" s="1087"/>
      <c r="M244" s="1087"/>
      <c r="N244" s="1087"/>
      <c r="O244" s="1087"/>
      <c r="P244" s="1087"/>
      <c r="Q244" s="1087"/>
      <c r="R244" s="1087"/>
      <c r="S244" s="1087"/>
      <c r="T244" s="1087"/>
      <c r="U244" s="1087"/>
      <c r="V244" s="1087"/>
      <c r="W244" s="1087"/>
      <c r="X244" s="1087"/>
      <c r="Y244" s="1087"/>
      <c r="Z244" s="1087"/>
      <c r="AA244" s="1087"/>
      <c r="AB244" s="1087"/>
      <c r="AC244" s="1087"/>
      <c r="AD244" s="1087"/>
      <c r="AE244" s="1087"/>
      <c r="AF244" s="1087"/>
      <c r="AG244" s="1087"/>
      <c r="AH244" s="1087"/>
      <c r="AI244" s="1087"/>
      <c r="AJ244" s="1087"/>
      <c r="AK244" s="1087"/>
      <c r="AL244" s="1087"/>
      <c r="AM244" s="1087"/>
      <c r="AN244" s="1087"/>
      <c r="AO244" s="1087"/>
      <c r="AP244" s="1087"/>
      <c r="AQ244" s="1087"/>
      <c r="AR244" s="1087"/>
      <c r="AS244" s="1087"/>
      <c r="AT244" s="1087"/>
      <c r="AU244" s="1087"/>
      <c r="AV244" s="1087"/>
      <c r="AW244" s="1087"/>
      <c r="AX244" s="1087"/>
      <c r="AY244" s="1087"/>
      <c r="AZ244" s="1087"/>
      <c r="BA244" s="1087"/>
      <c r="BB244" s="1087"/>
      <c r="BC244" s="1087"/>
      <c r="BD244" s="1086"/>
      <c r="BE244" s="1081"/>
    </row>
    <row r="245" spans="1:57" ht="15.75" customHeight="1" thickBot="1">
      <c r="A245" s="1085"/>
      <c r="B245" s="1088"/>
      <c r="C245" s="1087"/>
      <c r="D245" s="1087"/>
      <c r="E245" s="1087"/>
      <c r="F245" s="1087"/>
      <c r="G245" s="1087"/>
      <c r="H245" s="2196" t="s">
        <v>2664</v>
      </c>
      <c r="I245" s="2196"/>
      <c r="J245" s="1087"/>
      <c r="K245" s="1087"/>
      <c r="L245" s="1087"/>
      <c r="M245" s="1087"/>
      <c r="N245" s="1087"/>
      <c r="O245" s="1087"/>
      <c r="P245" s="1087"/>
      <c r="Q245" s="1087"/>
      <c r="R245" s="1087"/>
      <c r="S245" s="2209"/>
      <c r="T245" s="2210"/>
      <c r="U245" s="2210"/>
      <c r="V245" s="2210"/>
      <c r="W245" s="2210"/>
      <c r="X245" s="2210"/>
      <c r="Y245" s="2210"/>
      <c r="Z245" s="2210"/>
      <c r="AA245" s="2210"/>
      <c r="AB245" s="2210"/>
      <c r="AC245" s="2210"/>
      <c r="AD245" s="2210"/>
      <c r="AE245" s="2210"/>
      <c r="AF245" s="2210"/>
      <c r="AG245" s="2210"/>
      <c r="AH245" s="2210"/>
      <c r="AI245" s="2210"/>
      <c r="AJ245" s="2211"/>
      <c r="AK245" s="1087"/>
      <c r="AL245" s="1087"/>
      <c r="AM245" s="1087"/>
      <c r="AN245" s="1087"/>
      <c r="AO245" s="1087"/>
      <c r="AP245" s="1087"/>
      <c r="AQ245" s="1087"/>
      <c r="AR245" s="1087"/>
      <c r="AS245" s="1087"/>
      <c r="AT245" s="1087"/>
      <c r="AU245" s="1087"/>
      <c r="AV245" s="1087"/>
      <c r="AW245" s="1087"/>
      <c r="AX245" s="1087"/>
      <c r="AY245" s="1087"/>
      <c r="AZ245" s="1087"/>
      <c r="BA245" s="1087"/>
      <c r="BB245" s="1087"/>
      <c r="BC245" s="1087"/>
      <c r="BD245" s="1086"/>
      <c r="BE245" s="1081"/>
    </row>
    <row r="246" spans="1:57" ht="15.75" customHeight="1" thickBot="1">
      <c r="A246" s="1085"/>
      <c r="B246" s="1084"/>
      <c r="C246" s="1083"/>
      <c r="D246" s="1083"/>
      <c r="E246" s="1083"/>
      <c r="F246" s="1083"/>
      <c r="G246" s="1083"/>
      <c r="H246" s="1083"/>
      <c r="I246" s="1083"/>
      <c r="J246" s="1083"/>
      <c r="K246" s="1083"/>
      <c r="L246" s="1083"/>
      <c r="M246" s="1083"/>
      <c r="N246" s="1083"/>
      <c r="O246" s="1083"/>
      <c r="P246" s="1083"/>
      <c r="Q246" s="1083"/>
      <c r="R246" s="1083"/>
      <c r="S246" s="1083"/>
      <c r="T246" s="1083"/>
      <c r="U246" s="1083"/>
      <c r="V246" s="1083"/>
      <c r="W246" s="1083"/>
      <c r="X246" s="1083"/>
      <c r="Y246" s="1083"/>
      <c r="Z246" s="1083"/>
      <c r="AA246" s="1083"/>
      <c r="AB246" s="1083"/>
      <c r="AC246" s="1083"/>
      <c r="AD246" s="1083"/>
      <c r="AE246" s="1083"/>
      <c r="AF246" s="1083"/>
      <c r="AG246" s="1083"/>
      <c r="AH246" s="1083"/>
      <c r="AI246" s="1083"/>
      <c r="AJ246" s="1083"/>
      <c r="AK246" s="1083"/>
      <c r="AL246" s="1083"/>
      <c r="AM246" s="1083"/>
      <c r="AN246" s="1083"/>
      <c r="AO246" s="1083"/>
      <c r="AP246" s="1083"/>
      <c r="AQ246" s="1083"/>
      <c r="AR246" s="1083"/>
      <c r="AS246" s="1083"/>
      <c r="AT246" s="1083"/>
      <c r="AU246" s="1083"/>
      <c r="AV246" s="1083"/>
      <c r="AW246" s="1083"/>
      <c r="AX246" s="1083"/>
      <c r="AY246" s="1083"/>
      <c r="AZ246" s="1083"/>
      <c r="BA246" s="1083"/>
      <c r="BB246" s="1083"/>
      <c r="BC246" s="1083"/>
      <c r="BD246" s="1082"/>
      <c r="BE246" s="1081"/>
    </row>
    <row r="247" spans="1:57" ht="15.75" customHeight="1" thickBot="1">
      <c r="A247" s="1080"/>
      <c r="B247" s="1080"/>
      <c r="C247" s="1080"/>
      <c r="D247" s="1080"/>
      <c r="E247" s="1080"/>
      <c r="F247" s="1080"/>
      <c r="G247" s="1080"/>
      <c r="H247" s="1080"/>
      <c r="I247" s="1080"/>
      <c r="J247" s="1080"/>
      <c r="K247" s="1080"/>
      <c r="L247" s="1080"/>
      <c r="M247" s="1080"/>
      <c r="N247" s="1080"/>
      <c r="O247" s="1080"/>
      <c r="P247" s="1080"/>
      <c r="Q247" s="1080"/>
      <c r="R247" s="1080"/>
      <c r="S247" s="1080"/>
      <c r="T247" s="1080"/>
      <c r="U247" s="1080"/>
      <c r="V247" s="1080"/>
      <c r="W247" s="1080"/>
      <c r="X247" s="1080"/>
      <c r="Y247" s="1080"/>
      <c r="Z247" s="1080"/>
      <c r="AA247" s="1080"/>
      <c r="AB247" s="1080"/>
      <c r="AC247" s="1080"/>
      <c r="AD247" s="1080"/>
      <c r="AE247" s="1080"/>
      <c r="AF247" s="1080"/>
      <c r="AG247" s="1080"/>
      <c r="AH247" s="1080"/>
      <c r="AI247" s="1080"/>
      <c r="AJ247" s="1080"/>
      <c r="AK247" s="1080"/>
      <c r="AL247" s="1080"/>
      <c r="AM247" s="1080"/>
      <c r="AN247" s="1080"/>
      <c r="AO247" s="1080"/>
      <c r="AP247" s="1080"/>
      <c r="AQ247" s="1080"/>
      <c r="AR247" s="1080"/>
      <c r="AS247" s="1080"/>
      <c r="AT247" s="1080"/>
      <c r="AU247" s="1080"/>
      <c r="AV247" s="1080"/>
      <c r="AW247" s="1080"/>
      <c r="AX247" s="1080"/>
      <c r="AY247" s="1080"/>
      <c r="AZ247" s="1080"/>
      <c r="BA247" s="1080"/>
      <c r="BB247" s="1080"/>
      <c r="BC247" s="1080"/>
      <c r="BD247" s="1080"/>
      <c r="BE247" s="1079"/>
    </row>
    <row r="250" spans="1:57" ht="15.75" customHeight="1">
      <c r="D250" s="1077"/>
    </row>
    <row r="251" spans="1:57" ht="15.75" customHeight="1">
      <c r="D251" s="1078"/>
    </row>
    <row r="252" spans="1:57" ht="15.75" customHeight="1">
      <c r="D252" s="1077"/>
    </row>
    <row r="253" spans="1:57" ht="15.75" customHeight="1">
      <c r="D253" s="1077"/>
    </row>
    <row r="254" spans="1:57" ht="15.75" customHeight="1">
      <c r="R254" s="1076"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workbookViewId="0">
      <selection activeCell="AL68" sqref="AL68"/>
    </sheetView>
  </sheetViews>
  <sheetFormatPr defaultColWidth="0" defaultRowHeight="13.2" customHeight="1"/>
  <cols>
    <col min="1" max="1" width="1.5546875" style="326" customWidth="1"/>
    <col min="2" max="2" width="0.6640625" style="326" customWidth="1"/>
    <col min="3" max="18" width="2.5546875" style="326" customWidth="1"/>
    <col min="19" max="19" width="6.33203125" style="326" customWidth="1"/>
    <col min="20" max="39" width="2.6640625" style="326" customWidth="1"/>
    <col min="40" max="40" width="1.5546875" style="326" customWidth="1"/>
    <col min="41" max="256" width="2.5546875" style="326" hidden="1"/>
    <col min="257" max="257" width="1.5546875" style="326" hidden="1" customWidth="1"/>
    <col min="258" max="258" width="0.6640625" style="326" hidden="1" customWidth="1"/>
    <col min="259" max="274" width="2.5546875" style="326" hidden="1" customWidth="1"/>
    <col min="275" max="275" width="4" style="326" hidden="1" customWidth="1"/>
    <col min="276" max="279" width="2.5546875" style="326" hidden="1" customWidth="1"/>
    <col min="280" max="280" width="2.44140625" style="326" hidden="1" customWidth="1"/>
    <col min="281" max="284" width="2.5546875" style="326" hidden="1" customWidth="1"/>
    <col min="285" max="285" width="2.44140625" style="326" hidden="1" customWidth="1"/>
    <col min="286" max="289" width="2.5546875" style="326" hidden="1" customWidth="1"/>
    <col min="290" max="295" width="2.44140625" style="326" hidden="1" customWidth="1"/>
    <col min="296" max="296" width="1.5546875" style="326" hidden="1" customWidth="1"/>
    <col min="297" max="512" width="2.5546875" style="326" hidden="1"/>
    <col min="513" max="513" width="1.5546875" style="326" hidden="1" customWidth="1"/>
    <col min="514" max="514" width="0.6640625" style="326" hidden="1" customWidth="1"/>
    <col min="515" max="530" width="2.5546875" style="326" hidden="1" customWidth="1"/>
    <col min="531" max="531" width="4" style="326" hidden="1" customWidth="1"/>
    <col min="532" max="535" width="2.5546875" style="326" hidden="1" customWidth="1"/>
    <col min="536" max="536" width="2.44140625" style="326" hidden="1" customWidth="1"/>
    <col min="537" max="540" width="2.5546875" style="326" hidden="1" customWidth="1"/>
    <col min="541" max="541" width="2.44140625" style="326" hidden="1" customWidth="1"/>
    <col min="542" max="545" width="2.5546875" style="326" hidden="1" customWidth="1"/>
    <col min="546" max="551" width="2.44140625" style="326" hidden="1" customWidth="1"/>
    <col min="552" max="552" width="1.5546875" style="326" hidden="1" customWidth="1"/>
    <col min="553" max="768" width="2.5546875" style="326" hidden="1"/>
    <col min="769" max="769" width="1.5546875" style="326" hidden="1" customWidth="1"/>
    <col min="770" max="770" width="0.6640625" style="326" hidden="1" customWidth="1"/>
    <col min="771" max="786" width="2.5546875" style="326" hidden="1" customWidth="1"/>
    <col min="787" max="787" width="4" style="326" hidden="1" customWidth="1"/>
    <col min="788" max="791" width="2.5546875" style="326" hidden="1" customWidth="1"/>
    <col min="792" max="792" width="2.44140625" style="326" hidden="1" customWidth="1"/>
    <col min="793" max="796" width="2.5546875" style="326" hidden="1" customWidth="1"/>
    <col min="797" max="797" width="2.44140625" style="326" hidden="1" customWidth="1"/>
    <col min="798" max="801" width="2.5546875" style="326" hidden="1" customWidth="1"/>
    <col min="802" max="807" width="2.44140625" style="326" hidden="1" customWidth="1"/>
    <col min="808" max="808" width="1.5546875" style="326" hidden="1" customWidth="1"/>
    <col min="809" max="1024" width="2.5546875" style="326" hidden="1"/>
    <col min="1025" max="1025" width="1.5546875" style="326" hidden="1" customWidth="1"/>
    <col min="1026" max="1026" width="0.6640625" style="326" hidden="1" customWidth="1"/>
    <col min="1027" max="1042" width="2.5546875" style="326" hidden="1" customWidth="1"/>
    <col min="1043" max="1043" width="4" style="326" hidden="1" customWidth="1"/>
    <col min="1044" max="1047" width="2.5546875" style="326" hidden="1" customWidth="1"/>
    <col min="1048" max="1048" width="2.44140625" style="326" hidden="1" customWidth="1"/>
    <col min="1049" max="1052" width="2.5546875" style="326" hidden="1" customWidth="1"/>
    <col min="1053" max="1053" width="2.44140625" style="326" hidden="1" customWidth="1"/>
    <col min="1054" max="1057" width="2.5546875" style="326" hidden="1" customWidth="1"/>
    <col min="1058" max="1063" width="2.44140625" style="326" hidden="1" customWidth="1"/>
    <col min="1064" max="1064" width="1.5546875" style="326" hidden="1" customWidth="1"/>
    <col min="1065" max="1280" width="2.5546875" style="326" hidden="1"/>
    <col min="1281" max="1281" width="1.5546875" style="326" hidden="1" customWidth="1"/>
    <col min="1282" max="1282" width="0.6640625" style="326" hidden="1" customWidth="1"/>
    <col min="1283" max="1298" width="2.5546875" style="326" hidden="1" customWidth="1"/>
    <col min="1299" max="1299" width="4" style="326" hidden="1" customWidth="1"/>
    <col min="1300" max="1303" width="2.5546875" style="326" hidden="1" customWidth="1"/>
    <col min="1304" max="1304" width="2.44140625" style="326" hidden="1" customWidth="1"/>
    <col min="1305" max="1308" width="2.5546875" style="326" hidden="1" customWidth="1"/>
    <col min="1309" max="1309" width="2.44140625" style="326" hidden="1" customWidth="1"/>
    <col min="1310" max="1313" width="2.5546875" style="326" hidden="1" customWidth="1"/>
    <col min="1314" max="1319" width="2.44140625" style="326" hidden="1" customWidth="1"/>
    <col min="1320" max="1320" width="1.5546875" style="326" hidden="1" customWidth="1"/>
    <col min="1321" max="1536" width="2.5546875" style="326" hidden="1"/>
    <col min="1537" max="1537" width="1.5546875" style="326" hidden="1" customWidth="1"/>
    <col min="1538" max="1538" width="0.6640625" style="326" hidden="1" customWidth="1"/>
    <col min="1539" max="1554" width="2.5546875" style="326" hidden="1" customWidth="1"/>
    <col min="1555" max="1555" width="4" style="326" hidden="1" customWidth="1"/>
    <col min="1556" max="1559" width="2.5546875" style="326" hidden="1" customWidth="1"/>
    <col min="1560" max="1560" width="2.44140625" style="326" hidden="1" customWidth="1"/>
    <col min="1561" max="1564" width="2.5546875" style="326" hidden="1" customWidth="1"/>
    <col min="1565" max="1565" width="2.44140625" style="326" hidden="1" customWidth="1"/>
    <col min="1566" max="1569" width="2.5546875" style="326" hidden="1" customWidth="1"/>
    <col min="1570" max="1575" width="2.44140625" style="326" hidden="1" customWidth="1"/>
    <col min="1576" max="1576" width="1.5546875" style="326" hidden="1" customWidth="1"/>
    <col min="1577" max="1792" width="2.5546875" style="326" hidden="1"/>
    <col min="1793" max="1793" width="1.5546875" style="326" hidden="1" customWidth="1"/>
    <col min="1794" max="1794" width="0.6640625" style="326" hidden="1" customWidth="1"/>
    <col min="1795" max="1810" width="2.5546875" style="326" hidden="1" customWidth="1"/>
    <col min="1811" max="1811" width="4" style="326" hidden="1" customWidth="1"/>
    <col min="1812" max="1815" width="2.5546875" style="326" hidden="1" customWidth="1"/>
    <col min="1816" max="1816" width="2.44140625" style="326" hidden="1" customWidth="1"/>
    <col min="1817" max="1820" width="2.5546875" style="326" hidden="1" customWidth="1"/>
    <col min="1821" max="1821" width="2.44140625" style="326" hidden="1" customWidth="1"/>
    <col min="1822" max="1825" width="2.5546875" style="326" hidden="1" customWidth="1"/>
    <col min="1826" max="1831" width="2.44140625" style="326" hidden="1" customWidth="1"/>
    <col min="1832" max="1832" width="1.5546875" style="326" hidden="1" customWidth="1"/>
    <col min="1833" max="2048" width="2.5546875" style="326" hidden="1"/>
    <col min="2049" max="2049" width="1.5546875" style="326" hidden="1" customWidth="1"/>
    <col min="2050" max="2050" width="0.6640625" style="326" hidden="1" customWidth="1"/>
    <col min="2051" max="2066" width="2.5546875" style="326" hidden="1" customWidth="1"/>
    <col min="2067" max="2067" width="4" style="326" hidden="1" customWidth="1"/>
    <col min="2068" max="2071" width="2.5546875" style="326" hidden="1" customWidth="1"/>
    <col min="2072" max="2072" width="2.44140625" style="326" hidden="1" customWidth="1"/>
    <col min="2073" max="2076" width="2.5546875" style="326" hidden="1" customWidth="1"/>
    <col min="2077" max="2077" width="2.44140625" style="326" hidden="1" customWidth="1"/>
    <col min="2078" max="2081" width="2.5546875" style="326" hidden="1" customWidth="1"/>
    <col min="2082" max="2087" width="2.44140625" style="326" hidden="1" customWidth="1"/>
    <col min="2088" max="2088" width="1.5546875" style="326" hidden="1" customWidth="1"/>
    <col min="2089" max="2304" width="2.5546875" style="326" hidden="1"/>
    <col min="2305" max="2305" width="1.5546875" style="326" hidden="1" customWidth="1"/>
    <col min="2306" max="2306" width="0.6640625" style="326" hidden="1" customWidth="1"/>
    <col min="2307" max="2322" width="2.5546875" style="326" hidden="1" customWidth="1"/>
    <col min="2323" max="2323" width="4" style="326" hidden="1" customWidth="1"/>
    <col min="2324" max="2327" width="2.5546875" style="326" hidden="1" customWidth="1"/>
    <col min="2328" max="2328" width="2.44140625" style="326" hidden="1" customWidth="1"/>
    <col min="2329" max="2332" width="2.5546875" style="326" hidden="1" customWidth="1"/>
    <col min="2333" max="2333" width="2.44140625" style="326" hidden="1" customWidth="1"/>
    <col min="2334" max="2337" width="2.5546875" style="326" hidden="1" customWidth="1"/>
    <col min="2338" max="2343" width="2.44140625" style="326" hidden="1" customWidth="1"/>
    <col min="2344" max="2344" width="1.5546875" style="326" hidden="1" customWidth="1"/>
    <col min="2345" max="2560" width="2.5546875" style="326" hidden="1"/>
    <col min="2561" max="2561" width="1.5546875" style="326" hidden="1" customWidth="1"/>
    <col min="2562" max="2562" width="0.6640625" style="326" hidden="1" customWidth="1"/>
    <col min="2563" max="2578" width="2.5546875" style="326" hidden="1" customWidth="1"/>
    <col min="2579" max="2579" width="4" style="326" hidden="1" customWidth="1"/>
    <col min="2580" max="2583" width="2.5546875" style="326" hidden="1" customWidth="1"/>
    <col min="2584" max="2584" width="2.44140625" style="326" hidden="1" customWidth="1"/>
    <col min="2585" max="2588" width="2.5546875" style="326" hidden="1" customWidth="1"/>
    <col min="2589" max="2589" width="2.44140625" style="326" hidden="1" customWidth="1"/>
    <col min="2590" max="2593" width="2.5546875" style="326" hidden="1" customWidth="1"/>
    <col min="2594" max="2599" width="2.44140625" style="326" hidden="1" customWidth="1"/>
    <col min="2600" max="2600" width="1.5546875" style="326" hidden="1" customWidth="1"/>
    <col min="2601" max="2816" width="2.5546875" style="326" hidden="1"/>
    <col min="2817" max="2817" width="1.5546875" style="326" hidden="1" customWidth="1"/>
    <col min="2818" max="2818" width="0.6640625" style="326" hidden="1" customWidth="1"/>
    <col min="2819" max="2834" width="2.5546875" style="326" hidden="1" customWidth="1"/>
    <col min="2835" max="2835" width="4" style="326" hidden="1" customWidth="1"/>
    <col min="2836" max="2839" width="2.5546875" style="326" hidden="1" customWidth="1"/>
    <col min="2840" max="2840" width="2.44140625" style="326" hidden="1" customWidth="1"/>
    <col min="2841" max="2844" width="2.5546875" style="326" hidden="1" customWidth="1"/>
    <col min="2845" max="2845" width="2.44140625" style="326" hidden="1" customWidth="1"/>
    <col min="2846" max="2849" width="2.5546875" style="326" hidden="1" customWidth="1"/>
    <col min="2850" max="2855" width="2.44140625" style="326" hidden="1" customWidth="1"/>
    <col min="2856" max="2856" width="1.5546875" style="326" hidden="1" customWidth="1"/>
    <col min="2857" max="3072" width="2.5546875" style="326" hidden="1"/>
    <col min="3073" max="3073" width="1.5546875" style="326" hidden="1" customWidth="1"/>
    <col min="3074" max="3074" width="0.6640625" style="326" hidden="1" customWidth="1"/>
    <col min="3075" max="3090" width="2.5546875" style="326" hidden="1" customWidth="1"/>
    <col min="3091" max="3091" width="4" style="326" hidden="1" customWidth="1"/>
    <col min="3092" max="3095" width="2.5546875" style="326" hidden="1" customWidth="1"/>
    <col min="3096" max="3096" width="2.44140625" style="326" hidden="1" customWidth="1"/>
    <col min="3097" max="3100" width="2.5546875" style="326" hidden="1" customWidth="1"/>
    <col min="3101" max="3101" width="2.44140625" style="326" hidden="1" customWidth="1"/>
    <col min="3102" max="3105" width="2.5546875" style="326" hidden="1" customWidth="1"/>
    <col min="3106" max="3111" width="2.44140625" style="326" hidden="1" customWidth="1"/>
    <col min="3112" max="3112" width="1.5546875" style="326" hidden="1" customWidth="1"/>
    <col min="3113" max="3328" width="2.5546875" style="326" hidden="1"/>
    <col min="3329" max="3329" width="1.5546875" style="326" hidden="1" customWidth="1"/>
    <col min="3330" max="3330" width="0.6640625" style="326" hidden="1" customWidth="1"/>
    <col min="3331" max="3346" width="2.5546875" style="326" hidden="1" customWidth="1"/>
    <col min="3347" max="3347" width="4" style="326" hidden="1" customWidth="1"/>
    <col min="3348" max="3351" width="2.5546875" style="326" hidden="1" customWidth="1"/>
    <col min="3352" max="3352" width="2.44140625" style="326" hidden="1" customWidth="1"/>
    <col min="3353" max="3356" width="2.5546875" style="326" hidden="1" customWidth="1"/>
    <col min="3357" max="3357" width="2.44140625" style="326" hidden="1" customWidth="1"/>
    <col min="3358" max="3361" width="2.5546875" style="326" hidden="1" customWidth="1"/>
    <col min="3362" max="3367" width="2.44140625" style="326" hidden="1" customWidth="1"/>
    <col min="3368" max="3368" width="1.5546875" style="326" hidden="1" customWidth="1"/>
    <col min="3369" max="3584" width="2.5546875" style="326" hidden="1"/>
    <col min="3585" max="3585" width="1.5546875" style="326" hidden="1" customWidth="1"/>
    <col min="3586" max="3586" width="0.6640625" style="326" hidden="1" customWidth="1"/>
    <col min="3587" max="3602" width="2.5546875" style="326" hidden="1" customWidth="1"/>
    <col min="3603" max="3603" width="4" style="326" hidden="1" customWidth="1"/>
    <col min="3604" max="3607" width="2.5546875" style="326" hidden="1" customWidth="1"/>
    <col min="3608" max="3608" width="2.44140625" style="326" hidden="1" customWidth="1"/>
    <col min="3609" max="3612" width="2.5546875" style="326" hidden="1" customWidth="1"/>
    <col min="3613" max="3613" width="2.44140625" style="326" hidden="1" customWidth="1"/>
    <col min="3614" max="3617" width="2.5546875" style="326" hidden="1" customWidth="1"/>
    <col min="3618" max="3623" width="2.44140625" style="326" hidden="1" customWidth="1"/>
    <col min="3624" max="3624" width="1.5546875" style="326" hidden="1" customWidth="1"/>
    <col min="3625" max="3840" width="2.5546875" style="326" hidden="1"/>
    <col min="3841" max="3841" width="1.5546875" style="326" hidden="1" customWidth="1"/>
    <col min="3842" max="3842" width="0.6640625" style="326" hidden="1" customWidth="1"/>
    <col min="3843" max="3858" width="2.5546875" style="326" hidden="1" customWidth="1"/>
    <col min="3859" max="3859" width="4" style="326" hidden="1" customWidth="1"/>
    <col min="3860" max="3863" width="2.5546875" style="326" hidden="1" customWidth="1"/>
    <col min="3864" max="3864" width="2.44140625" style="326" hidden="1" customWidth="1"/>
    <col min="3865" max="3868" width="2.5546875" style="326" hidden="1" customWidth="1"/>
    <col min="3869" max="3869" width="2.44140625" style="326" hidden="1" customWidth="1"/>
    <col min="3870" max="3873" width="2.5546875" style="326" hidden="1" customWidth="1"/>
    <col min="3874" max="3879" width="2.44140625" style="326" hidden="1" customWidth="1"/>
    <col min="3880" max="3880" width="1.5546875" style="326" hidden="1" customWidth="1"/>
    <col min="3881" max="4096" width="2.5546875" style="326" hidden="1"/>
    <col min="4097" max="4097" width="1.5546875" style="326" hidden="1" customWidth="1"/>
    <col min="4098" max="4098" width="0.6640625" style="326" hidden="1" customWidth="1"/>
    <col min="4099" max="4114" width="2.5546875" style="326" hidden="1" customWidth="1"/>
    <col min="4115" max="4115" width="4" style="326" hidden="1" customWidth="1"/>
    <col min="4116" max="4119" width="2.5546875" style="326" hidden="1" customWidth="1"/>
    <col min="4120" max="4120" width="2.44140625" style="326" hidden="1" customWidth="1"/>
    <col min="4121" max="4124" width="2.5546875" style="326" hidden="1" customWidth="1"/>
    <col min="4125" max="4125" width="2.44140625" style="326" hidden="1" customWidth="1"/>
    <col min="4126" max="4129" width="2.5546875" style="326" hidden="1" customWidth="1"/>
    <col min="4130" max="4135" width="2.44140625" style="326" hidden="1" customWidth="1"/>
    <col min="4136" max="4136" width="1.5546875" style="326" hidden="1" customWidth="1"/>
    <col min="4137" max="4352" width="2.5546875" style="326" hidden="1"/>
    <col min="4353" max="4353" width="1.5546875" style="326" hidden="1" customWidth="1"/>
    <col min="4354" max="4354" width="0.6640625" style="326" hidden="1" customWidth="1"/>
    <col min="4355" max="4370" width="2.5546875" style="326" hidden="1" customWidth="1"/>
    <col min="4371" max="4371" width="4" style="326" hidden="1" customWidth="1"/>
    <col min="4372" max="4375" width="2.5546875" style="326" hidden="1" customWidth="1"/>
    <col min="4376" max="4376" width="2.44140625" style="326" hidden="1" customWidth="1"/>
    <col min="4377" max="4380" width="2.5546875" style="326" hidden="1" customWidth="1"/>
    <col min="4381" max="4381" width="2.44140625" style="326" hidden="1" customWidth="1"/>
    <col min="4382" max="4385" width="2.5546875" style="326" hidden="1" customWidth="1"/>
    <col min="4386" max="4391" width="2.44140625" style="326" hidden="1" customWidth="1"/>
    <col min="4392" max="4392" width="1.5546875" style="326" hidden="1" customWidth="1"/>
    <col min="4393" max="4608" width="2.5546875" style="326" hidden="1"/>
    <col min="4609" max="4609" width="1.5546875" style="326" hidden="1" customWidth="1"/>
    <col min="4610" max="4610" width="0.6640625" style="326" hidden="1" customWidth="1"/>
    <col min="4611" max="4626" width="2.5546875" style="326" hidden="1" customWidth="1"/>
    <col min="4627" max="4627" width="4" style="326" hidden="1" customWidth="1"/>
    <col min="4628" max="4631" width="2.5546875" style="326" hidden="1" customWidth="1"/>
    <col min="4632" max="4632" width="2.44140625" style="326" hidden="1" customWidth="1"/>
    <col min="4633" max="4636" width="2.5546875" style="326" hidden="1" customWidth="1"/>
    <col min="4637" max="4637" width="2.44140625" style="326" hidden="1" customWidth="1"/>
    <col min="4638" max="4641" width="2.5546875" style="326" hidden="1" customWidth="1"/>
    <col min="4642" max="4647" width="2.44140625" style="326" hidden="1" customWidth="1"/>
    <col min="4648" max="4648" width="1.5546875" style="326" hidden="1" customWidth="1"/>
    <col min="4649" max="4864" width="2.5546875" style="326" hidden="1"/>
    <col min="4865" max="4865" width="1.5546875" style="326" hidden="1" customWidth="1"/>
    <col min="4866" max="4866" width="0.6640625" style="326" hidden="1" customWidth="1"/>
    <col min="4867" max="4882" width="2.5546875" style="326" hidden="1" customWidth="1"/>
    <col min="4883" max="4883" width="4" style="326" hidden="1" customWidth="1"/>
    <col min="4884" max="4887" width="2.5546875" style="326" hidden="1" customWidth="1"/>
    <col min="4888" max="4888" width="2.44140625" style="326" hidden="1" customWidth="1"/>
    <col min="4889" max="4892" width="2.5546875" style="326" hidden="1" customWidth="1"/>
    <col min="4893" max="4893" width="2.44140625" style="326" hidden="1" customWidth="1"/>
    <col min="4894" max="4897" width="2.5546875" style="326" hidden="1" customWidth="1"/>
    <col min="4898" max="4903" width="2.44140625" style="326" hidden="1" customWidth="1"/>
    <col min="4904" max="4904" width="1.5546875" style="326" hidden="1" customWidth="1"/>
    <col min="4905" max="5120" width="2.5546875" style="326" hidden="1"/>
    <col min="5121" max="5121" width="1.5546875" style="326" hidden="1" customWidth="1"/>
    <col min="5122" max="5122" width="0.6640625" style="326" hidden="1" customWidth="1"/>
    <col min="5123" max="5138" width="2.5546875" style="326" hidden="1" customWidth="1"/>
    <col min="5139" max="5139" width="4" style="326" hidden="1" customWidth="1"/>
    <col min="5140" max="5143" width="2.5546875" style="326" hidden="1" customWidth="1"/>
    <col min="5144" max="5144" width="2.44140625" style="326" hidden="1" customWidth="1"/>
    <col min="5145" max="5148" width="2.5546875" style="326" hidden="1" customWidth="1"/>
    <col min="5149" max="5149" width="2.44140625" style="326" hidden="1" customWidth="1"/>
    <col min="5150" max="5153" width="2.5546875" style="326" hidden="1" customWidth="1"/>
    <col min="5154" max="5159" width="2.44140625" style="326" hidden="1" customWidth="1"/>
    <col min="5160" max="5160" width="1.5546875" style="326" hidden="1" customWidth="1"/>
    <col min="5161" max="5376" width="2.5546875" style="326" hidden="1"/>
    <col min="5377" max="5377" width="1.5546875" style="326" hidden="1" customWidth="1"/>
    <col min="5378" max="5378" width="0.6640625" style="326" hidden="1" customWidth="1"/>
    <col min="5379" max="5394" width="2.5546875" style="326" hidden="1" customWidth="1"/>
    <col min="5395" max="5395" width="4" style="326" hidden="1" customWidth="1"/>
    <col min="5396" max="5399" width="2.5546875" style="326" hidden="1" customWidth="1"/>
    <col min="5400" max="5400" width="2.44140625" style="326" hidden="1" customWidth="1"/>
    <col min="5401" max="5404" width="2.5546875" style="326" hidden="1" customWidth="1"/>
    <col min="5405" max="5405" width="2.44140625" style="326" hidden="1" customWidth="1"/>
    <col min="5406" max="5409" width="2.5546875" style="326" hidden="1" customWidth="1"/>
    <col min="5410" max="5415" width="2.44140625" style="326" hidden="1" customWidth="1"/>
    <col min="5416" max="5416" width="1.5546875" style="326" hidden="1" customWidth="1"/>
    <col min="5417" max="5632" width="2.5546875" style="326" hidden="1"/>
    <col min="5633" max="5633" width="1.5546875" style="326" hidden="1" customWidth="1"/>
    <col min="5634" max="5634" width="0.6640625" style="326" hidden="1" customWidth="1"/>
    <col min="5635" max="5650" width="2.5546875" style="326" hidden="1" customWidth="1"/>
    <col min="5651" max="5651" width="4" style="326" hidden="1" customWidth="1"/>
    <col min="5652" max="5655" width="2.5546875" style="326" hidden="1" customWidth="1"/>
    <col min="5656" max="5656" width="2.44140625" style="326" hidden="1" customWidth="1"/>
    <col min="5657" max="5660" width="2.5546875" style="326" hidden="1" customWidth="1"/>
    <col min="5661" max="5661" width="2.44140625" style="326" hidden="1" customWidth="1"/>
    <col min="5662" max="5665" width="2.5546875" style="326" hidden="1" customWidth="1"/>
    <col min="5666" max="5671" width="2.44140625" style="326" hidden="1" customWidth="1"/>
    <col min="5672" max="5672" width="1.5546875" style="326" hidden="1" customWidth="1"/>
    <col min="5673" max="5888" width="2.5546875" style="326" hidden="1"/>
    <col min="5889" max="5889" width="1.5546875" style="326" hidden="1" customWidth="1"/>
    <col min="5890" max="5890" width="0.6640625" style="326" hidden="1" customWidth="1"/>
    <col min="5891" max="5906" width="2.5546875" style="326" hidden="1" customWidth="1"/>
    <col min="5907" max="5907" width="4" style="326" hidden="1" customWidth="1"/>
    <col min="5908" max="5911" width="2.5546875" style="326" hidden="1" customWidth="1"/>
    <col min="5912" max="5912" width="2.44140625" style="326" hidden="1" customWidth="1"/>
    <col min="5913" max="5916" width="2.5546875" style="326" hidden="1" customWidth="1"/>
    <col min="5917" max="5917" width="2.44140625" style="326" hidden="1" customWidth="1"/>
    <col min="5918" max="5921" width="2.5546875" style="326" hidden="1" customWidth="1"/>
    <col min="5922" max="5927" width="2.44140625" style="326" hidden="1" customWidth="1"/>
    <col min="5928" max="5928" width="1.5546875" style="326" hidden="1" customWidth="1"/>
    <col min="5929" max="6144" width="2.5546875" style="326" hidden="1"/>
    <col min="6145" max="6145" width="1.5546875" style="326" hidden="1" customWidth="1"/>
    <col min="6146" max="6146" width="0.6640625" style="326" hidden="1" customWidth="1"/>
    <col min="6147" max="6162" width="2.5546875" style="326" hidden="1" customWidth="1"/>
    <col min="6163" max="6163" width="4" style="326" hidden="1" customWidth="1"/>
    <col min="6164" max="6167" width="2.5546875" style="326" hidden="1" customWidth="1"/>
    <col min="6168" max="6168" width="2.44140625" style="326" hidden="1" customWidth="1"/>
    <col min="6169" max="6172" width="2.5546875" style="326" hidden="1" customWidth="1"/>
    <col min="6173" max="6173" width="2.44140625" style="326" hidden="1" customWidth="1"/>
    <col min="6174" max="6177" width="2.5546875" style="326" hidden="1" customWidth="1"/>
    <col min="6178" max="6183" width="2.44140625" style="326" hidden="1" customWidth="1"/>
    <col min="6184" max="6184" width="1.5546875" style="326" hidden="1" customWidth="1"/>
    <col min="6185" max="6400" width="2.5546875" style="326" hidden="1"/>
    <col min="6401" max="6401" width="1.5546875" style="326" hidden="1" customWidth="1"/>
    <col min="6402" max="6402" width="0.6640625" style="326" hidden="1" customWidth="1"/>
    <col min="6403" max="6418" width="2.5546875" style="326" hidden="1" customWidth="1"/>
    <col min="6419" max="6419" width="4" style="326" hidden="1" customWidth="1"/>
    <col min="6420" max="6423" width="2.5546875" style="326" hidden="1" customWidth="1"/>
    <col min="6424" max="6424" width="2.44140625" style="326" hidden="1" customWidth="1"/>
    <col min="6425" max="6428" width="2.5546875" style="326" hidden="1" customWidth="1"/>
    <col min="6429" max="6429" width="2.44140625" style="326" hidden="1" customWidth="1"/>
    <col min="6430" max="6433" width="2.5546875" style="326" hidden="1" customWidth="1"/>
    <col min="6434" max="6439" width="2.44140625" style="326" hidden="1" customWidth="1"/>
    <col min="6440" max="6440" width="1.5546875" style="326" hidden="1" customWidth="1"/>
    <col min="6441" max="6656" width="2.5546875" style="326" hidden="1"/>
    <col min="6657" max="6657" width="1.5546875" style="326" hidden="1" customWidth="1"/>
    <col min="6658" max="6658" width="0.6640625" style="326" hidden="1" customWidth="1"/>
    <col min="6659" max="6674" width="2.5546875" style="326" hidden="1" customWidth="1"/>
    <col min="6675" max="6675" width="4" style="326" hidden="1" customWidth="1"/>
    <col min="6676" max="6679" width="2.5546875" style="326" hidden="1" customWidth="1"/>
    <col min="6680" max="6680" width="2.44140625" style="326" hidden="1" customWidth="1"/>
    <col min="6681" max="6684" width="2.5546875" style="326" hidden="1" customWidth="1"/>
    <col min="6685" max="6685" width="2.44140625" style="326" hidden="1" customWidth="1"/>
    <col min="6686" max="6689" width="2.5546875" style="326" hidden="1" customWidth="1"/>
    <col min="6690" max="6695" width="2.44140625" style="326" hidden="1" customWidth="1"/>
    <col min="6696" max="6696" width="1.5546875" style="326" hidden="1" customWidth="1"/>
    <col min="6697" max="6912" width="2.5546875" style="326" hidden="1"/>
    <col min="6913" max="6913" width="1.5546875" style="326" hidden="1" customWidth="1"/>
    <col min="6914" max="6914" width="0.6640625" style="326" hidden="1" customWidth="1"/>
    <col min="6915" max="6930" width="2.5546875" style="326" hidden="1" customWidth="1"/>
    <col min="6931" max="6931" width="4" style="326" hidden="1" customWidth="1"/>
    <col min="6932" max="6935" width="2.5546875" style="326" hidden="1" customWidth="1"/>
    <col min="6936" max="6936" width="2.44140625" style="326" hidden="1" customWidth="1"/>
    <col min="6937" max="6940" width="2.5546875" style="326" hidden="1" customWidth="1"/>
    <col min="6941" max="6941" width="2.44140625" style="326" hidden="1" customWidth="1"/>
    <col min="6942" max="6945" width="2.5546875" style="326" hidden="1" customWidth="1"/>
    <col min="6946" max="6951" width="2.44140625" style="326" hidden="1" customWidth="1"/>
    <col min="6952" max="6952" width="1.5546875" style="326" hidden="1" customWidth="1"/>
    <col min="6953" max="7168" width="2.5546875" style="326" hidden="1"/>
    <col min="7169" max="7169" width="1.5546875" style="326" hidden="1" customWidth="1"/>
    <col min="7170" max="7170" width="0.6640625" style="326" hidden="1" customWidth="1"/>
    <col min="7171" max="7186" width="2.5546875" style="326" hidden="1" customWidth="1"/>
    <col min="7187" max="7187" width="4" style="326" hidden="1" customWidth="1"/>
    <col min="7188" max="7191" width="2.5546875" style="326" hidden="1" customWidth="1"/>
    <col min="7192" max="7192" width="2.44140625" style="326" hidden="1" customWidth="1"/>
    <col min="7193" max="7196" width="2.5546875" style="326" hidden="1" customWidth="1"/>
    <col min="7197" max="7197" width="2.44140625" style="326" hidden="1" customWidth="1"/>
    <col min="7198" max="7201" width="2.5546875" style="326" hidden="1" customWidth="1"/>
    <col min="7202" max="7207" width="2.44140625" style="326" hidden="1" customWidth="1"/>
    <col min="7208" max="7208" width="1.5546875" style="326" hidden="1" customWidth="1"/>
    <col min="7209" max="7424" width="2.5546875" style="326" hidden="1"/>
    <col min="7425" max="7425" width="1.5546875" style="326" hidden="1" customWidth="1"/>
    <col min="7426" max="7426" width="0.6640625" style="326" hidden="1" customWidth="1"/>
    <col min="7427" max="7442" width="2.5546875" style="326" hidden="1" customWidth="1"/>
    <col min="7443" max="7443" width="4" style="326" hidden="1" customWidth="1"/>
    <col min="7444" max="7447" width="2.5546875" style="326" hidden="1" customWidth="1"/>
    <col min="7448" max="7448" width="2.44140625" style="326" hidden="1" customWidth="1"/>
    <col min="7449" max="7452" width="2.5546875" style="326" hidden="1" customWidth="1"/>
    <col min="7453" max="7453" width="2.44140625" style="326" hidden="1" customWidth="1"/>
    <col min="7454" max="7457" width="2.5546875" style="326" hidden="1" customWidth="1"/>
    <col min="7458" max="7463" width="2.44140625" style="326" hidden="1" customWidth="1"/>
    <col min="7464" max="7464" width="1.5546875" style="326" hidden="1" customWidth="1"/>
    <col min="7465" max="7680" width="2.5546875" style="326" hidden="1"/>
    <col min="7681" max="7681" width="1.5546875" style="326" hidden="1" customWidth="1"/>
    <col min="7682" max="7682" width="0.6640625" style="326" hidden="1" customWidth="1"/>
    <col min="7683" max="7698" width="2.5546875" style="326" hidden="1" customWidth="1"/>
    <col min="7699" max="7699" width="4" style="326" hidden="1" customWidth="1"/>
    <col min="7700" max="7703" width="2.5546875" style="326" hidden="1" customWidth="1"/>
    <col min="7704" max="7704" width="2.44140625" style="326" hidden="1" customWidth="1"/>
    <col min="7705" max="7708" width="2.5546875" style="326" hidden="1" customWidth="1"/>
    <col min="7709" max="7709" width="2.44140625" style="326" hidden="1" customWidth="1"/>
    <col min="7710" max="7713" width="2.5546875" style="326" hidden="1" customWidth="1"/>
    <col min="7714" max="7719" width="2.44140625" style="326" hidden="1" customWidth="1"/>
    <col min="7720" max="7720" width="1.5546875" style="326" hidden="1" customWidth="1"/>
    <col min="7721" max="7936" width="2.5546875" style="326" hidden="1"/>
    <col min="7937" max="7937" width="1.5546875" style="326" hidden="1" customWidth="1"/>
    <col min="7938" max="7938" width="0.6640625" style="326" hidden="1" customWidth="1"/>
    <col min="7939" max="7954" width="2.5546875" style="326" hidden="1" customWidth="1"/>
    <col min="7955" max="7955" width="4" style="326" hidden="1" customWidth="1"/>
    <col min="7956" max="7959" width="2.5546875" style="326" hidden="1" customWidth="1"/>
    <col min="7960" max="7960" width="2.44140625" style="326" hidden="1" customWidth="1"/>
    <col min="7961" max="7964" width="2.5546875" style="326" hidden="1" customWidth="1"/>
    <col min="7965" max="7965" width="2.44140625" style="326" hidden="1" customWidth="1"/>
    <col min="7966" max="7969" width="2.5546875" style="326" hidden="1" customWidth="1"/>
    <col min="7970" max="7975" width="2.44140625" style="326" hidden="1" customWidth="1"/>
    <col min="7976" max="7976" width="1.5546875" style="326" hidden="1" customWidth="1"/>
    <col min="7977" max="8192" width="2.5546875" style="326" hidden="1"/>
    <col min="8193" max="8193" width="1.5546875" style="326" hidden="1" customWidth="1"/>
    <col min="8194" max="8194" width="0.6640625" style="326" hidden="1" customWidth="1"/>
    <col min="8195" max="8210" width="2.5546875" style="326" hidden="1" customWidth="1"/>
    <col min="8211" max="8211" width="4" style="326" hidden="1" customWidth="1"/>
    <col min="8212" max="8215" width="2.5546875" style="326" hidden="1" customWidth="1"/>
    <col min="8216" max="8216" width="2.44140625" style="326" hidden="1" customWidth="1"/>
    <col min="8217" max="8220" width="2.5546875" style="326" hidden="1" customWidth="1"/>
    <col min="8221" max="8221" width="2.44140625" style="326" hidden="1" customWidth="1"/>
    <col min="8222" max="8225" width="2.5546875" style="326" hidden="1" customWidth="1"/>
    <col min="8226" max="8231" width="2.44140625" style="326" hidden="1" customWidth="1"/>
    <col min="8232" max="8232" width="1.5546875" style="326" hidden="1" customWidth="1"/>
    <col min="8233" max="8448" width="2.5546875" style="326" hidden="1"/>
    <col min="8449" max="8449" width="1.5546875" style="326" hidden="1" customWidth="1"/>
    <col min="8450" max="8450" width="0.6640625" style="326" hidden="1" customWidth="1"/>
    <col min="8451" max="8466" width="2.5546875" style="326" hidden="1" customWidth="1"/>
    <col min="8467" max="8467" width="4" style="326" hidden="1" customWidth="1"/>
    <col min="8468" max="8471" width="2.5546875" style="326" hidden="1" customWidth="1"/>
    <col min="8472" max="8472" width="2.44140625" style="326" hidden="1" customWidth="1"/>
    <col min="8473" max="8476" width="2.5546875" style="326" hidden="1" customWidth="1"/>
    <col min="8477" max="8477" width="2.44140625" style="326" hidden="1" customWidth="1"/>
    <col min="8478" max="8481" width="2.5546875" style="326" hidden="1" customWidth="1"/>
    <col min="8482" max="8487" width="2.44140625" style="326" hidden="1" customWidth="1"/>
    <col min="8488" max="8488" width="1.5546875" style="326" hidden="1" customWidth="1"/>
    <col min="8489" max="8704" width="2.5546875" style="326" hidden="1"/>
    <col min="8705" max="8705" width="1.5546875" style="326" hidden="1" customWidth="1"/>
    <col min="8706" max="8706" width="0.6640625" style="326" hidden="1" customWidth="1"/>
    <col min="8707" max="8722" width="2.5546875" style="326" hidden="1" customWidth="1"/>
    <col min="8723" max="8723" width="4" style="326" hidden="1" customWidth="1"/>
    <col min="8724" max="8727" width="2.5546875" style="326" hidden="1" customWidth="1"/>
    <col min="8728" max="8728" width="2.44140625" style="326" hidden="1" customWidth="1"/>
    <col min="8729" max="8732" width="2.5546875" style="326" hidden="1" customWidth="1"/>
    <col min="8733" max="8733" width="2.44140625" style="326" hidden="1" customWidth="1"/>
    <col min="8734" max="8737" width="2.5546875" style="326" hidden="1" customWidth="1"/>
    <col min="8738" max="8743" width="2.44140625" style="326" hidden="1" customWidth="1"/>
    <col min="8744" max="8744" width="1.5546875" style="326" hidden="1" customWidth="1"/>
    <col min="8745" max="8960" width="2.5546875" style="326" hidden="1"/>
    <col min="8961" max="8961" width="1.5546875" style="326" hidden="1" customWidth="1"/>
    <col min="8962" max="8962" width="0.6640625" style="326" hidden="1" customWidth="1"/>
    <col min="8963" max="8978" width="2.5546875" style="326" hidden="1" customWidth="1"/>
    <col min="8979" max="8979" width="4" style="326" hidden="1" customWidth="1"/>
    <col min="8980" max="8983" width="2.5546875" style="326" hidden="1" customWidth="1"/>
    <col min="8984" max="8984" width="2.44140625" style="326" hidden="1" customWidth="1"/>
    <col min="8985" max="8988" width="2.5546875" style="326" hidden="1" customWidth="1"/>
    <col min="8989" max="8989" width="2.44140625" style="326" hidden="1" customWidth="1"/>
    <col min="8990" max="8993" width="2.5546875" style="326" hidden="1" customWidth="1"/>
    <col min="8994" max="8999" width="2.44140625" style="326" hidden="1" customWidth="1"/>
    <col min="9000" max="9000" width="1.5546875" style="326" hidden="1" customWidth="1"/>
    <col min="9001" max="9216" width="2.5546875" style="326" hidden="1"/>
    <col min="9217" max="9217" width="1.5546875" style="326" hidden="1" customWidth="1"/>
    <col min="9218" max="9218" width="0.6640625" style="326" hidden="1" customWidth="1"/>
    <col min="9219" max="9234" width="2.5546875" style="326" hidden="1" customWidth="1"/>
    <col min="9235" max="9235" width="4" style="326" hidden="1" customWidth="1"/>
    <col min="9236" max="9239" width="2.5546875" style="326" hidden="1" customWidth="1"/>
    <col min="9240" max="9240" width="2.44140625" style="326" hidden="1" customWidth="1"/>
    <col min="9241" max="9244" width="2.5546875" style="326" hidden="1" customWidth="1"/>
    <col min="9245" max="9245" width="2.44140625" style="326" hidden="1" customWidth="1"/>
    <col min="9246" max="9249" width="2.5546875" style="326" hidden="1" customWidth="1"/>
    <col min="9250" max="9255" width="2.44140625" style="326" hidden="1" customWidth="1"/>
    <col min="9256" max="9256" width="1.5546875" style="326" hidden="1" customWidth="1"/>
    <col min="9257" max="9472" width="2.5546875" style="326" hidden="1"/>
    <col min="9473" max="9473" width="1.5546875" style="326" hidden="1" customWidth="1"/>
    <col min="9474" max="9474" width="0.6640625" style="326" hidden="1" customWidth="1"/>
    <col min="9475" max="9490" width="2.5546875" style="326" hidden="1" customWidth="1"/>
    <col min="9491" max="9491" width="4" style="326" hidden="1" customWidth="1"/>
    <col min="9492" max="9495" width="2.5546875" style="326" hidden="1" customWidth="1"/>
    <col min="9496" max="9496" width="2.44140625" style="326" hidden="1" customWidth="1"/>
    <col min="9497" max="9500" width="2.5546875" style="326" hidden="1" customWidth="1"/>
    <col min="9501" max="9501" width="2.44140625" style="326" hidden="1" customWidth="1"/>
    <col min="9502" max="9505" width="2.5546875" style="326" hidden="1" customWidth="1"/>
    <col min="9506" max="9511" width="2.44140625" style="326" hidden="1" customWidth="1"/>
    <col min="9512" max="9512" width="1.5546875" style="326" hidden="1" customWidth="1"/>
    <col min="9513" max="9728" width="2.5546875" style="326" hidden="1"/>
    <col min="9729" max="9729" width="1.5546875" style="326" hidden="1" customWidth="1"/>
    <col min="9730" max="9730" width="0.6640625" style="326" hidden="1" customWidth="1"/>
    <col min="9731" max="9746" width="2.5546875" style="326" hidden="1" customWidth="1"/>
    <col min="9747" max="9747" width="4" style="326" hidden="1" customWidth="1"/>
    <col min="9748" max="9751" width="2.5546875" style="326" hidden="1" customWidth="1"/>
    <col min="9752" max="9752" width="2.44140625" style="326" hidden="1" customWidth="1"/>
    <col min="9753" max="9756" width="2.5546875" style="326" hidden="1" customWidth="1"/>
    <col min="9757" max="9757" width="2.44140625" style="326" hidden="1" customWidth="1"/>
    <col min="9758" max="9761" width="2.5546875" style="326" hidden="1" customWidth="1"/>
    <col min="9762" max="9767" width="2.44140625" style="326" hidden="1" customWidth="1"/>
    <col min="9768" max="9768" width="1.5546875" style="326" hidden="1" customWidth="1"/>
    <col min="9769" max="9984" width="2.5546875" style="326" hidden="1"/>
    <col min="9985" max="9985" width="1.5546875" style="326" hidden="1" customWidth="1"/>
    <col min="9986" max="9986" width="0.6640625" style="326" hidden="1" customWidth="1"/>
    <col min="9987" max="10002" width="2.5546875" style="326" hidden="1" customWidth="1"/>
    <col min="10003" max="10003" width="4" style="326" hidden="1" customWidth="1"/>
    <col min="10004" max="10007" width="2.5546875" style="326" hidden="1" customWidth="1"/>
    <col min="10008" max="10008" width="2.44140625" style="326" hidden="1" customWidth="1"/>
    <col min="10009" max="10012" width="2.5546875" style="326" hidden="1" customWidth="1"/>
    <col min="10013" max="10013" width="2.44140625" style="326" hidden="1" customWidth="1"/>
    <col min="10014" max="10017" width="2.5546875" style="326" hidden="1" customWidth="1"/>
    <col min="10018" max="10023" width="2.44140625" style="326" hidden="1" customWidth="1"/>
    <col min="10024" max="10024" width="1.5546875" style="326" hidden="1" customWidth="1"/>
    <col min="10025" max="10240" width="2.5546875" style="326" hidden="1"/>
    <col min="10241" max="10241" width="1.5546875" style="326" hidden="1" customWidth="1"/>
    <col min="10242" max="10242" width="0.6640625" style="326" hidden="1" customWidth="1"/>
    <col min="10243" max="10258" width="2.5546875" style="326" hidden="1" customWidth="1"/>
    <col min="10259" max="10259" width="4" style="326" hidden="1" customWidth="1"/>
    <col min="10260" max="10263" width="2.5546875" style="326" hidden="1" customWidth="1"/>
    <col min="10264" max="10264" width="2.44140625" style="326" hidden="1" customWidth="1"/>
    <col min="10265" max="10268" width="2.5546875" style="326" hidden="1" customWidth="1"/>
    <col min="10269" max="10269" width="2.44140625" style="326" hidden="1" customWidth="1"/>
    <col min="10270" max="10273" width="2.5546875" style="326" hidden="1" customWidth="1"/>
    <col min="10274" max="10279" width="2.44140625" style="326" hidden="1" customWidth="1"/>
    <col min="10280" max="10280" width="1.5546875" style="326" hidden="1" customWidth="1"/>
    <col min="10281" max="10496" width="2.5546875" style="326" hidden="1"/>
    <col min="10497" max="10497" width="1.5546875" style="326" hidden="1" customWidth="1"/>
    <col min="10498" max="10498" width="0.6640625" style="326" hidden="1" customWidth="1"/>
    <col min="10499" max="10514" width="2.5546875" style="326" hidden="1" customWidth="1"/>
    <col min="10515" max="10515" width="4" style="326" hidden="1" customWidth="1"/>
    <col min="10516" max="10519" width="2.5546875" style="326" hidden="1" customWidth="1"/>
    <col min="10520" max="10520" width="2.44140625" style="326" hidden="1" customWidth="1"/>
    <col min="10521" max="10524" width="2.5546875" style="326" hidden="1" customWidth="1"/>
    <col min="10525" max="10525" width="2.44140625" style="326" hidden="1" customWidth="1"/>
    <col min="10526" max="10529" width="2.5546875" style="326" hidden="1" customWidth="1"/>
    <col min="10530" max="10535" width="2.44140625" style="326" hidden="1" customWidth="1"/>
    <col min="10536" max="10536" width="1.5546875" style="326" hidden="1" customWidth="1"/>
    <col min="10537" max="10752" width="2.5546875" style="326" hidden="1"/>
    <col min="10753" max="10753" width="1.5546875" style="326" hidden="1" customWidth="1"/>
    <col min="10754" max="10754" width="0.6640625" style="326" hidden="1" customWidth="1"/>
    <col min="10755" max="10770" width="2.5546875" style="326" hidden="1" customWidth="1"/>
    <col min="10771" max="10771" width="4" style="326" hidden="1" customWidth="1"/>
    <col min="10772" max="10775" width="2.5546875" style="326" hidden="1" customWidth="1"/>
    <col min="10776" max="10776" width="2.44140625" style="326" hidden="1" customWidth="1"/>
    <col min="10777" max="10780" width="2.5546875" style="326" hidden="1" customWidth="1"/>
    <col min="10781" max="10781" width="2.44140625" style="326" hidden="1" customWidth="1"/>
    <col min="10782" max="10785" width="2.5546875" style="326" hidden="1" customWidth="1"/>
    <col min="10786" max="10791" width="2.44140625" style="326" hidden="1" customWidth="1"/>
    <col min="10792" max="10792" width="1.5546875" style="326" hidden="1" customWidth="1"/>
    <col min="10793" max="11008" width="2.5546875" style="326" hidden="1"/>
    <col min="11009" max="11009" width="1.5546875" style="326" hidden="1" customWidth="1"/>
    <col min="11010" max="11010" width="0.6640625" style="326" hidden="1" customWidth="1"/>
    <col min="11011" max="11026" width="2.5546875" style="326" hidden="1" customWidth="1"/>
    <col min="11027" max="11027" width="4" style="326" hidden="1" customWidth="1"/>
    <col min="11028" max="11031" width="2.5546875" style="326" hidden="1" customWidth="1"/>
    <col min="11032" max="11032" width="2.44140625" style="326" hidden="1" customWidth="1"/>
    <col min="11033" max="11036" width="2.5546875" style="326" hidden="1" customWidth="1"/>
    <col min="11037" max="11037" width="2.44140625" style="326" hidden="1" customWidth="1"/>
    <col min="11038" max="11041" width="2.5546875" style="326" hidden="1" customWidth="1"/>
    <col min="11042" max="11047" width="2.44140625" style="326" hidden="1" customWidth="1"/>
    <col min="11048" max="11048" width="1.5546875" style="326" hidden="1" customWidth="1"/>
    <col min="11049" max="11264" width="2.5546875" style="326" hidden="1"/>
    <col min="11265" max="11265" width="1.5546875" style="326" hidden="1" customWidth="1"/>
    <col min="11266" max="11266" width="0.6640625" style="326" hidden="1" customWidth="1"/>
    <col min="11267" max="11282" width="2.5546875" style="326" hidden="1" customWidth="1"/>
    <col min="11283" max="11283" width="4" style="326" hidden="1" customWidth="1"/>
    <col min="11284" max="11287" width="2.5546875" style="326" hidden="1" customWidth="1"/>
    <col min="11288" max="11288" width="2.44140625" style="326" hidden="1" customWidth="1"/>
    <col min="11289" max="11292" width="2.5546875" style="326" hidden="1" customWidth="1"/>
    <col min="11293" max="11293" width="2.44140625" style="326" hidden="1" customWidth="1"/>
    <col min="11294" max="11297" width="2.5546875" style="326" hidden="1" customWidth="1"/>
    <col min="11298" max="11303" width="2.44140625" style="326" hidden="1" customWidth="1"/>
    <col min="11304" max="11304" width="1.5546875" style="326" hidden="1" customWidth="1"/>
    <col min="11305" max="11520" width="2.5546875" style="326" hidden="1"/>
    <col min="11521" max="11521" width="1.5546875" style="326" hidden="1" customWidth="1"/>
    <col min="11522" max="11522" width="0.6640625" style="326" hidden="1" customWidth="1"/>
    <col min="11523" max="11538" width="2.5546875" style="326" hidden="1" customWidth="1"/>
    <col min="11539" max="11539" width="4" style="326" hidden="1" customWidth="1"/>
    <col min="11540" max="11543" width="2.5546875" style="326" hidden="1" customWidth="1"/>
    <col min="11544" max="11544" width="2.44140625" style="326" hidden="1" customWidth="1"/>
    <col min="11545" max="11548" width="2.5546875" style="326" hidden="1" customWidth="1"/>
    <col min="11549" max="11549" width="2.44140625" style="326" hidden="1" customWidth="1"/>
    <col min="11550" max="11553" width="2.5546875" style="326" hidden="1" customWidth="1"/>
    <col min="11554" max="11559" width="2.44140625" style="326" hidden="1" customWidth="1"/>
    <col min="11560" max="11560" width="1.5546875" style="326" hidden="1" customWidth="1"/>
    <col min="11561" max="11776" width="2.5546875" style="326" hidden="1"/>
    <col min="11777" max="11777" width="1.5546875" style="326" hidden="1" customWidth="1"/>
    <col min="11778" max="11778" width="0.6640625" style="326" hidden="1" customWidth="1"/>
    <col min="11779" max="11794" width="2.5546875" style="326" hidden="1" customWidth="1"/>
    <col min="11795" max="11795" width="4" style="326" hidden="1" customWidth="1"/>
    <col min="11796" max="11799" width="2.5546875" style="326" hidden="1" customWidth="1"/>
    <col min="11800" max="11800" width="2.44140625" style="326" hidden="1" customWidth="1"/>
    <col min="11801" max="11804" width="2.5546875" style="326" hidden="1" customWidth="1"/>
    <col min="11805" max="11805" width="2.44140625" style="326" hidden="1" customWidth="1"/>
    <col min="11806" max="11809" width="2.5546875" style="326" hidden="1" customWidth="1"/>
    <col min="11810" max="11815" width="2.44140625" style="326" hidden="1" customWidth="1"/>
    <col min="11816" max="11816" width="1.5546875" style="326" hidden="1" customWidth="1"/>
    <col min="11817" max="12032" width="2.5546875" style="326" hidden="1"/>
    <col min="12033" max="12033" width="1.5546875" style="326" hidden="1" customWidth="1"/>
    <col min="12034" max="12034" width="0.6640625" style="326" hidden="1" customWidth="1"/>
    <col min="12035" max="12050" width="2.5546875" style="326" hidden="1" customWidth="1"/>
    <col min="12051" max="12051" width="4" style="326" hidden="1" customWidth="1"/>
    <col min="12052" max="12055" width="2.5546875" style="326" hidden="1" customWidth="1"/>
    <col min="12056" max="12056" width="2.44140625" style="326" hidden="1" customWidth="1"/>
    <col min="12057" max="12060" width="2.5546875" style="326" hidden="1" customWidth="1"/>
    <col min="12061" max="12061" width="2.44140625" style="326" hidden="1" customWidth="1"/>
    <col min="12062" max="12065" width="2.5546875" style="326" hidden="1" customWidth="1"/>
    <col min="12066" max="12071" width="2.44140625" style="326" hidden="1" customWidth="1"/>
    <col min="12072" max="12072" width="1.5546875" style="326" hidden="1" customWidth="1"/>
    <col min="12073" max="12288" width="2.5546875" style="326" hidden="1"/>
    <col min="12289" max="12289" width="1.5546875" style="326" hidden="1" customWidth="1"/>
    <col min="12290" max="12290" width="0.6640625" style="326" hidden="1" customWidth="1"/>
    <col min="12291" max="12306" width="2.5546875" style="326" hidden="1" customWidth="1"/>
    <col min="12307" max="12307" width="4" style="326" hidden="1" customWidth="1"/>
    <col min="12308" max="12311" width="2.5546875" style="326" hidden="1" customWidth="1"/>
    <col min="12312" max="12312" width="2.44140625" style="326" hidden="1" customWidth="1"/>
    <col min="12313" max="12316" width="2.5546875" style="326" hidden="1" customWidth="1"/>
    <col min="12317" max="12317" width="2.44140625" style="326" hidden="1" customWidth="1"/>
    <col min="12318" max="12321" width="2.5546875" style="326" hidden="1" customWidth="1"/>
    <col min="12322" max="12327" width="2.44140625" style="326" hidden="1" customWidth="1"/>
    <col min="12328" max="12328" width="1.5546875" style="326" hidden="1" customWidth="1"/>
    <col min="12329" max="12544" width="2.5546875" style="326" hidden="1"/>
    <col min="12545" max="12545" width="1.5546875" style="326" hidden="1" customWidth="1"/>
    <col min="12546" max="12546" width="0.6640625" style="326" hidden="1" customWidth="1"/>
    <col min="12547" max="12562" width="2.5546875" style="326" hidden="1" customWidth="1"/>
    <col min="12563" max="12563" width="4" style="326" hidden="1" customWidth="1"/>
    <col min="12564" max="12567" width="2.5546875" style="326" hidden="1" customWidth="1"/>
    <col min="12568" max="12568" width="2.44140625" style="326" hidden="1" customWidth="1"/>
    <col min="12569" max="12572" width="2.5546875" style="326" hidden="1" customWidth="1"/>
    <col min="12573" max="12573" width="2.44140625" style="326" hidden="1" customWidth="1"/>
    <col min="12574" max="12577" width="2.5546875" style="326" hidden="1" customWidth="1"/>
    <col min="12578" max="12583" width="2.44140625" style="326" hidden="1" customWidth="1"/>
    <col min="12584" max="12584" width="1.5546875" style="326" hidden="1" customWidth="1"/>
    <col min="12585" max="12800" width="2.5546875" style="326" hidden="1"/>
    <col min="12801" max="12801" width="1.5546875" style="326" hidden="1" customWidth="1"/>
    <col min="12802" max="12802" width="0.6640625" style="326" hidden="1" customWidth="1"/>
    <col min="12803" max="12818" width="2.5546875" style="326" hidden="1" customWidth="1"/>
    <col min="12819" max="12819" width="4" style="326" hidden="1" customWidth="1"/>
    <col min="12820" max="12823" width="2.5546875" style="326" hidden="1" customWidth="1"/>
    <col min="12824" max="12824" width="2.44140625" style="326" hidden="1" customWidth="1"/>
    <col min="12825" max="12828" width="2.5546875" style="326" hidden="1" customWidth="1"/>
    <col min="12829" max="12829" width="2.44140625" style="326" hidden="1" customWidth="1"/>
    <col min="12830" max="12833" width="2.5546875" style="326" hidden="1" customWidth="1"/>
    <col min="12834" max="12839" width="2.44140625" style="326" hidden="1" customWidth="1"/>
    <col min="12840" max="12840" width="1.5546875" style="326" hidden="1" customWidth="1"/>
    <col min="12841" max="13056" width="2.5546875" style="326" hidden="1"/>
    <col min="13057" max="13057" width="1.5546875" style="326" hidden="1" customWidth="1"/>
    <col min="13058" max="13058" width="0.6640625" style="326" hidden="1" customWidth="1"/>
    <col min="13059" max="13074" width="2.5546875" style="326" hidden="1" customWidth="1"/>
    <col min="13075" max="13075" width="4" style="326" hidden="1" customWidth="1"/>
    <col min="13076" max="13079" width="2.5546875" style="326" hidden="1" customWidth="1"/>
    <col min="13080" max="13080" width="2.44140625" style="326" hidden="1" customWidth="1"/>
    <col min="13081" max="13084" width="2.5546875" style="326" hidden="1" customWidth="1"/>
    <col min="13085" max="13085" width="2.44140625" style="326" hidden="1" customWidth="1"/>
    <col min="13086" max="13089" width="2.5546875" style="326" hidden="1" customWidth="1"/>
    <col min="13090" max="13095" width="2.44140625" style="326" hidden="1" customWidth="1"/>
    <col min="13096" max="13096" width="1.5546875" style="326" hidden="1" customWidth="1"/>
    <col min="13097" max="13312" width="2.5546875" style="326" hidden="1"/>
    <col min="13313" max="13313" width="1.5546875" style="326" hidden="1" customWidth="1"/>
    <col min="13314" max="13314" width="0.6640625" style="326" hidden="1" customWidth="1"/>
    <col min="13315" max="13330" width="2.5546875" style="326" hidden="1" customWidth="1"/>
    <col min="13331" max="13331" width="4" style="326" hidden="1" customWidth="1"/>
    <col min="13332" max="13335" width="2.5546875" style="326" hidden="1" customWidth="1"/>
    <col min="13336" max="13336" width="2.44140625" style="326" hidden="1" customWidth="1"/>
    <col min="13337" max="13340" width="2.5546875" style="326" hidden="1" customWidth="1"/>
    <col min="13341" max="13341" width="2.44140625" style="326" hidden="1" customWidth="1"/>
    <col min="13342" max="13345" width="2.5546875" style="326" hidden="1" customWidth="1"/>
    <col min="13346" max="13351" width="2.44140625" style="326" hidden="1" customWidth="1"/>
    <col min="13352" max="13352" width="1.5546875" style="326" hidden="1" customWidth="1"/>
    <col min="13353" max="13568" width="2.5546875" style="326" hidden="1"/>
    <col min="13569" max="13569" width="1.5546875" style="326" hidden="1" customWidth="1"/>
    <col min="13570" max="13570" width="0.6640625" style="326" hidden="1" customWidth="1"/>
    <col min="13571" max="13586" width="2.5546875" style="326" hidden="1" customWidth="1"/>
    <col min="13587" max="13587" width="4" style="326" hidden="1" customWidth="1"/>
    <col min="13588" max="13591" width="2.5546875" style="326" hidden="1" customWidth="1"/>
    <col min="13592" max="13592" width="2.44140625" style="326" hidden="1" customWidth="1"/>
    <col min="13593" max="13596" width="2.5546875" style="326" hidden="1" customWidth="1"/>
    <col min="13597" max="13597" width="2.44140625" style="326" hidden="1" customWidth="1"/>
    <col min="13598" max="13601" width="2.5546875" style="326" hidden="1" customWidth="1"/>
    <col min="13602" max="13607" width="2.44140625" style="326" hidden="1" customWidth="1"/>
    <col min="13608" max="13608" width="1.5546875" style="326" hidden="1" customWidth="1"/>
    <col min="13609" max="13824" width="2.5546875" style="326" hidden="1"/>
    <col min="13825" max="13825" width="1.5546875" style="326" hidden="1" customWidth="1"/>
    <col min="13826" max="13826" width="0.6640625" style="326" hidden="1" customWidth="1"/>
    <col min="13827" max="13842" width="2.5546875" style="326" hidden="1" customWidth="1"/>
    <col min="13843" max="13843" width="4" style="326" hidden="1" customWidth="1"/>
    <col min="13844" max="13847" width="2.5546875" style="326" hidden="1" customWidth="1"/>
    <col min="13848" max="13848" width="2.44140625" style="326" hidden="1" customWidth="1"/>
    <col min="13849" max="13852" width="2.5546875" style="326" hidden="1" customWidth="1"/>
    <col min="13853" max="13853" width="2.44140625" style="326" hidden="1" customWidth="1"/>
    <col min="13854" max="13857" width="2.5546875" style="326" hidden="1" customWidth="1"/>
    <col min="13858" max="13863" width="2.44140625" style="326" hidden="1" customWidth="1"/>
    <col min="13864" max="13864" width="1.5546875" style="326" hidden="1" customWidth="1"/>
    <col min="13865" max="14080" width="2.5546875" style="326" hidden="1"/>
    <col min="14081" max="14081" width="1.5546875" style="326" hidden="1" customWidth="1"/>
    <col min="14082" max="14082" width="0.6640625" style="326" hidden="1" customWidth="1"/>
    <col min="14083" max="14098" width="2.5546875" style="326" hidden="1" customWidth="1"/>
    <col min="14099" max="14099" width="4" style="326" hidden="1" customWidth="1"/>
    <col min="14100" max="14103" width="2.5546875" style="326" hidden="1" customWidth="1"/>
    <col min="14104" max="14104" width="2.44140625" style="326" hidden="1" customWidth="1"/>
    <col min="14105" max="14108" width="2.5546875" style="326" hidden="1" customWidth="1"/>
    <col min="14109" max="14109" width="2.44140625" style="326" hidden="1" customWidth="1"/>
    <col min="14110" max="14113" width="2.5546875" style="326" hidden="1" customWidth="1"/>
    <col min="14114" max="14119" width="2.44140625" style="326" hidden="1" customWidth="1"/>
    <col min="14120" max="14120" width="1.5546875" style="326" hidden="1" customWidth="1"/>
    <col min="14121" max="14336" width="2.5546875" style="326" hidden="1"/>
    <col min="14337" max="14337" width="1.5546875" style="326" hidden="1" customWidth="1"/>
    <col min="14338" max="14338" width="0.6640625" style="326" hidden="1" customWidth="1"/>
    <col min="14339" max="14354" width="2.5546875" style="326" hidden="1" customWidth="1"/>
    <col min="14355" max="14355" width="4" style="326" hidden="1" customWidth="1"/>
    <col min="14356" max="14359" width="2.5546875" style="326" hidden="1" customWidth="1"/>
    <col min="14360" max="14360" width="2.44140625" style="326" hidden="1" customWidth="1"/>
    <col min="14361" max="14364" width="2.5546875" style="326" hidden="1" customWidth="1"/>
    <col min="14365" max="14365" width="2.44140625" style="326" hidden="1" customWidth="1"/>
    <col min="14366" max="14369" width="2.5546875" style="326" hidden="1" customWidth="1"/>
    <col min="14370" max="14375" width="2.44140625" style="326" hidden="1" customWidth="1"/>
    <col min="14376" max="14376" width="1.5546875" style="326" hidden="1" customWidth="1"/>
    <col min="14377" max="14592" width="2.5546875" style="326" hidden="1"/>
    <col min="14593" max="14593" width="1.5546875" style="326" hidden="1" customWidth="1"/>
    <col min="14594" max="14594" width="0.6640625" style="326" hidden="1" customWidth="1"/>
    <col min="14595" max="14610" width="2.5546875" style="326" hidden="1" customWidth="1"/>
    <col min="14611" max="14611" width="4" style="326" hidden="1" customWidth="1"/>
    <col min="14612" max="14615" width="2.5546875" style="326" hidden="1" customWidth="1"/>
    <col min="14616" max="14616" width="2.44140625" style="326" hidden="1" customWidth="1"/>
    <col min="14617" max="14620" width="2.5546875" style="326" hidden="1" customWidth="1"/>
    <col min="14621" max="14621" width="2.44140625" style="326" hidden="1" customWidth="1"/>
    <col min="14622" max="14625" width="2.5546875" style="326" hidden="1" customWidth="1"/>
    <col min="14626" max="14631" width="2.44140625" style="326" hidden="1" customWidth="1"/>
    <col min="14632" max="14632" width="1.5546875" style="326" hidden="1" customWidth="1"/>
    <col min="14633" max="14848" width="2.5546875" style="326" hidden="1"/>
    <col min="14849" max="14849" width="1.5546875" style="326" hidden="1" customWidth="1"/>
    <col min="14850" max="14850" width="0.6640625" style="326" hidden="1" customWidth="1"/>
    <col min="14851" max="14866" width="2.5546875" style="326" hidden="1" customWidth="1"/>
    <col min="14867" max="14867" width="4" style="326" hidden="1" customWidth="1"/>
    <col min="14868" max="14871" width="2.5546875" style="326" hidden="1" customWidth="1"/>
    <col min="14872" max="14872" width="2.44140625" style="326" hidden="1" customWidth="1"/>
    <col min="14873" max="14876" width="2.5546875" style="326" hidden="1" customWidth="1"/>
    <col min="14877" max="14877" width="2.44140625" style="326" hidden="1" customWidth="1"/>
    <col min="14878" max="14881" width="2.5546875" style="326" hidden="1" customWidth="1"/>
    <col min="14882" max="14887" width="2.44140625" style="326" hidden="1" customWidth="1"/>
    <col min="14888" max="14888" width="1.5546875" style="326" hidden="1" customWidth="1"/>
    <col min="14889" max="15104" width="2.5546875" style="326" hidden="1"/>
    <col min="15105" max="15105" width="1.5546875" style="326" hidden="1" customWidth="1"/>
    <col min="15106" max="15106" width="0.6640625" style="326" hidden="1" customWidth="1"/>
    <col min="15107" max="15122" width="2.5546875" style="326" hidden="1" customWidth="1"/>
    <col min="15123" max="15123" width="4" style="326" hidden="1" customWidth="1"/>
    <col min="15124" max="15127" width="2.5546875" style="326" hidden="1" customWidth="1"/>
    <col min="15128" max="15128" width="2.44140625" style="326" hidden="1" customWidth="1"/>
    <col min="15129" max="15132" width="2.5546875" style="326" hidden="1" customWidth="1"/>
    <col min="15133" max="15133" width="2.44140625" style="326" hidden="1" customWidth="1"/>
    <col min="15134" max="15137" width="2.5546875" style="326" hidden="1" customWidth="1"/>
    <col min="15138" max="15143" width="2.44140625" style="326" hidden="1" customWidth="1"/>
    <col min="15144" max="15144" width="1.5546875" style="326" hidden="1" customWidth="1"/>
    <col min="15145" max="15360" width="2.5546875" style="326" hidden="1"/>
    <col min="15361" max="15361" width="1.5546875" style="326" hidden="1" customWidth="1"/>
    <col min="15362" max="15362" width="0.6640625" style="326" hidden="1" customWidth="1"/>
    <col min="15363" max="15378" width="2.5546875" style="326" hidden="1" customWidth="1"/>
    <col min="15379" max="15379" width="4" style="326" hidden="1" customWidth="1"/>
    <col min="15380" max="15383" width="2.5546875" style="326" hidden="1" customWidth="1"/>
    <col min="15384" max="15384" width="2.44140625" style="326" hidden="1" customWidth="1"/>
    <col min="15385" max="15388" width="2.5546875" style="326" hidden="1" customWidth="1"/>
    <col min="15389" max="15389" width="2.44140625" style="326" hidden="1" customWidth="1"/>
    <col min="15390" max="15393" width="2.5546875" style="326" hidden="1" customWidth="1"/>
    <col min="15394" max="15399" width="2.44140625" style="326" hidden="1" customWidth="1"/>
    <col min="15400" max="15400" width="1.5546875" style="326" hidden="1" customWidth="1"/>
    <col min="15401" max="15616" width="2.5546875" style="326" hidden="1"/>
    <col min="15617" max="15617" width="1.5546875" style="326" hidden="1" customWidth="1"/>
    <col min="15618" max="15618" width="0.6640625" style="326" hidden="1" customWidth="1"/>
    <col min="15619" max="15634" width="2.5546875" style="326" hidden="1" customWidth="1"/>
    <col min="15635" max="15635" width="4" style="326" hidden="1" customWidth="1"/>
    <col min="15636" max="15639" width="2.5546875" style="326" hidden="1" customWidth="1"/>
    <col min="15640" max="15640" width="2.44140625" style="326" hidden="1" customWidth="1"/>
    <col min="15641" max="15644" width="2.5546875" style="326" hidden="1" customWidth="1"/>
    <col min="15645" max="15645" width="2.44140625" style="326" hidden="1" customWidth="1"/>
    <col min="15646" max="15649" width="2.5546875" style="326" hidden="1" customWidth="1"/>
    <col min="15650" max="15655" width="2.44140625" style="326" hidden="1" customWidth="1"/>
    <col min="15656" max="15656" width="1.5546875" style="326" hidden="1" customWidth="1"/>
    <col min="15657" max="15872" width="2.5546875" style="326" hidden="1"/>
    <col min="15873" max="15873" width="1.5546875" style="326" hidden="1" customWidth="1"/>
    <col min="15874" max="15874" width="0.6640625" style="326" hidden="1" customWidth="1"/>
    <col min="15875" max="15890" width="2.5546875" style="326" hidden="1" customWidth="1"/>
    <col min="15891" max="15891" width="4" style="326" hidden="1" customWidth="1"/>
    <col min="15892" max="15895" width="2.5546875" style="326" hidden="1" customWidth="1"/>
    <col min="15896" max="15896" width="2.44140625" style="326" hidden="1" customWidth="1"/>
    <col min="15897" max="15900" width="2.5546875" style="326" hidden="1" customWidth="1"/>
    <col min="15901" max="15901" width="2.44140625" style="326" hidden="1" customWidth="1"/>
    <col min="15902" max="15905" width="2.5546875" style="326" hidden="1" customWidth="1"/>
    <col min="15906" max="15911" width="2.44140625" style="326" hidden="1" customWidth="1"/>
    <col min="15912" max="15912" width="1.5546875" style="326" hidden="1" customWidth="1"/>
    <col min="15913" max="16128" width="2.5546875" style="326" hidden="1"/>
    <col min="16129" max="16129" width="1.5546875" style="326" hidden="1" customWidth="1"/>
    <col min="16130" max="16130" width="0.6640625" style="326" hidden="1" customWidth="1"/>
    <col min="16131" max="16146" width="2.5546875" style="326" hidden="1" customWidth="1"/>
    <col min="16147" max="16147" width="4" style="326" hidden="1" customWidth="1"/>
    <col min="16148" max="16151" width="2.5546875" style="326" hidden="1" customWidth="1"/>
    <col min="16152" max="16152" width="2.44140625" style="326" hidden="1" customWidth="1"/>
    <col min="16153" max="16156" width="2.5546875" style="326" hidden="1" customWidth="1"/>
    <col min="16157" max="16157" width="2.44140625" style="326" hidden="1" customWidth="1"/>
    <col min="16158" max="16161" width="2.5546875" style="326" hidden="1" customWidth="1"/>
    <col min="16162" max="16167" width="2.44140625" style="326" hidden="1" customWidth="1"/>
    <col min="16168" max="16168" width="1.5546875" style="326" hidden="1" customWidth="1"/>
    <col min="16169" max="16384" width="2.5546875" style="326" hidden="1"/>
  </cols>
  <sheetData>
    <row r="1" spans="1:40" ht="13.2" customHeight="1">
      <c r="A1" s="2562" t="s">
        <v>2665</v>
      </c>
      <c r="B1" s="2562"/>
      <c r="C1" s="2562"/>
      <c r="D1" s="2562"/>
      <c r="E1" s="2562"/>
      <c r="F1" s="2562"/>
      <c r="G1" s="2562"/>
      <c r="H1" s="2562"/>
      <c r="I1" s="2562"/>
      <c r="J1" s="2562"/>
      <c r="K1" s="2562"/>
      <c r="L1" s="2562"/>
      <c r="M1" s="2562"/>
      <c r="N1" s="2562"/>
      <c r="O1" s="2562"/>
      <c r="P1" s="2562"/>
      <c r="Q1" s="2562"/>
      <c r="R1" s="2562"/>
      <c r="S1" s="2562"/>
      <c r="T1" s="2562"/>
      <c r="U1" s="2562"/>
      <c r="V1" s="2562"/>
      <c r="W1" s="2562"/>
      <c r="X1" s="2562"/>
      <c r="Y1" s="2562"/>
      <c r="Z1" s="2562"/>
      <c r="AA1" s="2562"/>
      <c r="AB1" s="2562"/>
      <c r="AC1" s="2562"/>
      <c r="AD1" s="2562"/>
      <c r="AE1" s="2562"/>
      <c r="AF1" s="2562"/>
      <c r="AG1" s="2562"/>
      <c r="AH1" s="2562"/>
      <c r="AI1" s="2562"/>
      <c r="AJ1" s="2562"/>
      <c r="AK1" s="2562"/>
      <c r="AL1" s="2562"/>
      <c r="AM1" s="2562"/>
      <c r="AN1" s="2562"/>
    </row>
    <row r="2" spans="1:40" ht="13.2" customHeight="1" thickBot="1">
      <c r="A2" s="2563"/>
      <c r="B2" s="2563"/>
      <c r="C2" s="2563"/>
      <c r="D2" s="2563"/>
      <c r="E2" s="2563"/>
      <c r="F2" s="2563"/>
      <c r="G2" s="2563"/>
      <c r="H2" s="2563"/>
      <c r="I2" s="2563"/>
      <c r="J2" s="2563"/>
      <c r="K2" s="2563"/>
      <c r="L2" s="2563"/>
      <c r="M2" s="2563"/>
      <c r="N2" s="2563"/>
      <c r="O2" s="2563"/>
      <c r="P2" s="2563"/>
      <c r="Q2" s="2563"/>
      <c r="R2" s="2563"/>
      <c r="S2" s="2563"/>
      <c r="T2" s="2563"/>
      <c r="U2" s="2563"/>
      <c r="V2" s="2563"/>
      <c r="W2" s="2563"/>
      <c r="X2" s="2563"/>
      <c r="Y2" s="2563"/>
      <c r="Z2" s="2563"/>
      <c r="AA2" s="2563"/>
      <c r="AB2" s="2563"/>
      <c r="AC2" s="2563"/>
      <c r="AD2" s="2563"/>
      <c r="AE2" s="2563"/>
      <c r="AF2" s="2563"/>
      <c r="AG2" s="2563"/>
      <c r="AH2" s="2563"/>
      <c r="AI2" s="2563"/>
      <c r="AJ2" s="2563"/>
      <c r="AK2" s="2563"/>
      <c r="AL2" s="2563"/>
      <c r="AM2" s="2563"/>
      <c r="AN2" s="2563"/>
    </row>
    <row r="3" spans="1:40" ht="13.2" customHeight="1" thickTop="1">
      <c r="A3" s="326" t="str">
        <f>+A1</f>
        <v>V. BASIS AND CREDITS : 4% FEDERAL AND STATE CREDIT</v>
      </c>
      <c r="C3" s="77"/>
      <c r="D3" s="77"/>
      <c r="E3" s="77"/>
      <c r="F3" s="77"/>
      <c r="G3" s="77"/>
      <c r="H3" s="77"/>
      <c r="I3" s="7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row>
    <row r="4" spans="1:40" ht="13.2" customHeight="1">
      <c r="A4" s="328"/>
    </row>
    <row r="5" spans="1:40" ht="13.2" customHeight="1">
      <c r="A5" s="328" t="s">
        <v>919</v>
      </c>
      <c r="C5" s="328" t="s">
        <v>269</v>
      </c>
      <c r="F5" s="328"/>
    </row>
    <row r="6" spans="1:40" ht="13.2" customHeight="1">
      <c r="A6" s="328"/>
      <c r="C6" s="326" t="s">
        <v>2666</v>
      </c>
    </row>
    <row r="7" spans="1:40" ht="13.2" customHeight="1">
      <c r="B7" s="329"/>
      <c r="C7" s="330"/>
      <c r="D7" s="330"/>
      <c r="E7" s="330"/>
      <c r="F7" s="330"/>
      <c r="G7" s="330"/>
      <c r="H7" s="330"/>
      <c r="I7" s="330"/>
      <c r="J7" s="330"/>
      <c r="K7" s="330"/>
      <c r="L7" s="330"/>
      <c r="M7" s="330"/>
      <c r="N7" s="330"/>
      <c r="O7" s="330"/>
      <c r="P7" s="330"/>
      <c r="Q7" s="330"/>
      <c r="R7" s="330"/>
      <c r="S7" s="330"/>
      <c r="T7" s="2564" t="str">
        <f xml:space="preserve"> IF(T25=100%,'Sources and Basis Breakdown'!G2,'Sources and Basis Breakdown'!F2)</f>
        <v>30% PVC for New Const/
Rehabilitation
DDA/QCT
Building(s)</v>
      </c>
      <c r="U7" s="2564"/>
      <c r="V7" s="2564"/>
      <c r="W7" s="2564"/>
      <c r="X7" s="2564"/>
      <c r="Y7" s="2564" t="str">
        <f>IF(T25=100%,"",'Sources and Basis Breakdown'!G2)</f>
        <v>30% PVC for New Const/
Rehabilitation
NON-DDA/
NON-QCT Building(s)</v>
      </c>
      <c r="Z7" s="2564"/>
      <c r="AA7" s="2564"/>
      <c r="AB7" s="2564"/>
      <c r="AC7" s="2564"/>
      <c r="AD7" s="2564" t="str">
        <f xml:space="preserve"> IF(T25=100%, 'Sources and Basis Breakdown'!J2,'Sources and Basis Breakdown'!I2)</f>
        <v>30% PVC for Acquisition
DDA/QCT Building(s)</v>
      </c>
      <c r="AE7" s="2564"/>
      <c r="AF7" s="2564"/>
      <c r="AG7" s="2564"/>
      <c r="AH7" s="2564"/>
      <c r="AI7" s="2564" t="str">
        <f>IF(T25=100%,"",'Sources and Basis Breakdown'!J2)</f>
        <v>30% PVC for Acquisition
NON-DDA/
NON-QCT Building(s)</v>
      </c>
      <c r="AJ7" s="2564"/>
      <c r="AK7" s="2564"/>
      <c r="AL7" s="2564"/>
      <c r="AM7" s="2564"/>
    </row>
    <row r="8" spans="1:40" ht="13.2" customHeight="1">
      <c r="B8" s="331"/>
      <c r="T8" s="2564"/>
      <c r="U8" s="2564"/>
      <c r="V8" s="2564"/>
      <c r="W8" s="2564"/>
      <c r="X8" s="2564"/>
      <c r="Y8" s="2564"/>
      <c r="Z8" s="2564"/>
      <c r="AA8" s="2564"/>
      <c r="AB8" s="2564"/>
      <c r="AC8" s="2564"/>
      <c r="AD8" s="2564"/>
      <c r="AE8" s="2564"/>
      <c r="AF8" s="2564"/>
      <c r="AG8" s="2564"/>
      <c r="AH8" s="2564"/>
      <c r="AI8" s="2564"/>
      <c r="AJ8" s="2564"/>
      <c r="AK8" s="2564"/>
      <c r="AL8" s="2564"/>
      <c r="AM8" s="2564"/>
    </row>
    <row r="9" spans="1:40" ht="13.2" customHeight="1">
      <c r="B9" s="331"/>
      <c r="T9" s="2564"/>
      <c r="U9" s="2564"/>
      <c r="V9" s="2564"/>
      <c r="W9" s="2564"/>
      <c r="X9" s="2564"/>
      <c r="Y9" s="2564"/>
      <c r="Z9" s="2564"/>
      <c r="AA9" s="2564"/>
      <c r="AB9" s="2564"/>
      <c r="AC9" s="2564"/>
      <c r="AD9" s="2564"/>
      <c r="AE9" s="2564"/>
      <c r="AF9" s="2564"/>
      <c r="AG9" s="2564"/>
      <c r="AH9" s="2564"/>
      <c r="AI9" s="2564"/>
      <c r="AJ9" s="2564"/>
      <c r="AK9" s="2564"/>
      <c r="AL9" s="2564"/>
      <c r="AM9" s="2564"/>
    </row>
    <row r="10" spans="1:40" ht="13.2" customHeight="1">
      <c r="B10" s="332"/>
      <c r="C10" s="333"/>
      <c r="D10" s="333"/>
      <c r="E10" s="333"/>
      <c r="F10" s="333"/>
      <c r="G10" s="333"/>
      <c r="H10" s="333"/>
      <c r="I10" s="333"/>
      <c r="J10" s="333"/>
      <c r="K10" s="333"/>
      <c r="L10" s="333"/>
      <c r="M10" s="333"/>
      <c r="N10" s="333"/>
      <c r="O10" s="333"/>
      <c r="P10" s="333"/>
      <c r="Q10" s="333"/>
      <c r="R10" s="333"/>
      <c r="S10" s="333"/>
      <c r="T10" s="2564"/>
      <c r="U10" s="2564"/>
      <c r="V10" s="2564"/>
      <c r="W10" s="2564"/>
      <c r="X10" s="2564"/>
      <c r="Y10" s="2564"/>
      <c r="Z10" s="2564"/>
      <c r="AA10" s="2564"/>
      <c r="AB10" s="2564"/>
      <c r="AC10" s="2564"/>
      <c r="AD10" s="2564"/>
      <c r="AE10" s="2564"/>
      <c r="AF10" s="2564"/>
      <c r="AG10" s="2564"/>
      <c r="AH10" s="2564"/>
      <c r="AI10" s="2564"/>
      <c r="AJ10" s="2564"/>
      <c r="AK10" s="2564"/>
      <c r="AL10" s="2564"/>
      <c r="AM10" s="2564"/>
    </row>
    <row r="11" spans="1:40" ht="13.2" customHeight="1">
      <c r="B11" s="2543" t="s">
        <v>1947</v>
      </c>
      <c r="C11" s="2544"/>
      <c r="D11" s="2544"/>
      <c r="E11" s="2544"/>
      <c r="F11" s="2544"/>
      <c r="G11" s="2544"/>
      <c r="H11" s="2544"/>
      <c r="I11" s="2544"/>
      <c r="J11" s="2544"/>
      <c r="K11" s="2544"/>
      <c r="L11" s="2544"/>
      <c r="M11" s="2544"/>
      <c r="N11" s="2544"/>
      <c r="O11" s="2544"/>
      <c r="P11" s="2544"/>
      <c r="Q11" s="2544"/>
      <c r="R11" s="2544"/>
      <c r="S11" s="2545"/>
      <c r="T11" s="2565">
        <f>IF('Sources and Basis Breakdown'!F107=0,'Sources and Basis Breakdown'!E107,'Sources and Basis Breakdown'!F107)</f>
        <v>67572262.090800017</v>
      </c>
      <c r="U11" s="2566"/>
      <c r="V11" s="2566"/>
      <c r="W11" s="2566"/>
      <c r="X11" s="2566"/>
      <c r="Y11" s="2565">
        <f>IF(Y7="",0,IF('Sources and Basis Breakdown'!G107+'Sources and Basis Breakdown'!F107='Sources and Basis Breakdown'!E107,'Sources and Basis Breakdown'!G107,0))</f>
        <v>0</v>
      </c>
      <c r="Z11" s="2566"/>
      <c r="AA11" s="2566"/>
      <c r="AB11" s="2566"/>
      <c r="AC11" s="2566"/>
      <c r="AD11" s="2566">
        <f>IF('Sources and Basis Breakdown'!I107=0,'Sources and Basis Breakdown'!H107,'Sources and Basis Breakdown'!I107)</f>
        <v>0</v>
      </c>
      <c r="AE11" s="2566"/>
      <c r="AF11" s="2566"/>
      <c r="AG11" s="2566"/>
      <c r="AH11" s="2566"/>
      <c r="AI11" s="2566">
        <f>IF(Y7="",0,IF('Sources and Basis Breakdown'!I107+'Sources and Basis Breakdown'!J107='Sources and Basis Breakdown'!H107,'Sources and Basis Breakdown'!J107,0))</f>
        <v>0</v>
      </c>
      <c r="AJ11" s="2566"/>
      <c r="AK11" s="2566"/>
      <c r="AL11" s="2566"/>
      <c r="AM11" s="2566"/>
    </row>
    <row r="12" spans="1:40" ht="13.2" customHeight="1">
      <c r="B12" s="2558" t="s">
        <v>2667</v>
      </c>
      <c r="C12" s="1241"/>
      <c r="D12" s="1241"/>
      <c r="E12" s="1241"/>
      <c r="F12" s="1241"/>
      <c r="G12" s="1241"/>
      <c r="H12" s="1241"/>
      <c r="I12" s="1241"/>
      <c r="J12" s="1241"/>
      <c r="K12" s="1241"/>
      <c r="L12" s="1241"/>
      <c r="M12" s="1241"/>
      <c r="N12" s="1241"/>
      <c r="O12" s="1241"/>
      <c r="P12" s="1241"/>
      <c r="Q12" s="1241"/>
      <c r="R12" s="1241"/>
      <c r="S12" s="2559"/>
      <c r="T12" s="2531"/>
      <c r="U12" s="2532"/>
      <c r="V12" s="2532"/>
      <c r="W12" s="2532"/>
      <c r="X12" s="2533"/>
      <c r="Y12" s="2531"/>
      <c r="Z12" s="2532"/>
      <c r="AA12" s="2532"/>
      <c r="AB12" s="2532"/>
      <c r="AC12" s="2533"/>
      <c r="AD12" s="2531"/>
      <c r="AE12" s="2532"/>
      <c r="AF12" s="2532"/>
      <c r="AG12" s="2532"/>
      <c r="AH12" s="2533"/>
      <c r="AI12" s="2531"/>
      <c r="AJ12" s="2532"/>
      <c r="AK12" s="2532"/>
      <c r="AL12" s="2532"/>
      <c r="AM12" s="2533"/>
    </row>
    <row r="13" spans="1:40" ht="13.2" customHeight="1">
      <c r="B13" s="360"/>
      <c r="C13" s="2560" t="s">
        <v>2668</v>
      </c>
      <c r="D13" s="2560"/>
      <c r="E13" s="2560"/>
      <c r="F13" s="2560"/>
      <c r="G13" s="2560"/>
      <c r="H13" s="2560"/>
      <c r="I13" s="2560"/>
      <c r="J13" s="2560"/>
      <c r="K13" s="2560"/>
      <c r="L13" s="2560"/>
      <c r="M13" s="2560"/>
      <c r="N13" s="2560"/>
      <c r="O13" s="2560"/>
      <c r="P13" s="2560"/>
      <c r="Q13" s="2560"/>
      <c r="R13" s="2560"/>
      <c r="S13" s="2561"/>
      <c r="T13" s="2567"/>
      <c r="U13" s="2568"/>
      <c r="V13" s="2568"/>
      <c r="W13" s="2568"/>
      <c r="X13" s="2568"/>
      <c r="Y13" s="2567"/>
      <c r="Z13" s="2568"/>
      <c r="AA13" s="2568"/>
      <c r="AB13" s="2568"/>
      <c r="AC13" s="2568"/>
      <c r="AD13" s="2568"/>
      <c r="AE13" s="2568"/>
      <c r="AF13" s="2568"/>
      <c r="AG13" s="2568"/>
      <c r="AH13" s="2568"/>
      <c r="AI13" s="2568"/>
      <c r="AJ13" s="2568"/>
      <c r="AK13" s="2568"/>
      <c r="AL13" s="2568"/>
      <c r="AM13" s="2568"/>
    </row>
    <row r="14" spans="1:40" ht="13.2" customHeight="1">
      <c r="B14" s="360"/>
      <c r="C14" s="2560" t="s">
        <v>2669</v>
      </c>
      <c r="D14" s="2560"/>
      <c r="E14" s="2560"/>
      <c r="F14" s="2560"/>
      <c r="G14" s="2560"/>
      <c r="H14" s="2560"/>
      <c r="I14" s="2560"/>
      <c r="J14" s="2560"/>
      <c r="K14" s="2560"/>
      <c r="L14" s="2560"/>
      <c r="M14" s="2560"/>
      <c r="N14" s="2560"/>
      <c r="O14" s="2560"/>
      <c r="P14" s="2560"/>
      <c r="Q14" s="2560"/>
      <c r="R14" s="2560"/>
      <c r="S14" s="2561"/>
      <c r="T14" s="2534"/>
      <c r="U14" s="2535"/>
      <c r="V14" s="2535"/>
      <c r="W14" s="2535"/>
      <c r="X14" s="2535"/>
      <c r="Y14" s="2534"/>
      <c r="Z14" s="2535"/>
      <c r="AA14" s="2535"/>
      <c r="AB14" s="2535"/>
      <c r="AC14" s="2535"/>
      <c r="AD14" s="2535"/>
      <c r="AE14" s="2535"/>
      <c r="AF14" s="2535"/>
      <c r="AG14" s="2535"/>
      <c r="AH14" s="2535"/>
      <c r="AI14" s="2535"/>
      <c r="AJ14" s="2535"/>
      <c r="AK14" s="2535"/>
      <c r="AL14" s="2535"/>
      <c r="AM14" s="2535"/>
    </row>
    <row r="15" spans="1:40" ht="13.2" customHeight="1">
      <c r="B15" s="360"/>
      <c r="C15" s="2560" t="s">
        <v>2670</v>
      </c>
      <c r="D15" s="2560"/>
      <c r="E15" s="2560"/>
      <c r="F15" s="2560"/>
      <c r="G15" s="2560"/>
      <c r="H15" s="2560"/>
      <c r="I15" s="2560"/>
      <c r="J15" s="2560"/>
      <c r="K15" s="2560"/>
      <c r="L15" s="2560"/>
      <c r="M15" s="2560"/>
      <c r="N15" s="2560"/>
      <c r="O15" s="2560"/>
      <c r="P15" s="2560"/>
      <c r="Q15" s="2560"/>
      <c r="R15" s="2560"/>
      <c r="S15" s="2561"/>
      <c r="T15" s="2534"/>
      <c r="U15" s="2535"/>
      <c r="V15" s="2535"/>
      <c r="W15" s="2535"/>
      <c r="X15" s="2535"/>
      <c r="Y15" s="2534"/>
      <c r="Z15" s="2535"/>
      <c r="AA15" s="2535"/>
      <c r="AB15" s="2535"/>
      <c r="AC15" s="2535"/>
      <c r="AD15" s="2535"/>
      <c r="AE15" s="2535"/>
      <c r="AF15" s="2535"/>
      <c r="AG15" s="2535"/>
      <c r="AH15" s="2535"/>
      <c r="AI15" s="2535"/>
      <c r="AJ15" s="2535"/>
      <c r="AK15" s="2535"/>
      <c r="AL15" s="2535"/>
      <c r="AM15" s="2535"/>
    </row>
    <row r="16" spans="1:40" ht="13.2" customHeight="1">
      <c r="B16" s="360"/>
      <c r="C16" s="2560" t="s">
        <v>2671</v>
      </c>
      <c r="D16" s="2560"/>
      <c r="E16" s="2560"/>
      <c r="F16" s="2560"/>
      <c r="G16" s="2560"/>
      <c r="H16" s="2560"/>
      <c r="I16" s="2560"/>
      <c r="J16" s="2560"/>
      <c r="K16" s="2560"/>
      <c r="L16" s="2560"/>
      <c r="M16" s="2560"/>
      <c r="N16" s="2560"/>
      <c r="O16" s="2560"/>
      <c r="P16" s="2560"/>
      <c r="Q16" s="2560"/>
      <c r="R16" s="2560"/>
      <c r="S16" s="2561"/>
      <c r="T16" s="2534"/>
      <c r="U16" s="2535"/>
      <c r="V16" s="2535"/>
      <c r="W16" s="2535"/>
      <c r="X16" s="2535"/>
      <c r="Y16" s="2534"/>
      <c r="Z16" s="2535"/>
      <c r="AA16" s="2535"/>
      <c r="AB16" s="2535"/>
      <c r="AC16" s="2535"/>
      <c r="AD16" s="2535"/>
      <c r="AE16" s="2535"/>
      <c r="AF16" s="2535"/>
      <c r="AG16" s="2535"/>
      <c r="AH16" s="2535"/>
      <c r="AI16" s="2535"/>
      <c r="AJ16" s="2535"/>
      <c r="AK16" s="2535"/>
      <c r="AL16" s="2535"/>
      <c r="AM16" s="2535"/>
    </row>
    <row r="17" spans="1:40" ht="13.2" customHeight="1">
      <c r="B17" s="360"/>
      <c r="C17" s="2560" t="s">
        <v>2672</v>
      </c>
      <c r="D17" s="2560"/>
      <c r="E17" s="2560"/>
      <c r="F17" s="2560"/>
      <c r="G17" s="2560"/>
      <c r="H17" s="2560"/>
      <c r="I17" s="2560"/>
      <c r="J17" s="2560"/>
      <c r="K17" s="2560"/>
      <c r="L17" s="2560"/>
      <c r="M17" s="2560"/>
      <c r="N17" s="2560"/>
      <c r="O17" s="2560"/>
      <c r="P17" s="2560"/>
      <c r="Q17" s="2560"/>
      <c r="R17" s="2560"/>
      <c r="S17" s="2561"/>
      <c r="T17" s="2534"/>
      <c r="U17" s="2535"/>
      <c r="V17" s="2535"/>
      <c r="W17" s="2535"/>
      <c r="X17" s="2535"/>
      <c r="Y17" s="2534"/>
      <c r="Z17" s="2535"/>
      <c r="AA17" s="2535"/>
      <c r="AB17" s="2535"/>
      <c r="AC17" s="2535"/>
      <c r="AD17" s="2535"/>
      <c r="AE17" s="2535"/>
      <c r="AF17" s="2535"/>
      <c r="AG17" s="2535"/>
      <c r="AH17" s="2535"/>
      <c r="AI17" s="2535"/>
      <c r="AJ17" s="2535"/>
      <c r="AK17" s="2535"/>
      <c r="AL17" s="2535"/>
      <c r="AM17" s="2535"/>
    </row>
    <row r="18" spans="1:40" ht="13.2" customHeight="1">
      <c r="A18"/>
      <c r="B18" s="1073"/>
      <c r="C18" s="1605" t="s">
        <v>2673</v>
      </c>
      <c r="D18" s="1605"/>
      <c r="E18" s="1605"/>
      <c r="F18" s="1605"/>
      <c r="G18" s="1605"/>
      <c r="H18" s="1605"/>
      <c r="I18" s="1605"/>
      <c r="J18" s="1605"/>
      <c r="K18" s="1605"/>
      <c r="L18" s="1605"/>
      <c r="M18" s="1605"/>
      <c r="N18" s="1605"/>
      <c r="O18" s="1605"/>
      <c r="P18" s="1605"/>
      <c r="Q18" s="1605"/>
      <c r="R18" s="1605"/>
      <c r="S18" s="1606"/>
      <c r="T18" s="2534"/>
      <c r="U18" s="2535"/>
      <c r="V18" s="2535"/>
      <c r="W18" s="2535"/>
      <c r="X18" s="2535"/>
      <c r="Y18" s="2534"/>
      <c r="Z18" s="2535"/>
      <c r="AA18" s="2535"/>
      <c r="AB18" s="2535"/>
      <c r="AC18" s="2535"/>
      <c r="AD18" s="2535"/>
      <c r="AE18" s="2535"/>
      <c r="AF18" s="2535"/>
      <c r="AG18" s="2535"/>
      <c r="AH18" s="2535"/>
      <c r="AI18" s="2535"/>
      <c r="AJ18" s="2535"/>
      <c r="AK18" s="2535"/>
      <c r="AL18" s="2535"/>
      <c r="AM18" s="2535"/>
    </row>
    <row r="19" spans="1:40" ht="13.2" customHeight="1">
      <c r="B19" s="1073"/>
      <c r="C19" s="1605" t="s">
        <v>2673</v>
      </c>
      <c r="D19" s="1605"/>
      <c r="E19" s="1605"/>
      <c r="F19" s="1605"/>
      <c r="G19" s="1605"/>
      <c r="H19" s="1605"/>
      <c r="I19" s="1605"/>
      <c r="J19" s="1605"/>
      <c r="K19" s="1605"/>
      <c r="L19" s="1605"/>
      <c r="M19" s="1605"/>
      <c r="N19" s="1605"/>
      <c r="O19" s="1605"/>
      <c r="P19" s="1605"/>
      <c r="Q19" s="1605"/>
      <c r="R19" s="1605"/>
      <c r="S19" s="1606"/>
      <c r="T19" s="2534"/>
      <c r="U19" s="2535"/>
      <c r="V19" s="2535"/>
      <c r="W19" s="2535"/>
      <c r="X19" s="2535"/>
      <c r="Y19" s="2534"/>
      <c r="Z19" s="2535"/>
      <c r="AA19" s="2535"/>
      <c r="AB19" s="2535"/>
      <c r="AC19" s="2535"/>
      <c r="AD19" s="2535"/>
      <c r="AE19" s="2535"/>
      <c r="AF19" s="2535"/>
      <c r="AG19" s="2535"/>
      <c r="AH19" s="2535"/>
      <c r="AI19" s="2535"/>
      <c r="AJ19" s="2535"/>
      <c r="AK19" s="2535"/>
      <c r="AL19" s="2535"/>
      <c r="AM19" s="2535"/>
    </row>
    <row r="20" spans="1:40" ht="13.2" customHeight="1">
      <c r="B20" s="2543" t="s">
        <v>2674</v>
      </c>
      <c r="C20" s="2544"/>
      <c r="D20" s="2544"/>
      <c r="E20" s="2544"/>
      <c r="F20" s="2544"/>
      <c r="G20" s="2544"/>
      <c r="H20" s="2544"/>
      <c r="I20" s="2544"/>
      <c r="J20" s="2544"/>
      <c r="K20" s="2544"/>
      <c r="L20" s="2544"/>
      <c r="M20" s="2544"/>
      <c r="N20" s="2544"/>
      <c r="O20" s="2544"/>
      <c r="P20" s="2544"/>
      <c r="Q20" s="2544"/>
      <c r="R20" s="2544"/>
      <c r="S20" s="2545"/>
      <c r="T20" s="2536">
        <f>SUM(T13:X19)</f>
        <v>0</v>
      </c>
      <c r="U20" s="2537"/>
      <c r="V20" s="2537"/>
      <c r="W20" s="2537"/>
      <c r="X20" s="2537"/>
      <c r="Y20" s="2536">
        <f>SUM(Y13:AC19)</f>
        <v>0</v>
      </c>
      <c r="Z20" s="2537"/>
      <c r="AA20" s="2537"/>
      <c r="AB20" s="2537"/>
      <c r="AC20" s="2537"/>
      <c r="AD20" s="2538">
        <f>SUM(AD13:AH19)</f>
        <v>0</v>
      </c>
      <c r="AE20" s="2539"/>
      <c r="AF20" s="2539"/>
      <c r="AG20" s="2539"/>
      <c r="AH20" s="2536"/>
      <c r="AI20" s="2538">
        <f>SUM(AI13:AM19)</f>
        <v>0</v>
      </c>
      <c r="AJ20" s="2539"/>
      <c r="AK20" s="2539"/>
      <c r="AL20" s="2539"/>
      <c r="AM20" s="2536"/>
    </row>
    <row r="21" spans="1:40" ht="13.2" customHeight="1">
      <c r="B21" s="2543" t="s">
        <v>2675</v>
      </c>
      <c r="C21" s="2544"/>
      <c r="D21" s="2544"/>
      <c r="E21" s="2544"/>
      <c r="F21" s="2544"/>
      <c r="G21" s="2544"/>
      <c r="H21" s="2544"/>
      <c r="I21" s="2544"/>
      <c r="J21" s="2544"/>
      <c r="K21" s="2544"/>
      <c r="L21" s="2544"/>
      <c r="M21" s="2544"/>
      <c r="N21" s="2544"/>
      <c r="O21" s="2544"/>
      <c r="P21" s="2544"/>
      <c r="Q21" s="2544"/>
      <c r="R21" s="2544"/>
      <c r="S21" s="2545"/>
      <c r="T21" s="2534"/>
      <c r="U21" s="2535"/>
      <c r="V21" s="2535"/>
      <c r="W21" s="2535"/>
      <c r="X21" s="2535"/>
      <c r="Y21" s="2534"/>
      <c r="Z21" s="2535"/>
      <c r="AA21" s="2535"/>
      <c r="AB21" s="2535"/>
      <c r="AC21" s="2535"/>
      <c r="AD21" s="2531"/>
      <c r="AE21" s="2532"/>
      <c r="AF21" s="2532"/>
      <c r="AG21" s="2532"/>
      <c r="AH21" s="2533"/>
      <c r="AI21" s="2531"/>
      <c r="AJ21" s="2532"/>
      <c r="AK21" s="2532"/>
      <c r="AL21" s="2532"/>
      <c r="AM21" s="2533"/>
    </row>
    <row r="22" spans="1:40" ht="13.2" customHeight="1">
      <c r="B22" s="2543" t="s">
        <v>2676</v>
      </c>
      <c r="C22" s="2544"/>
      <c r="D22" s="2544"/>
      <c r="E22" s="2544"/>
      <c r="F22" s="2544"/>
      <c r="G22" s="2544"/>
      <c r="H22" s="2544"/>
      <c r="I22" s="2544"/>
      <c r="J22" s="2544"/>
      <c r="K22" s="2544"/>
      <c r="L22" s="2544"/>
      <c r="M22" s="2544"/>
      <c r="N22" s="2544"/>
      <c r="O22" s="2544"/>
      <c r="P22" s="2544"/>
      <c r="Q22" s="2544"/>
      <c r="R22" s="2544"/>
      <c r="S22" s="2545"/>
      <c r="T22" s="2569">
        <f>(ABS(T20)+ABS(T21))*-1</f>
        <v>0</v>
      </c>
      <c r="U22" s="2570"/>
      <c r="V22" s="2570"/>
      <c r="W22" s="2570"/>
      <c r="X22" s="2570"/>
      <c r="Y22" s="2569">
        <f>(Y20+Y21)*-1</f>
        <v>0</v>
      </c>
      <c r="Z22" s="2570"/>
      <c r="AA22" s="2570"/>
      <c r="AB22" s="2570"/>
      <c r="AC22" s="2570"/>
      <c r="AD22" s="2571">
        <f>(AD20)*-1</f>
        <v>0</v>
      </c>
      <c r="AE22" s="2572"/>
      <c r="AF22" s="2572"/>
      <c r="AG22" s="2572"/>
      <c r="AH22" s="2569"/>
      <c r="AI22" s="2571">
        <f>(AI20)*-1</f>
        <v>0</v>
      </c>
      <c r="AJ22" s="2572"/>
      <c r="AK22" s="2572"/>
      <c r="AL22" s="2572"/>
      <c r="AM22" s="2569"/>
    </row>
    <row r="23" spans="1:40" ht="13.2" customHeight="1">
      <c r="B23" s="2543" t="s">
        <v>2677</v>
      </c>
      <c r="C23" s="2544"/>
      <c r="D23" s="2544"/>
      <c r="E23" s="2544"/>
      <c r="F23" s="2544"/>
      <c r="G23" s="2544"/>
      <c r="H23" s="2544"/>
      <c r="I23" s="2544"/>
      <c r="J23" s="2544"/>
      <c r="K23" s="2544"/>
      <c r="L23" s="2544"/>
      <c r="M23" s="2544"/>
      <c r="N23" s="2544"/>
      <c r="O23" s="2544"/>
      <c r="P23" s="2544"/>
      <c r="Q23" s="2544"/>
      <c r="R23" s="2544"/>
      <c r="S23" s="2545"/>
      <c r="T23" s="2536">
        <f>T11+T22</f>
        <v>67572262.090800017</v>
      </c>
      <c r="U23" s="2537"/>
      <c r="V23" s="2537"/>
      <c r="W23" s="2537"/>
      <c r="X23" s="2537"/>
      <c r="Y23" s="2536">
        <f>Y11+Y22</f>
        <v>0</v>
      </c>
      <c r="Z23" s="2537"/>
      <c r="AA23" s="2537"/>
      <c r="AB23" s="2537"/>
      <c r="AC23" s="2537"/>
      <c r="AD23" s="2536">
        <f>AD11+AD22</f>
        <v>0</v>
      </c>
      <c r="AE23" s="2537"/>
      <c r="AF23" s="2537"/>
      <c r="AG23" s="2537"/>
      <c r="AH23" s="2537"/>
      <c r="AI23" s="2536">
        <f>AI11+AI22</f>
        <v>0</v>
      </c>
      <c r="AJ23" s="2537"/>
      <c r="AK23" s="2537"/>
      <c r="AL23" s="2537"/>
      <c r="AM23" s="2537"/>
    </row>
    <row r="24" spans="1:40" ht="13.2" customHeight="1">
      <c r="B24" s="2543" t="s">
        <v>2678</v>
      </c>
      <c r="C24" s="2544"/>
      <c r="D24" s="2544"/>
      <c r="E24" s="2544"/>
      <c r="F24" s="2544"/>
      <c r="G24" s="2544"/>
      <c r="H24" s="2544"/>
      <c r="I24" s="2544"/>
      <c r="J24" s="2544"/>
      <c r="K24" s="2544"/>
      <c r="L24" s="2544"/>
      <c r="M24" s="2544"/>
      <c r="N24" s="2544"/>
      <c r="O24" s="2544"/>
      <c r="P24" s="2544"/>
      <c r="Q24" s="2544"/>
      <c r="R24" s="2544"/>
      <c r="S24" s="2545"/>
      <c r="T24" s="2538">
        <f>Application!AJ1052</f>
        <v>118198415</v>
      </c>
      <c r="U24" s="2539"/>
      <c r="V24" s="2539"/>
      <c r="W24" s="2539"/>
      <c r="X24" s="2539"/>
      <c r="Y24" s="2539"/>
      <c r="Z24" s="2539"/>
      <c r="AA24" s="2539"/>
      <c r="AB24" s="2539"/>
      <c r="AC24" s="2539"/>
      <c r="AD24" s="2539"/>
      <c r="AE24" s="2539"/>
      <c r="AF24" s="2539"/>
      <c r="AG24" s="2539"/>
      <c r="AH24" s="2539"/>
      <c r="AI24" s="2539"/>
      <c r="AJ24" s="2539"/>
      <c r="AK24" s="2539"/>
      <c r="AL24" s="2539"/>
      <c r="AM24" s="2536"/>
    </row>
    <row r="25" spans="1:40" ht="13.2" customHeight="1">
      <c r="B25" s="2547" t="s">
        <v>2679</v>
      </c>
      <c r="C25" s="2548"/>
      <c r="D25" s="2548"/>
      <c r="E25" s="2548"/>
      <c r="F25" s="2548"/>
      <c r="G25" s="2548"/>
      <c r="H25" s="2548"/>
      <c r="I25" s="2548"/>
      <c r="J25" s="2548"/>
      <c r="K25" s="2548"/>
      <c r="L25" s="2548"/>
      <c r="M25" s="2548"/>
      <c r="N25" s="2548"/>
      <c r="O25" s="2548"/>
      <c r="P25" s="2548"/>
      <c r="Q25" s="2548"/>
      <c r="R25" s="2548"/>
      <c r="S25" s="2549"/>
      <c r="T25" s="2573">
        <f>IF(OR(Application!T196="yes",Application!T195="yes"),1.3,1)</f>
        <v>1.3</v>
      </c>
      <c r="U25" s="2574"/>
      <c r="V25" s="2574"/>
      <c r="W25" s="2574"/>
      <c r="X25" s="2574"/>
      <c r="Y25" s="2573">
        <v>1</v>
      </c>
      <c r="Z25" s="2574"/>
      <c r="AA25" s="2574"/>
      <c r="AB25" s="2574"/>
      <c r="AC25" s="2574"/>
      <c r="AD25" s="2573">
        <v>1</v>
      </c>
      <c r="AE25" s="2574"/>
      <c r="AF25" s="2574"/>
      <c r="AG25" s="2574"/>
      <c r="AH25" s="2575"/>
      <c r="AI25" s="2573">
        <v>1</v>
      </c>
      <c r="AJ25" s="2574"/>
      <c r="AK25" s="2574"/>
      <c r="AL25" s="2574"/>
      <c r="AM25" s="2575"/>
    </row>
    <row r="26" spans="1:40" ht="13.2" customHeight="1">
      <c r="B26" s="2543" t="s">
        <v>2680</v>
      </c>
      <c r="C26" s="2544"/>
      <c r="D26" s="2544"/>
      <c r="E26" s="2544"/>
      <c r="F26" s="2544"/>
      <c r="G26" s="2544"/>
      <c r="H26" s="2544"/>
      <c r="I26" s="2544"/>
      <c r="J26" s="2544"/>
      <c r="K26" s="2544"/>
      <c r="L26" s="2544"/>
      <c r="M26" s="2544"/>
      <c r="N26" s="2544"/>
      <c r="O26" s="2544"/>
      <c r="P26" s="2544"/>
      <c r="Q26" s="2544"/>
      <c r="R26" s="2544"/>
      <c r="S26" s="2545"/>
      <c r="T26" s="2536">
        <f>T23*T25</f>
        <v>87843940.718040019</v>
      </c>
      <c r="U26" s="2537"/>
      <c r="V26" s="2537"/>
      <c r="W26" s="2537"/>
      <c r="X26" s="2537"/>
      <c r="Y26" s="2536">
        <f>Y23*Y25</f>
        <v>0</v>
      </c>
      <c r="Z26" s="2537"/>
      <c r="AA26" s="2537"/>
      <c r="AB26" s="2537"/>
      <c r="AC26" s="2537"/>
      <c r="AD26" s="2536">
        <f>AD23*AD25</f>
        <v>0</v>
      </c>
      <c r="AE26" s="2537"/>
      <c r="AF26" s="2537"/>
      <c r="AG26" s="2537"/>
      <c r="AH26" s="2537"/>
      <c r="AI26" s="2536">
        <f>AI23*AI25</f>
        <v>0</v>
      </c>
      <c r="AJ26" s="2537"/>
      <c r="AK26" s="2537"/>
      <c r="AL26" s="2537"/>
      <c r="AM26" s="2537"/>
    </row>
    <row r="27" spans="1:40" ht="13.2" customHeight="1">
      <c r="A27" s="334"/>
      <c r="B27" s="2550" t="s">
        <v>2681</v>
      </c>
      <c r="C27" s="2551"/>
      <c r="D27" s="2551"/>
      <c r="E27" s="2551"/>
      <c r="F27" s="2551"/>
      <c r="G27" s="2551"/>
      <c r="H27" s="2551"/>
      <c r="I27" s="2551"/>
      <c r="J27" s="2551"/>
      <c r="K27" s="2551"/>
      <c r="L27" s="2551"/>
      <c r="M27" s="2551"/>
      <c r="N27" s="2551"/>
      <c r="O27" s="2551"/>
      <c r="P27" s="2551"/>
      <c r="Q27" s="2551"/>
      <c r="R27" s="2551"/>
      <c r="S27" s="2552"/>
      <c r="T27" s="2556">
        <f>Application!$AG$445</f>
        <v>1</v>
      </c>
      <c r="U27" s="2557"/>
      <c r="V27" s="2557"/>
      <c r="W27" s="2557"/>
      <c r="X27" s="2557"/>
      <c r="Y27" s="2556">
        <f>Application!$AG$445</f>
        <v>1</v>
      </c>
      <c r="Z27" s="2557"/>
      <c r="AA27" s="2557"/>
      <c r="AB27" s="2557"/>
      <c r="AC27" s="2557"/>
      <c r="AD27" s="2556">
        <f>Application!$AG$445</f>
        <v>1</v>
      </c>
      <c r="AE27" s="2557"/>
      <c r="AF27" s="2557"/>
      <c r="AG27" s="2557"/>
      <c r="AH27" s="2557"/>
      <c r="AI27" s="2556">
        <f>Application!$AG$445</f>
        <v>1</v>
      </c>
      <c r="AJ27" s="2557"/>
      <c r="AK27" s="2557"/>
      <c r="AL27" s="2557"/>
      <c r="AM27" s="2557"/>
    </row>
    <row r="28" spans="1:40" ht="13.2" customHeight="1">
      <c r="A28" s="328"/>
      <c r="B28" s="2543" t="s">
        <v>2682</v>
      </c>
      <c r="C28" s="2544"/>
      <c r="D28" s="2544"/>
      <c r="E28" s="2544"/>
      <c r="F28" s="2544"/>
      <c r="G28" s="2544"/>
      <c r="H28" s="2544"/>
      <c r="I28" s="2544"/>
      <c r="J28" s="2544"/>
      <c r="K28" s="2544"/>
      <c r="L28" s="2544"/>
      <c r="M28" s="2544"/>
      <c r="N28" s="2544"/>
      <c r="O28" s="2544"/>
      <c r="P28" s="2544"/>
      <c r="Q28" s="2544"/>
      <c r="R28" s="2544"/>
      <c r="S28" s="2545"/>
      <c r="T28" s="2536">
        <f>IF(ISERROR((T26*T27)),0,(T26*T27))</f>
        <v>87843940.718040019</v>
      </c>
      <c r="U28" s="2537"/>
      <c r="V28" s="2537"/>
      <c r="W28" s="2537"/>
      <c r="X28" s="2537"/>
      <c r="Y28" s="2536">
        <f>IF(ISERROR((Y26*Y27)),0,(Y26*Y27))</f>
        <v>0</v>
      </c>
      <c r="Z28" s="2537"/>
      <c r="AA28" s="2537"/>
      <c r="AB28" s="2537"/>
      <c r="AC28" s="2537"/>
      <c r="AD28" s="2536">
        <f>IF(ISERROR((AD26*AD27)),0,(AD26*AD27))</f>
        <v>0</v>
      </c>
      <c r="AE28" s="2537"/>
      <c r="AF28" s="2537"/>
      <c r="AG28" s="2537"/>
      <c r="AH28" s="2537"/>
      <c r="AI28" s="2536">
        <f>IF(ISERROR((AI26*AI27)),0,(AI26*AI27))</f>
        <v>0</v>
      </c>
      <c r="AJ28" s="2537"/>
      <c r="AK28" s="2537"/>
      <c r="AL28" s="2537"/>
      <c r="AM28" s="2537"/>
    </row>
    <row r="29" spans="1:40" ht="13.2" customHeight="1">
      <c r="B29" s="2543" t="s">
        <v>2683</v>
      </c>
      <c r="C29" s="2544"/>
      <c r="D29" s="2544"/>
      <c r="E29" s="2544"/>
      <c r="F29" s="2544"/>
      <c r="G29" s="2544"/>
      <c r="H29" s="2544"/>
      <c r="I29" s="2544"/>
      <c r="J29" s="2544"/>
      <c r="K29" s="2544"/>
      <c r="L29" s="2544"/>
      <c r="M29" s="2544"/>
      <c r="N29" s="2544"/>
      <c r="O29" s="2544"/>
      <c r="P29" s="2544"/>
      <c r="Q29" s="2544"/>
      <c r="R29" s="2544"/>
      <c r="S29" s="2545"/>
      <c r="T29" s="2538">
        <f>T28+Y28+AD28+AI28</f>
        <v>87843940.718040019</v>
      </c>
      <c r="U29" s="2539"/>
      <c r="V29" s="2539"/>
      <c r="W29" s="2539"/>
      <c r="X29" s="2539"/>
      <c r="Y29" s="2539"/>
      <c r="Z29" s="2539"/>
      <c r="AA29" s="2539"/>
      <c r="AB29" s="2539"/>
      <c r="AC29" s="2539"/>
      <c r="AD29" s="2539"/>
      <c r="AE29" s="2539"/>
      <c r="AF29" s="2539"/>
      <c r="AG29" s="2539"/>
      <c r="AH29" s="2539"/>
      <c r="AI29" s="2539"/>
      <c r="AJ29" s="2539"/>
      <c r="AK29" s="2539"/>
      <c r="AL29" s="2539"/>
      <c r="AM29" s="2536"/>
    </row>
    <row r="30" spans="1:40" ht="13.2" customHeight="1">
      <c r="B30" s="2546" t="s">
        <v>2684</v>
      </c>
      <c r="C30" s="2546"/>
      <c r="D30" s="2546"/>
      <c r="E30" s="2546"/>
      <c r="F30" s="2546"/>
      <c r="G30" s="2546"/>
      <c r="H30" s="2546"/>
      <c r="I30" s="2546"/>
      <c r="J30" s="2546"/>
      <c r="K30" s="2546"/>
      <c r="L30" s="2546"/>
      <c r="M30" s="2546"/>
      <c r="N30" s="2546"/>
      <c r="O30" s="2546"/>
      <c r="P30" s="2546"/>
      <c r="Q30" s="2546"/>
      <c r="R30" s="2546"/>
      <c r="S30" s="2546"/>
      <c r="T30" s="2546"/>
      <c r="U30" s="2546"/>
      <c r="V30" s="2546"/>
      <c r="W30" s="2546"/>
      <c r="X30" s="2546"/>
      <c r="Y30" s="2546"/>
      <c r="Z30" s="2546"/>
      <c r="AA30" s="2546"/>
      <c r="AB30" s="2546"/>
      <c r="AC30" s="2546"/>
      <c r="AD30" s="2546"/>
      <c r="AE30" s="2546"/>
      <c r="AF30" s="2546"/>
      <c r="AG30" s="2546"/>
      <c r="AH30" s="2546"/>
      <c r="AI30" s="2546"/>
      <c r="AJ30" s="2546"/>
      <c r="AK30" s="2546"/>
      <c r="AL30" s="2546"/>
      <c r="AM30" s="2546"/>
    </row>
    <row r="31" spans="1:40" ht="13.2" customHeight="1">
      <c r="B31" s="2546" t="s">
        <v>2685</v>
      </c>
      <c r="C31" s="2546"/>
      <c r="D31" s="2546"/>
      <c r="E31" s="2546"/>
      <c r="F31" s="2546"/>
      <c r="G31" s="2546"/>
      <c r="H31" s="2546"/>
      <c r="I31" s="2546"/>
      <c r="J31" s="2546"/>
      <c r="K31" s="2546"/>
      <c r="L31" s="2546"/>
      <c r="M31" s="2546"/>
      <c r="N31" s="2546"/>
      <c r="O31" s="2546"/>
      <c r="P31" s="2546"/>
      <c r="Q31" s="2546"/>
      <c r="R31" s="2546"/>
      <c r="S31" s="2546"/>
      <c r="T31" s="2546"/>
      <c r="U31" s="2546"/>
      <c r="V31" s="2546"/>
      <c r="W31" s="2546"/>
      <c r="X31" s="2546"/>
      <c r="Y31" s="2546"/>
      <c r="Z31" s="2546"/>
      <c r="AA31" s="2546"/>
      <c r="AB31" s="2546"/>
      <c r="AC31" s="2546"/>
      <c r="AD31" s="2546"/>
      <c r="AE31" s="2546"/>
      <c r="AF31" s="2546"/>
      <c r="AG31" s="2546"/>
      <c r="AH31" s="2546"/>
      <c r="AI31" s="2546"/>
      <c r="AJ31" s="2546"/>
      <c r="AK31" s="2546"/>
      <c r="AL31" s="2546"/>
      <c r="AM31" s="2546"/>
      <c r="AN31" s="442"/>
    </row>
    <row r="32" spans="1:40" ht="13.2" customHeight="1">
      <c r="B32" s="359"/>
      <c r="C32" s="435" t="s">
        <v>2686</v>
      </c>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59"/>
      <c r="AJ32" s="359"/>
      <c r="AK32" s="359"/>
      <c r="AL32" s="359"/>
      <c r="AM32" s="359"/>
    </row>
    <row r="34" spans="1:76" ht="13.2" customHeight="1">
      <c r="A34" s="328" t="s">
        <v>960</v>
      </c>
      <c r="C34" s="328" t="s">
        <v>278</v>
      </c>
    </row>
    <row r="35" spans="1:76" ht="13.2" customHeight="1">
      <c r="B35" s="329"/>
      <c r="C35" s="330"/>
      <c r="D35" s="330"/>
      <c r="E35" s="330"/>
      <c r="F35" s="330"/>
      <c r="G35" s="330"/>
      <c r="H35" s="330"/>
      <c r="I35" s="330"/>
      <c r="J35" s="330"/>
      <c r="K35" s="330"/>
      <c r="L35" s="330"/>
      <c r="M35" s="330"/>
      <c r="N35" s="330"/>
      <c r="O35" s="330"/>
      <c r="P35" s="330"/>
      <c r="Q35" s="330"/>
      <c r="R35" s="330"/>
      <c r="S35" s="330"/>
      <c r="T35" s="330"/>
      <c r="U35" s="330"/>
      <c r="V35" s="330"/>
      <c r="W35" s="330"/>
      <c r="X35" s="335"/>
      <c r="Y35" s="2564" t="s">
        <v>2687</v>
      </c>
      <c r="Z35" s="2564"/>
      <c r="AA35" s="2564"/>
      <c r="AB35" s="2564"/>
      <c r="AC35" s="2564"/>
      <c r="AD35" s="2587" t="s">
        <v>2688</v>
      </c>
      <c r="AE35" s="2587"/>
      <c r="AF35" s="2587"/>
      <c r="AG35" s="2587"/>
      <c r="AH35" s="2587"/>
    </row>
    <row r="36" spans="1:76" ht="13.2" customHeight="1">
      <c r="B36" s="331"/>
      <c r="X36" s="336"/>
      <c r="Y36" s="2564"/>
      <c r="Z36" s="2564"/>
      <c r="AA36" s="2564"/>
      <c r="AB36" s="2564"/>
      <c r="AC36" s="2564"/>
      <c r="AD36" s="2587"/>
      <c r="AE36" s="2587"/>
      <c r="AF36" s="2587"/>
      <c r="AG36" s="2587"/>
      <c r="AH36" s="2587"/>
    </row>
    <row r="37" spans="1:76" ht="13.2" customHeight="1">
      <c r="B37" s="332"/>
      <c r="C37" s="333"/>
      <c r="D37" s="333"/>
      <c r="E37" s="333"/>
      <c r="F37" s="333"/>
      <c r="G37" s="333"/>
      <c r="H37" s="333"/>
      <c r="I37" s="333"/>
      <c r="J37" s="333"/>
      <c r="K37" s="333"/>
      <c r="L37" s="333"/>
      <c r="M37" s="333"/>
      <c r="N37" s="333"/>
      <c r="O37" s="333"/>
      <c r="P37" s="333"/>
      <c r="Q37" s="333"/>
      <c r="R37" s="333"/>
      <c r="S37" s="333"/>
      <c r="T37" s="333"/>
      <c r="U37" s="333"/>
      <c r="V37" s="333"/>
      <c r="W37" s="333"/>
      <c r="X37" s="337"/>
      <c r="Y37" s="2564"/>
      <c r="Z37" s="2564"/>
      <c r="AA37" s="2564"/>
      <c r="AB37" s="2564"/>
      <c r="AC37" s="2564"/>
      <c r="AD37" s="2587"/>
      <c r="AE37" s="2587"/>
      <c r="AF37" s="2587"/>
      <c r="AG37" s="2587"/>
      <c r="AH37" s="2587"/>
    </row>
    <row r="38" spans="1:76" ht="13.2" customHeight="1">
      <c r="A38" s="328"/>
      <c r="B38" s="2543" t="s">
        <v>2682</v>
      </c>
      <c r="C38" s="2544"/>
      <c r="D38" s="2544"/>
      <c r="E38" s="2544"/>
      <c r="F38" s="2544"/>
      <c r="G38" s="2544"/>
      <c r="H38" s="2544"/>
      <c r="I38" s="2544"/>
      <c r="J38" s="2544"/>
      <c r="K38" s="2544"/>
      <c r="L38" s="2544"/>
      <c r="M38" s="2544"/>
      <c r="N38" s="2544"/>
      <c r="O38" s="2544"/>
      <c r="P38" s="2544"/>
      <c r="Q38" s="2544"/>
      <c r="R38" s="2544"/>
      <c r="S38" s="2544"/>
      <c r="T38" s="2544"/>
      <c r="U38" s="2544"/>
      <c r="V38" s="2544"/>
      <c r="W38" s="2544"/>
      <c r="X38" s="2545"/>
      <c r="Y38" s="2537">
        <f>IF(T24&gt;=(T23+Y23+AD23+AI23),T28+Y28,0)</f>
        <v>87843940.718040019</v>
      </c>
      <c r="Z38" s="2537"/>
      <c r="AA38" s="2537"/>
      <c r="AB38" s="2537"/>
      <c r="AC38" s="2537"/>
      <c r="AD38" s="2537">
        <f>IF(T24&gt;=(T23+Y23+AD23+AI23),AD28+AI28,0)</f>
        <v>0</v>
      </c>
      <c r="AE38" s="2537"/>
      <c r="AF38" s="2537"/>
      <c r="AG38" s="2537"/>
      <c r="AH38" s="2537"/>
    </row>
    <row r="39" spans="1:76" ht="13.2" customHeight="1">
      <c r="B39" s="2543" t="s">
        <v>2689</v>
      </c>
      <c r="C39" s="2544"/>
      <c r="D39" s="2544"/>
      <c r="E39" s="2544"/>
      <c r="F39" s="2544"/>
      <c r="G39" s="2544"/>
      <c r="H39" s="2544"/>
      <c r="I39" s="2544"/>
      <c r="J39" s="2544"/>
      <c r="K39" s="2544"/>
      <c r="L39" s="2544"/>
      <c r="M39" s="2544"/>
      <c r="N39" s="2544"/>
      <c r="O39" s="2544"/>
      <c r="P39" s="2544"/>
      <c r="Q39" s="2544"/>
      <c r="R39" s="2544"/>
      <c r="S39" s="2544"/>
      <c r="T39" s="2544"/>
      <c r="U39" s="2544"/>
      <c r="V39" s="2544"/>
      <c r="W39" s="2544"/>
      <c r="X39" s="2545"/>
      <c r="Y39" s="2588">
        <v>0.04</v>
      </c>
      <c r="Z39" s="2588"/>
      <c r="AA39" s="2588"/>
      <c r="AB39" s="2588"/>
      <c r="AC39" s="2588"/>
      <c r="AD39" s="2588">
        <v>0.04</v>
      </c>
      <c r="AE39" s="2588"/>
      <c r="AF39" s="2588"/>
      <c r="AG39" s="2588"/>
      <c r="AH39" s="2588"/>
    </row>
    <row r="40" spans="1:76" ht="13.2" customHeight="1">
      <c r="A40" s="328"/>
      <c r="B40" s="2543" t="s">
        <v>2690</v>
      </c>
      <c r="C40" s="2544"/>
      <c r="D40" s="2544"/>
      <c r="E40" s="2544"/>
      <c r="F40" s="2544"/>
      <c r="G40" s="2544"/>
      <c r="H40" s="2544"/>
      <c r="I40" s="2544"/>
      <c r="J40" s="2544"/>
      <c r="K40" s="2544"/>
      <c r="L40" s="2544"/>
      <c r="M40" s="2544"/>
      <c r="N40" s="2544"/>
      <c r="O40" s="2544"/>
      <c r="P40" s="2544"/>
      <c r="Q40" s="2544"/>
      <c r="R40" s="2544"/>
      <c r="S40" s="2544"/>
      <c r="T40" s="2544"/>
      <c r="U40" s="2544"/>
      <c r="V40" s="2544"/>
      <c r="W40" s="2544"/>
      <c r="X40" s="2545"/>
      <c r="Y40" s="2537">
        <f>ROUND(Y38*Y39,0)</f>
        <v>3513758</v>
      </c>
      <c r="Z40" s="2537"/>
      <c r="AA40" s="2537"/>
      <c r="AB40" s="2537"/>
      <c r="AC40" s="2537"/>
      <c r="AD40" s="2536">
        <f>ROUND(AD38*AD39,0)</f>
        <v>0</v>
      </c>
      <c r="AE40" s="2537"/>
      <c r="AF40" s="2537"/>
      <c r="AG40" s="2537"/>
      <c r="AH40" s="2537"/>
    </row>
    <row r="41" spans="1:76" ht="13.2" customHeight="1">
      <c r="B41" s="2543" t="s">
        <v>2691</v>
      </c>
      <c r="C41" s="2544"/>
      <c r="D41" s="2544"/>
      <c r="E41" s="2544"/>
      <c r="F41" s="2544"/>
      <c r="G41" s="2544"/>
      <c r="H41" s="2544"/>
      <c r="I41" s="2544"/>
      <c r="J41" s="2544"/>
      <c r="K41" s="2544"/>
      <c r="L41" s="2544"/>
      <c r="M41" s="2544"/>
      <c r="N41" s="2544"/>
      <c r="O41" s="2544"/>
      <c r="P41" s="2544"/>
      <c r="Q41" s="2544"/>
      <c r="R41" s="2544"/>
      <c r="S41" s="2544"/>
      <c r="T41" s="2544"/>
      <c r="U41" s="2544"/>
      <c r="V41" s="2544"/>
      <c r="W41" s="2544"/>
      <c r="X41" s="2545"/>
      <c r="Y41" s="2538">
        <f>Y40+AD40</f>
        <v>3513758</v>
      </c>
      <c r="Z41" s="2539"/>
      <c r="AA41" s="2539"/>
      <c r="AB41" s="2539"/>
      <c r="AC41" s="2539"/>
      <c r="AD41" s="2539"/>
      <c r="AE41" s="2539"/>
      <c r="AF41" s="2539"/>
      <c r="AG41" s="2539"/>
      <c r="AH41" s="2536"/>
    </row>
    <row r="42" spans="1:76" ht="13.2" customHeight="1">
      <c r="A42" s="328"/>
      <c r="B42" s="849"/>
      <c r="C42" s="849"/>
      <c r="D42" s="849"/>
      <c r="E42" s="849"/>
      <c r="F42" s="849"/>
      <c r="G42" s="849"/>
      <c r="H42" s="849"/>
      <c r="I42" s="849"/>
      <c r="J42" s="849"/>
      <c r="K42" s="849"/>
      <c r="L42" s="849"/>
      <c r="M42" s="849"/>
      <c r="N42" s="849"/>
      <c r="O42" s="849"/>
      <c r="P42" s="849"/>
      <c r="Q42" s="849"/>
      <c r="R42" s="849"/>
      <c r="S42" s="849"/>
      <c r="T42" s="849"/>
      <c r="U42" s="849"/>
      <c r="V42" s="849"/>
      <c r="W42" s="849"/>
      <c r="X42" s="849"/>
      <c r="Y42" s="849"/>
      <c r="Z42" s="849"/>
      <c r="AA42" s="849"/>
      <c r="AB42" s="849"/>
      <c r="AC42" s="849"/>
      <c r="AD42" s="849"/>
      <c r="AE42" s="849"/>
      <c r="AF42" s="849"/>
      <c r="AG42" s="849"/>
      <c r="AH42" s="849"/>
    </row>
    <row r="43" spans="1:76" ht="13.2" customHeight="1">
      <c r="B43" s="338"/>
      <c r="C43" s="338"/>
      <c r="D43" s="338"/>
      <c r="E43" s="338"/>
      <c r="F43" s="338"/>
      <c r="G43" s="338"/>
      <c r="H43" s="338"/>
      <c r="I43" s="338"/>
      <c r="J43" s="338"/>
      <c r="K43" s="338"/>
      <c r="L43" s="338"/>
      <c r="M43" s="338"/>
      <c r="N43" s="338"/>
      <c r="O43" s="338"/>
      <c r="P43" s="338"/>
      <c r="Q43" s="338"/>
      <c r="R43" s="338"/>
      <c r="S43" s="338"/>
      <c r="T43" s="338"/>
      <c r="U43" s="338"/>
      <c r="V43" s="338"/>
      <c r="W43" s="338"/>
      <c r="X43" s="338"/>
      <c r="Y43" s="338"/>
      <c r="Z43" s="338"/>
      <c r="AA43" s="338"/>
      <c r="AB43" s="338"/>
      <c r="AC43" s="338"/>
      <c r="AD43" s="338"/>
      <c r="AE43" s="338"/>
      <c r="AF43" s="338"/>
      <c r="AG43" s="338"/>
      <c r="AH43" s="338"/>
    </row>
    <row r="44" spans="1:76" s="143" customFormat="1" ht="13.2" customHeight="1" thickBot="1">
      <c r="A44" s="2541" t="s">
        <v>2692</v>
      </c>
      <c r="B44" s="2541"/>
      <c r="C44" s="2541"/>
      <c r="D44" s="2541"/>
      <c r="E44" s="2541"/>
      <c r="F44" s="2541"/>
      <c r="G44" s="2541"/>
      <c r="H44" s="2541"/>
      <c r="I44" s="2541"/>
      <c r="J44" s="2541"/>
      <c r="K44" s="2541"/>
      <c r="L44" s="2541"/>
      <c r="M44" s="2541"/>
      <c r="N44" s="2541"/>
      <c r="O44" s="2541"/>
      <c r="P44" s="2541"/>
      <c r="Q44" s="2541"/>
      <c r="R44" s="2541"/>
      <c r="S44" s="2541"/>
      <c r="T44" s="2541"/>
      <c r="U44" s="2541"/>
      <c r="V44" s="2541"/>
      <c r="W44" s="2541"/>
      <c r="X44" s="2541"/>
      <c r="Y44" s="2541"/>
      <c r="Z44" s="2541"/>
      <c r="AA44" s="2541"/>
      <c r="AB44" s="2541"/>
      <c r="AC44" s="2541"/>
      <c r="AD44" s="2541"/>
      <c r="AE44" s="2541"/>
      <c r="AF44" s="2541"/>
      <c r="AG44" s="2541"/>
      <c r="AH44" s="2541"/>
      <c r="AI44" s="2541"/>
      <c r="AJ44" s="2541"/>
      <c r="AK44" s="2541"/>
      <c r="AL44" s="2541"/>
      <c r="AM44" s="2541"/>
      <c r="AN44" s="2541"/>
      <c r="AO44" s="2541"/>
      <c r="AP44" s="2541"/>
      <c r="AQ44" s="2541"/>
      <c r="AR44" s="2541"/>
      <c r="AS44" s="2541"/>
      <c r="AT44" s="2541"/>
      <c r="AU44" s="2541"/>
      <c r="AV44" s="2541"/>
      <c r="AW44" s="2541"/>
      <c r="AX44" s="2541"/>
      <c r="AY44" s="2541"/>
      <c r="AZ44" s="2541"/>
      <c r="BA44" s="2541"/>
      <c r="BB44" s="2541"/>
      <c r="BC44" s="2541"/>
      <c r="BD44" s="2541"/>
      <c r="BE44" s="2541"/>
      <c r="BF44" s="2541"/>
      <c r="BG44" s="2541"/>
      <c r="BH44" s="2541"/>
      <c r="BI44" s="2541"/>
      <c r="BJ44" s="2541"/>
      <c r="BK44" s="2541"/>
      <c r="BL44" s="2541"/>
      <c r="BM44" s="2541"/>
      <c r="BN44" s="2541"/>
      <c r="BO44" s="2541"/>
      <c r="BP44" s="2541"/>
      <c r="BQ44" s="2541"/>
      <c r="BR44" s="2541"/>
      <c r="BS44" s="2541"/>
      <c r="BT44" s="2541"/>
      <c r="BU44" s="2541"/>
      <c r="BV44" s="2541"/>
      <c r="BW44" s="2541"/>
      <c r="BX44" s="2541"/>
    </row>
    <row r="45" spans="1:76" s="143" customFormat="1" ht="13.2" customHeight="1" thickTop="1"/>
    <row r="46" spans="1:76" ht="13.2" customHeight="1">
      <c r="A46" s="328" t="s">
        <v>1038</v>
      </c>
      <c r="C46" s="328" t="s">
        <v>281</v>
      </c>
    </row>
    <row r="47" spans="1:76" ht="13.2" customHeight="1">
      <c r="D47" s="328" t="s">
        <v>2693</v>
      </c>
      <c r="AB47" s="2553">
        <f>'Sources and Uses Budget'!B105-MAX(IF('Sources and Uses Budget'!B15="",0,'Sources and Uses Budget'!B15),IF(Application!AG394="",0,Application!AG394))</f>
        <v>73286134</v>
      </c>
      <c r="AC47" s="2554"/>
      <c r="AD47" s="2554"/>
      <c r="AE47" s="2554"/>
      <c r="AF47" s="2555"/>
    </row>
    <row r="48" spans="1:76" ht="13.2" customHeight="1">
      <c r="D48" s="328" t="s">
        <v>174</v>
      </c>
      <c r="AB48" s="2553">
        <f>Application!AO639-MAX(IF('Sources and Uses Budget'!B15="",0,'Sources and Uses Budget'!B15),IF(Application!AG394="",0,Application!AG394))</f>
        <v>29454996</v>
      </c>
      <c r="AC48" s="2554"/>
      <c r="AD48" s="2554"/>
      <c r="AE48" s="2554"/>
      <c r="AF48" s="2555"/>
    </row>
    <row r="49" spans="1:76" ht="13.2" customHeight="1">
      <c r="D49" s="328" t="s">
        <v>2694</v>
      </c>
      <c r="AB49" s="2553">
        <f>AB47-AB48</f>
        <v>43831138</v>
      </c>
      <c r="AC49" s="2554"/>
      <c r="AD49" s="2554"/>
      <c r="AE49" s="2554"/>
      <c r="AF49" s="2555"/>
    </row>
    <row r="50" spans="1:76" ht="13.2" customHeight="1">
      <c r="D50" s="328" t="s">
        <v>2695</v>
      </c>
      <c r="AA50" s="339"/>
      <c r="AB50" s="2580">
        <f>30917969/(Y41*10)</f>
        <v>0.87991173552646484</v>
      </c>
      <c r="AC50" s="2581"/>
      <c r="AD50" s="2581"/>
      <c r="AE50" s="2581"/>
      <c r="AF50" s="2582"/>
    </row>
    <row r="51" spans="1:76" s="341" customFormat="1" ht="13.2" customHeight="1">
      <c r="A51" s="326"/>
      <c r="B51" s="326"/>
      <c r="C51" s="326"/>
      <c r="D51" s="326"/>
      <c r="E51" s="2583" t="s">
        <v>2696</v>
      </c>
      <c r="F51" s="2583"/>
      <c r="G51" s="2583"/>
      <c r="H51" s="2583"/>
      <c r="I51" s="2583"/>
      <c r="J51" s="2583"/>
      <c r="K51" s="2583"/>
      <c r="L51" s="2583"/>
      <c r="M51" s="2583"/>
      <c r="N51" s="2583"/>
      <c r="O51" s="2583"/>
      <c r="P51" s="2583"/>
      <c r="Q51" s="2583"/>
      <c r="R51" s="2583"/>
      <c r="S51" s="2583"/>
      <c r="T51" s="2583"/>
      <c r="U51" s="2583"/>
      <c r="V51" s="2583"/>
      <c r="W51" s="2583"/>
      <c r="X51" s="2583"/>
      <c r="Y51" s="2583"/>
      <c r="Z51" s="2583"/>
      <c r="AA51" s="340"/>
      <c r="AB51" s="340"/>
      <c r="AC51" s="340"/>
      <c r="AD51" s="340"/>
      <c r="AE51" s="340"/>
      <c r="AF51" s="340"/>
      <c r="AG51" s="326"/>
      <c r="AH51" s="326"/>
      <c r="AI51" s="326"/>
      <c r="AJ51" s="326"/>
      <c r="AK51" s="326"/>
      <c r="AL51" s="326"/>
      <c r="AM51" s="326"/>
      <c r="AN51" s="326"/>
    </row>
    <row r="52" spans="1:76" s="341" customFormat="1" ht="13.2" customHeight="1">
      <c r="A52" s="326"/>
      <c r="B52" s="326"/>
      <c r="C52" s="326"/>
      <c r="D52" s="326"/>
      <c r="E52" s="2583"/>
      <c r="F52" s="2583"/>
      <c r="G52" s="2583"/>
      <c r="H52" s="2583"/>
      <c r="I52" s="2583"/>
      <c r="J52" s="2583"/>
      <c r="K52" s="2583"/>
      <c r="L52" s="2583"/>
      <c r="M52" s="2583"/>
      <c r="N52" s="2583"/>
      <c r="O52" s="2583"/>
      <c r="P52" s="2583"/>
      <c r="Q52" s="2583"/>
      <c r="R52" s="2583"/>
      <c r="S52" s="2583"/>
      <c r="T52" s="2583"/>
      <c r="U52" s="2583"/>
      <c r="V52" s="2583"/>
      <c r="W52" s="2583"/>
      <c r="X52" s="2583"/>
      <c r="Y52" s="2583"/>
      <c r="Z52" s="2583"/>
      <c r="AA52" s="342"/>
      <c r="AB52" s="342"/>
      <c r="AC52" s="342"/>
      <c r="AD52" s="342"/>
      <c r="AE52" s="342"/>
      <c r="AF52" s="342"/>
      <c r="AG52" s="343"/>
      <c r="AH52" s="326"/>
      <c r="AI52" s="326"/>
      <c r="AJ52" s="326"/>
      <c r="AK52" s="326"/>
      <c r="AL52" s="326"/>
      <c r="AM52" s="326"/>
      <c r="AN52" s="326"/>
    </row>
    <row r="53" spans="1:76" ht="13.2" customHeight="1">
      <c r="E53" s="340"/>
      <c r="F53" s="340"/>
      <c r="G53" s="340"/>
      <c r="H53" s="340"/>
      <c r="I53" s="340"/>
      <c r="J53" s="340"/>
      <c r="K53" s="340"/>
      <c r="L53" s="340"/>
      <c r="M53" s="340"/>
      <c r="N53" s="340"/>
      <c r="O53" s="340"/>
      <c r="P53" s="340"/>
      <c r="Q53" s="340"/>
      <c r="R53" s="340"/>
      <c r="S53" s="340"/>
      <c r="T53" s="340"/>
      <c r="U53" s="340"/>
      <c r="V53" s="340"/>
      <c r="W53" s="340"/>
      <c r="X53" s="340"/>
      <c r="Y53" s="340"/>
      <c r="Z53" s="340"/>
    </row>
    <row r="54" spans="1:76" ht="13.2" customHeight="1">
      <c r="D54" s="328" t="s">
        <v>2697</v>
      </c>
      <c r="AB54" s="2553">
        <f>ROUND(IF(ISERROR((AB49/AB50)),0,(AB49/AB50)),0)</f>
        <v>49813108</v>
      </c>
      <c r="AC54" s="2554"/>
      <c r="AD54" s="2554"/>
      <c r="AE54" s="2554"/>
      <c r="AF54" s="2555"/>
    </row>
    <row r="55" spans="1:76" ht="13.2" customHeight="1">
      <c r="D55" s="328" t="s">
        <v>2698</v>
      </c>
      <c r="AB55" s="2553">
        <f>(AB54/10)</f>
        <v>4981310.8</v>
      </c>
      <c r="AC55" s="2554"/>
      <c r="AD55" s="2554"/>
      <c r="AE55" s="2554"/>
      <c r="AF55" s="2555"/>
    </row>
    <row r="56" spans="1:76" ht="13.2" customHeight="1">
      <c r="D56" s="328" t="s">
        <v>2699</v>
      </c>
      <c r="AB56" s="2584">
        <f>(IF((Y41&lt;AB55),Y41,AB55))</f>
        <v>3513758</v>
      </c>
      <c r="AC56" s="2585"/>
      <c r="AD56" s="2585"/>
      <c r="AE56" s="2585"/>
      <c r="AF56" s="2586"/>
    </row>
    <row r="57" spans="1:76" ht="13.2" customHeight="1">
      <c r="D57" s="328" t="s">
        <v>2700</v>
      </c>
      <c r="AB57" s="2553">
        <f>ROUND((10*AB56*AB50),0)</f>
        <v>30917969</v>
      </c>
      <c r="AC57" s="2554"/>
      <c r="AD57" s="2554"/>
      <c r="AE57" s="2554"/>
      <c r="AF57" s="2555"/>
    </row>
    <row r="58" spans="1:76" ht="13.2" customHeight="1">
      <c r="D58" s="328"/>
      <c r="AB58" s="347"/>
      <c r="AC58" s="347"/>
      <c r="AD58" s="347"/>
      <c r="AE58" s="347"/>
      <c r="AF58" s="347"/>
    </row>
    <row r="59" spans="1:76" ht="13.2" customHeight="1">
      <c r="D59" s="328" t="s">
        <v>2701</v>
      </c>
      <c r="AB59" s="2576">
        <f>AB49-AB57</f>
        <v>12913169</v>
      </c>
      <c r="AC59" s="2576"/>
      <c r="AD59" s="2576"/>
      <c r="AE59" s="2576"/>
      <c r="AF59" s="2576"/>
    </row>
    <row r="60" spans="1:76" ht="13.2" customHeight="1">
      <c r="D60" s="328"/>
      <c r="AB60" s="347"/>
      <c r="AC60" s="347"/>
      <c r="AD60" s="347"/>
      <c r="AE60" s="347"/>
      <c r="AF60" s="347"/>
    </row>
    <row r="61" spans="1:76" s="143" customFormat="1" ht="13.2" customHeight="1" thickBot="1">
      <c r="A61" s="2541" t="str">
        <f>IF(Application!AP205="yes","Farmworker State Credit", "State Credit" )</f>
        <v>State Credit</v>
      </c>
      <c r="B61" s="2541"/>
      <c r="C61" s="2541"/>
      <c r="D61" s="2541"/>
      <c r="E61" s="2541"/>
      <c r="F61" s="2541"/>
      <c r="G61" s="2541"/>
      <c r="H61" s="2541"/>
      <c r="I61" s="2541"/>
      <c r="J61" s="2541"/>
      <c r="K61" s="2541"/>
      <c r="L61" s="2541"/>
      <c r="M61" s="2541"/>
      <c r="N61" s="2541"/>
      <c r="O61" s="2541"/>
      <c r="P61" s="2541"/>
      <c r="Q61" s="2541"/>
      <c r="R61" s="2541"/>
      <c r="S61" s="2541"/>
      <c r="T61" s="2541"/>
      <c r="U61" s="2541"/>
      <c r="V61" s="2541"/>
      <c r="W61" s="2541"/>
      <c r="X61" s="2541"/>
      <c r="Y61" s="2541"/>
      <c r="Z61" s="2541"/>
      <c r="AA61" s="2541"/>
      <c r="AB61" s="2541"/>
      <c r="AC61" s="2541"/>
      <c r="AD61" s="2541"/>
      <c r="AE61" s="2541"/>
      <c r="AF61" s="2541"/>
      <c r="AG61" s="2541"/>
      <c r="AH61" s="2541"/>
      <c r="AI61" s="2541"/>
      <c r="AJ61" s="2541"/>
      <c r="AK61" s="2541"/>
      <c r="AL61" s="2541"/>
      <c r="AM61" s="2541"/>
      <c r="AN61" s="2541"/>
      <c r="AO61" s="2541"/>
      <c r="AP61" s="2541"/>
      <c r="AQ61" s="2541"/>
      <c r="AR61" s="2541"/>
      <c r="AS61" s="2541"/>
      <c r="AT61" s="2541"/>
      <c r="AU61" s="2541"/>
      <c r="AV61" s="2541"/>
      <c r="AW61" s="2541"/>
      <c r="AX61" s="2541"/>
      <c r="AY61" s="2541"/>
      <c r="AZ61" s="2541"/>
      <c r="BA61" s="2541"/>
      <c r="BB61" s="2541"/>
      <c r="BC61" s="2541"/>
      <c r="BD61" s="2541"/>
      <c r="BE61" s="2541"/>
      <c r="BF61" s="2541"/>
      <c r="BG61" s="2541"/>
      <c r="BH61" s="2541"/>
      <c r="BI61" s="2541"/>
      <c r="BJ61" s="2541"/>
      <c r="BK61" s="2541"/>
      <c r="BL61" s="2541"/>
      <c r="BM61" s="2541"/>
      <c r="BN61" s="2541"/>
      <c r="BO61" s="2541"/>
      <c r="BP61" s="2541"/>
      <c r="BQ61" s="2541"/>
      <c r="BR61" s="2541"/>
      <c r="BS61" s="2541"/>
      <c r="BT61" s="2541"/>
      <c r="BU61" s="2541"/>
      <c r="BV61" s="2541"/>
      <c r="BW61" s="2541"/>
      <c r="BX61" s="2541"/>
    </row>
    <row r="62" spans="1:76" s="143" customFormat="1" ht="13.2" customHeight="1" thickTop="1"/>
    <row r="63" spans="1:76" ht="13.2" customHeight="1">
      <c r="A63" s="328" t="s">
        <v>1056</v>
      </c>
      <c r="C63" s="144" t="s">
        <v>2702</v>
      </c>
      <c r="Y63" s="2577" t="s">
        <v>2703</v>
      </c>
      <c r="Z63" s="2577"/>
      <c r="AA63" s="2577"/>
      <c r="AB63" s="2577"/>
      <c r="AC63" s="2577"/>
      <c r="AD63" s="2577" t="s">
        <v>2688</v>
      </c>
      <c r="AE63" s="2577"/>
      <c r="AF63" s="2577"/>
      <c r="AG63" s="2577"/>
      <c r="AH63" s="2577"/>
    </row>
    <row r="64" spans="1:76" ht="13.2" customHeight="1">
      <c r="C64" s="328"/>
      <c r="D64" s="301" t="s">
        <v>2704</v>
      </c>
      <c r="E64" s="344"/>
      <c r="F64" s="344"/>
      <c r="G64" s="344"/>
      <c r="H64" s="344"/>
      <c r="I64" s="344"/>
      <c r="J64" s="344"/>
      <c r="K64" s="344"/>
      <c r="L64" s="344"/>
      <c r="M64" s="344"/>
      <c r="N64" s="344"/>
      <c r="O64" s="344"/>
      <c r="P64" s="344"/>
      <c r="Q64" s="344"/>
      <c r="R64" s="344"/>
      <c r="S64" s="344"/>
      <c r="T64" s="344"/>
      <c r="U64" s="344"/>
      <c r="V64" s="344"/>
      <c r="W64" s="344"/>
      <c r="X64" s="344"/>
      <c r="Y64" s="2538">
        <f>IF(Application!$Z$205="(select)",0,((T23*T27)+Y28))</f>
        <v>67572262.090800017</v>
      </c>
      <c r="Z64" s="2578"/>
      <c r="AA64" s="2578"/>
      <c r="AB64" s="2578"/>
      <c r="AC64" s="2579"/>
      <c r="AD64" s="2538">
        <f>IF(AND(OR(Application!D211="At-Risk",Application!D211="At-Risk and Special Needs"),Application!M358="yes"),AD28+AI28,0)</f>
        <v>0</v>
      </c>
      <c r="AE64" s="2578"/>
      <c r="AF64" s="2578"/>
      <c r="AG64" s="2578"/>
      <c r="AH64" s="2579"/>
    </row>
    <row r="65" spans="1:36" ht="13.2" customHeight="1">
      <c r="C65" s="328"/>
      <c r="E65" s="934" t="s">
        <v>2705</v>
      </c>
      <c r="F65" s="365"/>
      <c r="G65" s="365"/>
      <c r="H65" s="365"/>
      <c r="I65" s="365"/>
      <c r="J65" s="365"/>
      <c r="K65" s="365"/>
      <c r="L65" s="365"/>
      <c r="M65" s="365"/>
      <c r="N65" s="365"/>
      <c r="O65" s="365"/>
      <c r="P65" s="365"/>
      <c r="Q65" s="365"/>
      <c r="R65" s="365"/>
      <c r="S65" s="365"/>
      <c r="T65" s="365"/>
      <c r="U65" s="365"/>
      <c r="V65" s="365"/>
      <c r="W65" s="365"/>
      <c r="X65" s="365"/>
      <c r="Y65" s="365"/>
      <c r="Z65" s="365"/>
      <c r="AA65" s="365"/>
      <c r="AB65" s="365"/>
      <c r="AC65" s="365"/>
      <c r="AD65" s="365"/>
      <c r="AE65" s="365"/>
      <c r="AF65" s="365"/>
      <c r="AG65" s="365"/>
      <c r="AH65" s="365"/>
      <c r="AI65" s="365"/>
      <c r="AJ65" s="365"/>
    </row>
    <row r="66" spans="1:36" ht="22.5" customHeight="1">
      <c r="C66" s="328"/>
      <c r="E66" s="934" t="s">
        <v>2706</v>
      </c>
      <c r="F66" s="365"/>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row>
    <row r="67" spans="1:36" ht="13.2" customHeight="1">
      <c r="C67" s="328"/>
      <c r="D67" s="328" t="s">
        <v>2707</v>
      </c>
      <c r="E67" s="345"/>
      <c r="F67" s="345"/>
      <c r="G67" s="345"/>
      <c r="H67" s="345"/>
      <c r="I67" s="345"/>
      <c r="J67" s="345"/>
      <c r="K67" s="345"/>
      <c r="L67" s="345"/>
      <c r="M67" s="345"/>
      <c r="N67" s="345"/>
      <c r="O67" s="345"/>
      <c r="P67" s="345"/>
      <c r="Q67" s="345"/>
      <c r="R67" s="345"/>
      <c r="S67" s="345"/>
      <c r="T67" s="345"/>
      <c r="U67" s="345"/>
      <c r="V67" s="345"/>
      <c r="W67" s="345"/>
      <c r="X67" s="345"/>
      <c r="Y67" s="2594">
        <f>IF(OR(Application!Z205="State Farmworker Credit",Application!Z205="$500M (Farmworker Housing)"),0.75,IF(Application!Z205="15% set-aside",0.13,IF(Application!Z205="15% set-aside with qualifying low value rehab",0.95,0.3)))</f>
        <v>0.3</v>
      </c>
      <c r="Z67" s="2594"/>
      <c r="AA67" s="2594"/>
      <c r="AB67" s="2594"/>
      <c r="AC67" s="2594"/>
      <c r="AD67" s="2594">
        <f>IF(Application!Z205="15% set-aside with qualifying low value rehab", 0.95,0.13)</f>
        <v>0.13</v>
      </c>
      <c r="AE67" s="2594"/>
      <c r="AF67" s="2594"/>
      <c r="AG67" s="2594"/>
      <c r="AH67" s="2594"/>
    </row>
    <row r="68" spans="1:36" ht="13.2" customHeight="1">
      <c r="C68" s="328"/>
      <c r="D68" s="144" t="s">
        <v>2708</v>
      </c>
      <c r="Y68" s="2537">
        <f>ROUND(Y64*Y67,0)</f>
        <v>20271679</v>
      </c>
      <c r="Z68" s="2595"/>
      <c r="AA68" s="2595"/>
      <c r="AB68" s="2595"/>
      <c r="AC68" s="2595"/>
      <c r="AD68" s="2537">
        <f>ROUND(AD64*AD67,0)</f>
        <v>0</v>
      </c>
      <c r="AE68" s="2595"/>
      <c r="AF68" s="2595"/>
      <c r="AG68" s="2595"/>
      <c r="AH68" s="2595"/>
    </row>
    <row r="69" spans="1:36" ht="13.2" customHeight="1">
      <c r="C69" s="328"/>
      <c r="D69" s="144" t="s">
        <v>2709</v>
      </c>
      <c r="Y69" s="2537">
        <f>IF(OR(Application!Z205="State Farmworker Credit",Application!Z205="$500M (Farmworker Housing)"),Y68+AD68,MIN(Y68+AD68,200000*(Application!G753+Application!O777)))</f>
        <v>20200000</v>
      </c>
      <c r="Z69" s="2537"/>
      <c r="AA69" s="2537"/>
      <c r="AB69" s="2537"/>
      <c r="AC69" s="2537"/>
      <c r="AD69" s="2537"/>
      <c r="AE69" s="2537"/>
      <c r="AF69" s="2537"/>
      <c r="AG69" s="2537"/>
      <c r="AH69" s="2537"/>
    </row>
    <row r="70" spans="1:36" ht="13.2" customHeight="1">
      <c r="C70" s="328"/>
      <c r="E70" s="328"/>
      <c r="AB70" s="346"/>
      <c r="AC70" s="346"/>
      <c r="AD70" s="346"/>
      <c r="AE70" s="346"/>
      <c r="AF70" s="346"/>
    </row>
    <row r="71" spans="1:36" ht="13.2" customHeight="1">
      <c r="A71" s="328" t="s">
        <v>1068</v>
      </c>
      <c r="C71" s="144" t="s">
        <v>287</v>
      </c>
    </row>
    <row r="72" spans="1:36" ht="13.2" customHeight="1">
      <c r="A72" s="328"/>
      <c r="C72" s="328"/>
      <c r="D72" s="144" t="s">
        <v>2710</v>
      </c>
      <c r="AB72" s="2580">
        <f>AB59/16093606</f>
        <v>0.80237884536256199</v>
      </c>
      <c r="AC72" s="2581"/>
      <c r="AD72" s="2581"/>
      <c r="AE72" s="2581"/>
      <c r="AF72" s="2582"/>
    </row>
    <row r="73" spans="1:36" ht="13.2" customHeight="1">
      <c r="A73" s="328"/>
      <c r="C73" s="328"/>
      <c r="D73" s="328"/>
      <c r="E73" s="2596" t="s">
        <v>2711</v>
      </c>
      <c r="F73" s="2596"/>
      <c r="G73" s="2596"/>
      <c r="H73" s="2596"/>
      <c r="I73" s="2596"/>
      <c r="J73" s="2596"/>
      <c r="K73" s="2596"/>
      <c r="L73" s="2596"/>
      <c r="M73" s="2596"/>
      <c r="N73" s="2596"/>
      <c r="O73" s="2596"/>
      <c r="P73" s="2596"/>
      <c r="Q73" s="2596"/>
      <c r="R73" s="2596"/>
      <c r="S73" s="2596"/>
      <c r="T73" s="2596"/>
      <c r="U73" s="2596"/>
      <c r="V73" s="2596"/>
      <c r="W73" s="2596"/>
      <c r="X73" s="2596"/>
      <c r="Y73" s="2596"/>
      <c r="Z73" s="2596"/>
      <c r="AA73" s="2596"/>
      <c r="AB73" s="364"/>
      <c r="AC73" s="364"/>
    </row>
    <row r="74" spans="1:36" ht="13.2" customHeight="1">
      <c r="A74" s="328"/>
      <c r="C74" s="328"/>
      <c r="D74" s="328"/>
      <c r="E74" s="2596"/>
      <c r="F74" s="2596"/>
      <c r="G74" s="2596"/>
      <c r="H74" s="2596"/>
      <c r="I74" s="2596"/>
      <c r="J74" s="2596"/>
      <c r="K74" s="2596"/>
      <c r="L74" s="2596"/>
      <c r="M74" s="2596"/>
      <c r="N74" s="2596"/>
      <c r="O74" s="2596"/>
      <c r="P74" s="2596"/>
      <c r="Q74" s="2596"/>
      <c r="R74" s="2596"/>
      <c r="S74" s="2596"/>
      <c r="T74" s="2596"/>
      <c r="U74" s="2596"/>
      <c r="V74" s="2596"/>
      <c r="W74" s="2596"/>
      <c r="X74" s="2596"/>
      <c r="Y74" s="2596"/>
      <c r="Z74" s="2596"/>
      <c r="AA74" s="2596"/>
      <c r="AB74" s="364"/>
      <c r="AC74" s="364"/>
    </row>
    <row r="75" spans="1:36" ht="13.2" customHeight="1">
      <c r="A75" s="328"/>
      <c r="C75" s="328"/>
      <c r="D75" s="328"/>
      <c r="E75" s="2596"/>
      <c r="F75" s="2596"/>
      <c r="G75" s="2596"/>
      <c r="H75" s="2596"/>
      <c r="I75" s="2596"/>
      <c r="J75" s="2596"/>
      <c r="K75" s="2596"/>
      <c r="L75" s="2596"/>
      <c r="M75" s="2596"/>
      <c r="N75" s="2596"/>
      <c r="O75" s="2596"/>
      <c r="P75" s="2596"/>
      <c r="Q75" s="2596"/>
      <c r="R75" s="2596"/>
      <c r="S75" s="2596"/>
      <c r="T75" s="2596"/>
      <c r="U75" s="2596"/>
      <c r="V75" s="2596"/>
      <c r="W75" s="2596"/>
      <c r="X75" s="2596"/>
      <c r="Y75" s="2596"/>
      <c r="Z75" s="2596"/>
      <c r="AA75" s="2596"/>
      <c r="AB75" s="364"/>
      <c r="AC75" s="364"/>
    </row>
    <row r="76" spans="1:36" ht="13.2" customHeight="1">
      <c r="A76" s="328"/>
      <c r="C76" s="328"/>
      <c r="D76" s="328"/>
      <c r="E76" s="348"/>
      <c r="F76" s="348"/>
      <c r="G76" s="348"/>
      <c r="H76" s="348"/>
      <c r="I76" s="348"/>
      <c r="J76" s="348"/>
      <c r="K76" s="348"/>
      <c r="L76" s="348"/>
      <c r="M76" s="348"/>
      <c r="N76" s="348"/>
      <c r="O76" s="348"/>
      <c r="P76" s="348"/>
      <c r="Q76" s="348"/>
      <c r="R76" s="348"/>
      <c r="S76" s="348"/>
      <c r="T76" s="348"/>
      <c r="U76" s="348"/>
      <c r="V76" s="348"/>
      <c r="W76" s="348"/>
      <c r="X76" s="348"/>
      <c r="Y76" s="348"/>
      <c r="Z76" s="348"/>
      <c r="AA76" s="284"/>
      <c r="AB76" s="284"/>
      <c r="AC76" s="284"/>
    </row>
    <row r="77" spans="1:36" ht="13.2" customHeight="1">
      <c r="C77" s="328"/>
      <c r="D77" s="144" t="s">
        <v>2712</v>
      </c>
      <c r="AB77" s="2589">
        <f>ROUND(IF(ISERROR((AB59/AB72)),0,(AB59/AB72)),0)</f>
        <v>16093606</v>
      </c>
      <c r="AC77" s="2589"/>
      <c r="AD77" s="2589"/>
      <c r="AE77" s="2589"/>
      <c r="AF77" s="2589"/>
    </row>
    <row r="78" spans="1:36" ht="13.2" customHeight="1">
      <c r="C78" s="328"/>
      <c r="D78" s="144" t="s">
        <v>2713</v>
      </c>
      <c r="AB78" s="2590">
        <f>MIN(Y69,AB77)</f>
        <v>16093606</v>
      </c>
      <c r="AC78" s="2591"/>
      <c r="AD78" s="2591"/>
      <c r="AE78" s="2591"/>
      <c r="AF78" s="2592"/>
    </row>
    <row r="79" spans="1:36" ht="13.2" customHeight="1">
      <c r="C79" s="328"/>
      <c r="D79" s="144" t="s">
        <v>2714</v>
      </c>
      <c r="AB79" s="2593">
        <f>AB78*AB72</f>
        <v>12913169</v>
      </c>
      <c r="AC79" s="2593"/>
      <c r="AD79" s="2593"/>
      <c r="AE79" s="2593"/>
      <c r="AF79" s="2593"/>
    </row>
    <row r="80" spans="1:36" ht="13.2" customHeight="1">
      <c r="C80" s="328"/>
      <c r="D80" s="328"/>
      <c r="AB80" s="349"/>
      <c r="AC80" s="349"/>
      <c r="AD80" s="349"/>
      <c r="AE80" s="349"/>
      <c r="AF80" s="349"/>
    </row>
    <row r="81" spans="1:78" ht="13.2" customHeight="1">
      <c r="D81" s="328" t="s">
        <v>2701</v>
      </c>
      <c r="AB81" s="2576">
        <f>AB49-(AB57+AB79)</f>
        <v>0</v>
      </c>
      <c r="AC81" s="2576"/>
      <c r="AD81" s="2576"/>
      <c r="AE81" s="2576"/>
      <c r="AF81" s="2576"/>
    </row>
    <row r="82" spans="1:78" ht="13.2" customHeight="1">
      <c r="F82" s="446"/>
      <c r="J82" s="446" t="str">
        <f>IF(AB81&gt;0,"FUNDING GAP MUST NOT EXCEED ZERO","")</f>
        <v/>
      </c>
    </row>
    <row r="83" spans="1:78" ht="13.2" customHeight="1">
      <c r="D83" s="447"/>
    </row>
    <row r="84" spans="1:78" ht="13.2" customHeight="1" thickBot="1">
      <c r="A84" s="2541"/>
      <c r="B84" s="2541"/>
      <c r="C84" s="2541"/>
      <c r="D84" s="2541"/>
      <c r="E84" s="2541"/>
      <c r="F84" s="2541"/>
      <c r="G84" s="2541"/>
      <c r="H84" s="2541"/>
      <c r="I84" s="2541"/>
      <c r="J84" s="2541"/>
      <c r="K84" s="2541"/>
      <c r="L84" s="2541"/>
      <c r="M84" s="2541"/>
      <c r="N84" s="2541"/>
      <c r="O84" s="2541"/>
      <c r="P84" s="2541"/>
      <c r="Q84" s="2541"/>
      <c r="R84" s="2541"/>
      <c r="S84" s="2541"/>
      <c r="T84" s="2541"/>
      <c r="U84" s="2541"/>
      <c r="V84" s="2541"/>
      <c r="W84" s="2541"/>
      <c r="X84" s="2541"/>
      <c r="Y84" s="2541"/>
      <c r="Z84" s="2541"/>
      <c r="AA84" s="2541"/>
      <c r="AB84" s="2541"/>
      <c r="AC84" s="2541"/>
      <c r="AD84" s="2541"/>
      <c r="AE84" s="2541"/>
      <c r="AF84" s="2541"/>
      <c r="AG84" s="2541"/>
      <c r="AH84" s="2541"/>
      <c r="AI84" s="2541"/>
      <c r="AJ84" s="2541"/>
      <c r="AK84" s="2541"/>
      <c r="AL84" s="2541"/>
      <c r="AM84" s="2541"/>
      <c r="AN84" s="2541"/>
      <c r="AO84" s="2541"/>
      <c r="AP84" s="2541"/>
      <c r="AQ84" s="2541"/>
      <c r="AR84" s="2541"/>
      <c r="AS84" s="2541"/>
      <c r="AT84" s="2541"/>
      <c r="AU84" s="2541"/>
      <c r="AV84" s="2541"/>
      <c r="AW84" s="2541"/>
      <c r="AX84" s="2541"/>
      <c r="AY84" s="2541"/>
      <c r="AZ84" s="2541"/>
      <c r="BA84" s="2541"/>
      <c r="BB84" s="2541"/>
      <c r="BC84" s="2541"/>
      <c r="BD84" s="2541"/>
      <c r="BE84" s="2541"/>
      <c r="BF84" s="2541"/>
      <c r="BG84" s="2541"/>
      <c r="BH84" s="2541"/>
      <c r="BI84" s="2541"/>
      <c r="BJ84" s="2541"/>
      <c r="BK84" s="2541"/>
      <c r="BL84" s="2541"/>
      <c r="BM84" s="2541"/>
      <c r="BN84" s="2541"/>
      <c r="BO84" s="2541"/>
      <c r="BP84" s="2541"/>
      <c r="BQ84" s="2541"/>
      <c r="BR84" s="2541"/>
      <c r="BS84" s="2541"/>
      <c r="BT84" s="2541"/>
      <c r="BU84" s="2541"/>
      <c r="BV84" s="2541"/>
      <c r="BW84" s="2541"/>
      <c r="BX84" s="2541"/>
    </row>
    <row r="85" spans="1:78" ht="13.2" customHeight="1" thickTop="1"/>
    <row r="86" spans="1:78" ht="13.2" customHeight="1">
      <c r="A86" s="328"/>
      <c r="C86" s="144"/>
    </row>
    <row r="87" spans="1:78" ht="13.2" customHeight="1">
      <c r="D87" s="144"/>
      <c r="AB87" s="2542"/>
      <c r="AC87" s="2542"/>
      <c r="AD87" s="2542"/>
      <c r="AE87" s="2542"/>
      <c r="AF87" s="2542"/>
    </row>
    <row r="88" spans="1:78" ht="13.2" customHeight="1" thickBot="1">
      <c r="D88" s="144"/>
      <c r="AB88" s="2540"/>
      <c r="AC88" s="2540"/>
      <c r="AD88" s="2540"/>
      <c r="AE88" s="2540"/>
      <c r="AF88" s="2540"/>
      <c r="AO88" s="445"/>
      <c r="AP88" s="445"/>
      <c r="AQ88" s="445"/>
      <c r="AR88" s="445"/>
      <c r="AS88" s="445"/>
      <c r="AT88" s="445"/>
      <c r="AU88" s="445"/>
      <c r="AV88" s="445"/>
      <c r="AW88" s="445"/>
      <c r="AX88" s="445"/>
      <c r="AY88" s="445"/>
      <c r="AZ88" s="445"/>
      <c r="BA88" s="445"/>
      <c r="BB88" s="445"/>
      <c r="BC88" s="445"/>
      <c r="BD88" s="445"/>
      <c r="BE88" s="445"/>
      <c r="BF88" s="445"/>
      <c r="BG88" s="445"/>
      <c r="BH88" s="445"/>
      <c r="BI88" s="445"/>
      <c r="BJ88" s="445"/>
      <c r="BK88" s="445"/>
      <c r="BL88" s="445"/>
      <c r="BM88" s="445"/>
      <c r="BN88" s="445"/>
      <c r="BO88" s="445"/>
      <c r="BP88" s="445"/>
      <c r="BQ88" s="445"/>
      <c r="BR88" s="445"/>
      <c r="BS88" s="445"/>
      <c r="BT88" s="445"/>
      <c r="BU88" s="445"/>
      <c r="BV88" s="445"/>
      <c r="BW88" s="445"/>
      <c r="BX88" s="445"/>
      <c r="BY88" s="445"/>
      <c r="BZ88" s="445"/>
    </row>
    <row r="89" spans="1:78" ht="13.2"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G19" sqref="G19"/>
    </sheetView>
  </sheetViews>
  <sheetFormatPr defaultColWidth="9.33203125" defaultRowHeight="13.8" zeroHeight="1"/>
  <cols>
    <col min="1" max="2" width="15.6640625" style="225" customWidth="1"/>
    <col min="3" max="3" width="11" style="225" customWidth="1"/>
    <col min="4" max="4" width="15.6640625" style="225" customWidth="1"/>
    <col min="5" max="5" width="3.6640625" style="225" customWidth="1"/>
    <col min="6" max="7" width="15.6640625" style="225" customWidth="1"/>
    <col min="8" max="8" width="3.6640625" style="225" customWidth="1"/>
    <col min="9" max="10" width="15.6640625" style="225" customWidth="1"/>
    <col min="11" max="11" width="3.33203125" style="225" customWidth="1"/>
    <col min="12" max="17" width="15.6640625" style="225" customWidth="1"/>
    <col min="18" max="16384" width="9.33203125" style="225"/>
  </cols>
  <sheetData>
    <row r="1" spans="1:12">
      <c r="A1" s="2597" t="s">
        <v>2715</v>
      </c>
      <c r="B1" s="2597"/>
      <c r="C1" s="2597"/>
      <c r="D1" s="2597"/>
      <c r="E1" s="2597"/>
      <c r="F1" s="2597"/>
      <c r="G1" s="2597"/>
      <c r="H1" s="2597"/>
      <c r="I1" s="2597"/>
      <c r="J1" s="2597"/>
      <c r="K1" s="143"/>
      <c r="L1" s="143"/>
    </row>
    <row r="2" spans="1:12">
      <c r="A2" s="148"/>
      <c r="B2" s="148"/>
      <c r="C2" s="148"/>
      <c r="D2" s="148"/>
      <c r="E2" s="148"/>
      <c r="F2" s="148"/>
      <c r="G2" s="148"/>
      <c r="H2" s="148"/>
      <c r="I2" s="148"/>
      <c r="J2" s="148"/>
    </row>
    <row r="3" spans="1:12" ht="82.8">
      <c r="A3" s="350" t="s">
        <v>2716</v>
      </c>
      <c r="B3" s="350" t="s">
        <v>2717</v>
      </c>
      <c r="C3" s="350" t="s">
        <v>2718</v>
      </c>
      <c r="D3" s="1069" t="s">
        <v>2719</v>
      </c>
      <c r="E3" s="143"/>
      <c r="F3" s="1069" t="s">
        <v>2720</v>
      </c>
      <c r="G3" s="350" t="s">
        <v>2721</v>
      </c>
      <c r="H3" s="351"/>
      <c r="I3" s="350" t="s">
        <v>2722</v>
      </c>
      <c r="J3" s="350" t="s">
        <v>2723</v>
      </c>
      <c r="K3" s="143"/>
      <c r="L3" s="226"/>
    </row>
    <row r="4" spans="1:12">
      <c r="A4" s="352" t="str">
        <f>Application!B718</f>
        <v>1 Bedroom</v>
      </c>
      <c r="B4" s="1001">
        <f>Application!G718</f>
        <v>50</v>
      </c>
      <c r="C4" s="1002" t="s">
        <v>1043</v>
      </c>
      <c r="D4" s="352">
        <f>Application!O718</f>
        <v>680</v>
      </c>
      <c r="E4" s="353"/>
      <c r="F4" s="1003">
        <v>1996</v>
      </c>
      <c r="G4" s="352">
        <f>F4*B4</f>
        <v>99800</v>
      </c>
      <c r="H4" s="353"/>
      <c r="I4" s="352">
        <f t="shared" ref="I4:I27" si="0">IF(F4=0,"",(F4-D4))</f>
        <v>1316</v>
      </c>
      <c r="J4" s="352">
        <f t="shared" ref="J4:J27" si="1">IF(F4=0,"",(I4*B4))</f>
        <v>65800</v>
      </c>
      <c r="K4" s="143"/>
      <c r="L4" s="226"/>
    </row>
    <row r="5" spans="1:12">
      <c r="A5" s="352" t="str">
        <f>Application!B719</f>
        <v>1 Bedroom</v>
      </c>
      <c r="B5" s="1001">
        <f>Application!G719</f>
        <v>25</v>
      </c>
      <c r="C5" s="1002" t="s">
        <v>1043</v>
      </c>
      <c r="D5" s="352">
        <f>Application!O719</f>
        <v>1460</v>
      </c>
      <c r="E5" s="353"/>
      <c r="F5" s="1003">
        <v>1996</v>
      </c>
      <c r="G5" s="352">
        <f t="shared" ref="G5:G38" si="2">F5*B5</f>
        <v>49900</v>
      </c>
      <c r="H5" s="353"/>
      <c r="I5" s="352">
        <f t="shared" si="0"/>
        <v>536</v>
      </c>
      <c r="J5" s="352">
        <f t="shared" si="1"/>
        <v>13400</v>
      </c>
      <c r="K5" s="143"/>
      <c r="L5" s="226"/>
    </row>
    <row r="6" spans="1:12">
      <c r="A6" s="352" t="str">
        <f>Application!B720</f>
        <v>1 Bedroom</v>
      </c>
      <c r="B6" s="1001">
        <f>Application!G720</f>
        <v>22</v>
      </c>
      <c r="C6" s="1002" t="s">
        <v>1043</v>
      </c>
      <c r="D6" s="352">
        <f>Application!O720</f>
        <v>1980</v>
      </c>
      <c r="E6" s="353"/>
      <c r="F6" s="1003">
        <v>1996</v>
      </c>
      <c r="G6" s="352">
        <f t="shared" si="2"/>
        <v>43912</v>
      </c>
      <c r="H6" s="353"/>
      <c r="I6" s="352">
        <f t="shared" si="0"/>
        <v>16</v>
      </c>
      <c r="J6" s="352">
        <f t="shared" si="1"/>
        <v>352</v>
      </c>
      <c r="K6" s="143"/>
      <c r="L6" s="226"/>
    </row>
    <row r="7" spans="1:12">
      <c r="A7" s="352" t="str">
        <f>Application!B721</f>
        <v>2 Bedrooms</v>
      </c>
      <c r="B7" s="1001">
        <f>Application!G721</f>
        <v>3</v>
      </c>
      <c r="C7" s="1002" t="s">
        <v>1043</v>
      </c>
      <c r="D7" s="352">
        <f>Application!O721</f>
        <v>2368</v>
      </c>
      <c r="E7" s="353"/>
      <c r="F7" s="1003">
        <v>2538</v>
      </c>
      <c r="G7" s="352">
        <f t="shared" si="2"/>
        <v>7614</v>
      </c>
      <c r="H7" s="353"/>
      <c r="I7" s="352">
        <f t="shared" si="0"/>
        <v>170</v>
      </c>
      <c r="J7" s="352">
        <f t="shared" si="1"/>
        <v>510</v>
      </c>
      <c r="K7" s="143"/>
      <c r="L7" s="226"/>
    </row>
    <row r="8" spans="1:12">
      <c r="A8" s="352">
        <f>Application!B722</f>
        <v>0</v>
      </c>
      <c r="B8" s="1001">
        <f>Application!G722</f>
        <v>0</v>
      </c>
      <c r="C8" s="1002"/>
      <c r="D8" s="352">
        <f>Application!O722</f>
        <v>0</v>
      </c>
      <c r="E8" s="353"/>
      <c r="F8" s="1003"/>
      <c r="G8" s="352">
        <f t="shared" si="2"/>
        <v>0</v>
      </c>
      <c r="H8" s="353"/>
      <c r="I8" s="352" t="str">
        <f t="shared" si="0"/>
        <v/>
      </c>
      <c r="J8" s="352" t="str">
        <f t="shared" si="1"/>
        <v/>
      </c>
      <c r="K8" s="143"/>
      <c r="L8" s="226"/>
    </row>
    <row r="9" spans="1:12">
      <c r="A9" s="352">
        <f>Application!B723</f>
        <v>0</v>
      </c>
      <c r="B9" s="1001">
        <f>Application!G723</f>
        <v>0</v>
      </c>
      <c r="C9" s="1002"/>
      <c r="D9" s="352">
        <f>Application!O723</f>
        <v>0</v>
      </c>
      <c r="E9" s="353"/>
      <c r="F9" s="1003"/>
      <c r="G9" s="352">
        <f t="shared" si="2"/>
        <v>0</v>
      </c>
      <c r="H9" s="353"/>
      <c r="I9" s="352" t="str">
        <f t="shared" si="0"/>
        <v/>
      </c>
      <c r="J9" s="352" t="str">
        <f t="shared" si="1"/>
        <v/>
      </c>
      <c r="K9" s="143"/>
      <c r="L9" s="226"/>
    </row>
    <row r="10" spans="1:12">
      <c r="A10" s="352">
        <f>Application!B724</f>
        <v>0</v>
      </c>
      <c r="B10" s="1001">
        <f>Application!G724</f>
        <v>0</v>
      </c>
      <c r="C10" s="1002"/>
      <c r="D10" s="352">
        <f>Application!O724</f>
        <v>0</v>
      </c>
      <c r="E10" s="353"/>
      <c r="F10" s="1003"/>
      <c r="G10" s="352">
        <f t="shared" si="2"/>
        <v>0</v>
      </c>
      <c r="H10" s="353"/>
      <c r="I10" s="352" t="str">
        <f t="shared" si="0"/>
        <v/>
      </c>
      <c r="J10" s="352" t="str">
        <f t="shared" si="1"/>
        <v/>
      </c>
      <c r="K10" s="143"/>
      <c r="L10" s="226"/>
    </row>
    <row r="11" spans="1:12">
      <c r="A11" s="352">
        <f>Application!B725</f>
        <v>0</v>
      </c>
      <c r="B11" s="1001">
        <f>Application!G725</f>
        <v>0</v>
      </c>
      <c r="C11" s="1002"/>
      <c r="D11" s="352">
        <f>Application!O725</f>
        <v>0</v>
      </c>
      <c r="E11" s="353"/>
      <c r="F11" s="1003"/>
      <c r="G11" s="352">
        <f t="shared" si="2"/>
        <v>0</v>
      </c>
      <c r="H11" s="353"/>
      <c r="I11" s="352" t="str">
        <f t="shared" si="0"/>
        <v/>
      </c>
      <c r="J11" s="352" t="str">
        <f t="shared" si="1"/>
        <v/>
      </c>
      <c r="K11" s="143"/>
      <c r="L11" s="226"/>
    </row>
    <row r="12" spans="1:12">
      <c r="A12" s="352">
        <f>Application!B726</f>
        <v>0</v>
      </c>
      <c r="B12" s="1001">
        <f>Application!G726</f>
        <v>0</v>
      </c>
      <c r="C12" s="1002"/>
      <c r="D12" s="352">
        <f>Application!O726</f>
        <v>0</v>
      </c>
      <c r="E12" s="353"/>
      <c r="F12" s="1003"/>
      <c r="G12" s="352">
        <f t="shared" si="2"/>
        <v>0</v>
      </c>
      <c r="H12" s="353"/>
      <c r="I12" s="352" t="str">
        <f t="shared" si="0"/>
        <v/>
      </c>
      <c r="J12" s="352" t="str">
        <f t="shared" si="1"/>
        <v/>
      </c>
      <c r="K12" s="143"/>
      <c r="L12" s="226"/>
    </row>
    <row r="13" spans="1:12">
      <c r="A13" s="352">
        <f>Application!B727</f>
        <v>0</v>
      </c>
      <c r="B13" s="1001">
        <f>Application!G727</f>
        <v>0</v>
      </c>
      <c r="C13" s="1002"/>
      <c r="D13" s="352">
        <f>Application!O727</f>
        <v>0</v>
      </c>
      <c r="E13" s="353"/>
      <c r="F13" s="1003"/>
      <c r="G13" s="352">
        <f t="shared" si="2"/>
        <v>0</v>
      </c>
      <c r="H13" s="353"/>
      <c r="I13" s="352" t="str">
        <f t="shared" si="0"/>
        <v/>
      </c>
      <c r="J13" s="352" t="str">
        <f t="shared" si="1"/>
        <v/>
      </c>
      <c r="K13" s="143"/>
      <c r="L13" s="226"/>
    </row>
    <row r="14" spans="1:12">
      <c r="A14" s="352">
        <f>Application!B728</f>
        <v>0</v>
      </c>
      <c r="B14" s="1001">
        <f>Application!G728</f>
        <v>0</v>
      </c>
      <c r="C14" s="1002"/>
      <c r="D14" s="352">
        <f>Application!O728</f>
        <v>0</v>
      </c>
      <c r="E14" s="353"/>
      <c r="F14" s="1003"/>
      <c r="G14" s="352">
        <f t="shared" si="2"/>
        <v>0</v>
      </c>
      <c r="H14" s="353"/>
      <c r="I14" s="352" t="str">
        <f t="shared" si="0"/>
        <v/>
      </c>
      <c r="J14" s="352" t="str">
        <f t="shared" si="1"/>
        <v/>
      </c>
      <c r="K14" s="143"/>
      <c r="L14" s="226"/>
    </row>
    <row r="15" spans="1:12">
      <c r="A15" s="352">
        <f>Application!B729</f>
        <v>0</v>
      </c>
      <c r="B15" s="1001">
        <f>Application!G729</f>
        <v>0</v>
      </c>
      <c r="C15" s="1002"/>
      <c r="D15" s="352">
        <f>Application!O729</f>
        <v>0</v>
      </c>
      <c r="E15" s="353"/>
      <c r="F15" s="1003"/>
      <c r="G15" s="352">
        <f t="shared" si="2"/>
        <v>0</v>
      </c>
      <c r="H15" s="353"/>
      <c r="I15" s="352" t="str">
        <f t="shared" si="0"/>
        <v/>
      </c>
      <c r="J15" s="352" t="str">
        <f t="shared" si="1"/>
        <v/>
      </c>
      <c r="K15" s="143"/>
      <c r="L15" s="226"/>
    </row>
    <row r="16" spans="1:12">
      <c r="A16" s="352">
        <f>Application!B730</f>
        <v>0</v>
      </c>
      <c r="B16" s="1001">
        <f>Application!G730</f>
        <v>0</v>
      </c>
      <c r="C16" s="1002"/>
      <c r="D16" s="352">
        <f>Application!O730</f>
        <v>0</v>
      </c>
      <c r="E16" s="353"/>
      <c r="F16" s="1003"/>
      <c r="G16" s="352">
        <f t="shared" si="2"/>
        <v>0</v>
      </c>
      <c r="H16" s="353"/>
      <c r="I16" s="352" t="str">
        <f t="shared" si="0"/>
        <v/>
      </c>
      <c r="J16" s="352" t="str">
        <f t="shared" si="1"/>
        <v/>
      </c>
      <c r="K16" s="143"/>
      <c r="L16" s="226"/>
    </row>
    <row r="17" spans="1:12">
      <c r="A17" s="352">
        <f>Application!B731</f>
        <v>0</v>
      </c>
      <c r="B17" s="1001">
        <f>Application!G731</f>
        <v>0</v>
      </c>
      <c r="C17" s="1002"/>
      <c r="D17" s="352">
        <f>Application!O731</f>
        <v>0</v>
      </c>
      <c r="E17" s="353"/>
      <c r="F17" s="1003"/>
      <c r="G17" s="352">
        <f t="shared" si="2"/>
        <v>0</v>
      </c>
      <c r="H17" s="353"/>
      <c r="I17" s="352" t="str">
        <f t="shared" si="0"/>
        <v/>
      </c>
      <c r="J17" s="352" t="str">
        <f t="shared" si="1"/>
        <v/>
      </c>
      <c r="K17" s="143"/>
      <c r="L17" s="226"/>
    </row>
    <row r="18" spans="1:12">
      <c r="A18" s="352">
        <f>Application!B732</f>
        <v>0</v>
      </c>
      <c r="B18" s="1001">
        <f>Application!G732</f>
        <v>0</v>
      </c>
      <c r="C18" s="1002"/>
      <c r="D18" s="352">
        <f>Application!O732</f>
        <v>0</v>
      </c>
      <c r="E18" s="353"/>
      <c r="F18" s="1003"/>
      <c r="G18" s="352">
        <f t="shared" si="2"/>
        <v>0</v>
      </c>
      <c r="H18" s="353"/>
      <c r="I18" s="352" t="str">
        <f t="shared" si="0"/>
        <v/>
      </c>
      <c r="J18" s="352" t="str">
        <f t="shared" si="1"/>
        <v/>
      </c>
      <c r="K18" s="143"/>
      <c r="L18" s="226"/>
    </row>
    <row r="19" spans="1:12">
      <c r="A19" s="352">
        <f>Application!B733</f>
        <v>0</v>
      </c>
      <c r="B19" s="1001">
        <f>Application!G733</f>
        <v>0</v>
      </c>
      <c r="C19" s="1002"/>
      <c r="D19" s="352">
        <f>Application!O733</f>
        <v>0</v>
      </c>
      <c r="E19" s="353"/>
      <c r="F19" s="1003"/>
      <c r="G19" s="352">
        <f t="shared" si="2"/>
        <v>0</v>
      </c>
      <c r="H19" s="353"/>
      <c r="I19" s="352" t="str">
        <f t="shared" si="0"/>
        <v/>
      </c>
      <c r="J19" s="352" t="str">
        <f t="shared" si="1"/>
        <v/>
      </c>
      <c r="K19" s="143"/>
      <c r="L19" s="226"/>
    </row>
    <row r="20" spans="1:12">
      <c r="A20" s="352">
        <f>Application!B734</f>
        <v>0</v>
      </c>
      <c r="B20" s="1001">
        <f>Application!G734</f>
        <v>0</v>
      </c>
      <c r="C20" s="1002"/>
      <c r="D20" s="352">
        <f>Application!O734</f>
        <v>0</v>
      </c>
      <c r="E20" s="353"/>
      <c r="F20" s="1003"/>
      <c r="G20" s="352">
        <f t="shared" si="2"/>
        <v>0</v>
      </c>
      <c r="H20" s="353"/>
      <c r="I20" s="352" t="str">
        <f t="shared" si="0"/>
        <v/>
      </c>
      <c r="J20" s="352" t="str">
        <f t="shared" si="1"/>
        <v/>
      </c>
      <c r="K20" s="143"/>
      <c r="L20" s="226"/>
    </row>
    <row r="21" spans="1:12">
      <c r="A21" s="352">
        <f>Application!B735</f>
        <v>0</v>
      </c>
      <c r="B21" s="1001">
        <f>Application!G735</f>
        <v>0</v>
      </c>
      <c r="C21" s="1002"/>
      <c r="D21" s="352">
        <f>Application!O735</f>
        <v>0</v>
      </c>
      <c r="E21" s="353"/>
      <c r="F21" s="1003"/>
      <c r="G21" s="352">
        <f t="shared" si="2"/>
        <v>0</v>
      </c>
      <c r="H21" s="353"/>
      <c r="I21" s="352" t="str">
        <f t="shared" si="0"/>
        <v/>
      </c>
      <c r="J21" s="352" t="str">
        <f t="shared" si="1"/>
        <v/>
      </c>
      <c r="K21" s="143"/>
      <c r="L21" s="226"/>
    </row>
    <row r="22" spans="1:12">
      <c r="A22" s="352">
        <f>Application!B736</f>
        <v>0</v>
      </c>
      <c r="B22" s="1001">
        <f>Application!G736</f>
        <v>0</v>
      </c>
      <c r="C22" s="1002"/>
      <c r="D22" s="352">
        <f>Application!O736</f>
        <v>0</v>
      </c>
      <c r="E22" s="353"/>
      <c r="F22" s="1003"/>
      <c r="G22" s="352">
        <f t="shared" si="2"/>
        <v>0</v>
      </c>
      <c r="H22" s="353"/>
      <c r="I22" s="352" t="str">
        <f t="shared" si="0"/>
        <v/>
      </c>
      <c r="J22" s="352" t="str">
        <f t="shared" si="1"/>
        <v/>
      </c>
      <c r="K22" s="143"/>
      <c r="L22" s="226"/>
    </row>
    <row r="23" spans="1:12">
      <c r="A23" s="352">
        <f>Application!B737</f>
        <v>0</v>
      </c>
      <c r="B23" s="1001">
        <f>Application!G737</f>
        <v>0</v>
      </c>
      <c r="C23" s="1002"/>
      <c r="D23" s="352">
        <f>Application!O737</f>
        <v>0</v>
      </c>
      <c r="E23" s="353"/>
      <c r="F23" s="1003"/>
      <c r="G23" s="352">
        <f t="shared" si="2"/>
        <v>0</v>
      </c>
      <c r="H23" s="353"/>
      <c r="I23" s="352" t="str">
        <f t="shared" si="0"/>
        <v/>
      </c>
      <c r="J23" s="352" t="str">
        <f t="shared" si="1"/>
        <v/>
      </c>
      <c r="K23" s="143"/>
      <c r="L23" s="226"/>
    </row>
    <row r="24" spans="1:12">
      <c r="A24" s="352">
        <f>Application!B738</f>
        <v>0</v>
      </c>
      <c r="B24" s="1001">
        <f>Application!G738</f>
        <v>0</v>
      </c>
      <c r="C24" s="1002"/>
      <c r="D24" s="352">
        <f>Application!O738</f>
        <v>0</v>
      </c>
      <c r="E24" s="353"/>
      <c r="F24" s="1003"/>
      <c r="G24" s="352">
        <f t="shared" si="2"/>
        <v>0</v>
      </c>
      <c r="H24" s="353"/>
      <c r="I24" s="352" t="str">
        <f t="shared" si="0"/>
        <v/>
      </c>
      <c r="J24" s="352" t="str">
        <f t="shared" si="1"/>
        <v/>
      </c>
      <c r="K24" s="143"/>
      <c r="L24" s="226"/>
    </row>
    <row r="25" spans="1:12">
      <c r="A25" s="352">
        <f>Application!B739</f>
        <v>0</v>
      </c>
      <c r="B25" s="1001">
        <f>Application!G739</f>
        <v>0</v>
      </c>
      <c r="C25" s="1002"/>
      <c r="D25" s="352">
        <f>Application!O739</f>
        <v>0</v>
      </c>
      <c r="E25" s="353"/>
      <c r="F25" s="1003"/>
      <c r="G25" s="352">
        <f t="shared" si="2"/>
        <v>0</v>
      </c>
      <c r="H25" s="353"/>
      <c r="I25" s="352" t="str">
        <f t="shared" si="0"/>
        <v/>
      </c>
      <c r="J25" s="352" t="str">
        <f t="shared" si="1"/>
        <v/>
      </c>
      <c r="K25" s="143"/>
      <c r="L25" s="226"/>
    </row>
    <row r="26" spans="1:12">
      <c r="A26" s="352">
        <f>Application!B740</f>
        <v>0</v>
      </c>
      <c r="B26" s="1001">
        <f>Application!G740</f>
        <v>0</v>
      </c>
      <c r="C26" s="1002"/>
      <c r="D26" s="352">
        <f>Application!O740</f>
        <v>0</v>
      </c>
      <c r="E26" s="353"/>
      <c r="F26" s="1003"/>
      <c r="G26" s="352">
        <f t="shared" si="2"/>
        <v>0</v>
      </c>
      <c r="H26" s="353"/>
      <c r="I26" s="352" t="str">
        <f t="shared" si="0"/>
        <v/>
      </c>
      <c r="J26" s="352" t="str">
        <f t="shared" si="1"/>
        <v/>
      </c>
      <c r="K26" s="143"/>
      <c r="L26" s="226"/>
    </row>
    <row r="27" spans="1:12">
      <c r="A27" s="352">
        <f>Application!B741</f>
        <v>0</v>
      </c>
      <c r="B27" s="1001">
        <f>Application!G741</f>
        <v>0</v>
      </c>
      <c r="C27" s="1002"/>
      <c r="D27" s="352">
        <f>Application!O741</f>
        <v>0</v>
      </c>
      <c r="E27" s="353"/>
      <c r="F27" s="1003"/>
      <c r="G27" s="352">
        <f t="shared" si="2"/>
        <v>0</v>
      </c>
      <c r="H27" s="353"/>
      <c r="I27" s="352" t="str">
        <f t="shared" si="0"/>
        <v/>
      </c>
      <c r="J27" s="352" t="str">
        <f t="shared" si="1"/>
        <v/>
      </c>
      <c r="K27" s="143"/>
      <c r="L27" s="226"/>
    </row>
    <row r="28" spans="1:12">
      <c r="A28" s="352">
        <f>Application!B742</f>
        <v>0</v>
      </c>
      <c r="B28" s="1001">
        <f>Application!G742</f>
        <v>0</v>
      </c>
      <c r="C28" s="1002"/>
      <c r="D28" s="352">
        <f>Application!O742</f>
        <v>0</v>
      </c>
      <c r="E28" s="353"/>
      <c r="F28" s="1003"/>
      <c r="G28" s="352">
        <f t="shared" si="2"/>
        <v>0</v>
      </c>
      <c r="H28" s="353"/>
      <c r="I28" s="352" t="str">
        <f t="shared" ref="I28:I37" si="3">IF(F28=0,"",(F28-D28))</f>
        <v/>
      </c>
      <c r="J28" s="352" t="str">
        <f t="shared" ref="J28:J37" si="4">IF(F28=0,"",(I28*B28))</f>
        <v/>
      </c>
      <c r="K28" s="143"/>
      <c r="L28" s="226"/>
    </row>
    <row r="29" spans="1:12">
      <c r="A29" s="352">
        <f>Application!B743</f>
        <v>0</v>
      </c>
      <c r="B29" s="1001">
        <f>Application!G743</f>
        <v>0</v>
      </c>
      <c r="C29" s="1002"/>
      <c r="D29" s="352">
        <f>Application!O743</f>
        <v>0</v>
      </c>
      <c r="E29" s="353"/>
      <c r="F29" s="1003"/>
      <c r="G29" s="352">
        <f t="shared" si="2"/>
        <v>0</v>
      </c>
      <c r="H29" s="353"/>
      <c r="I29" s="352" t="str">
        <f t="shared" si="3"/>
        <v/>
      </c>
      <c r="J29" s="352" t="str">
        <f t="shared" si="4"/>
        <v/>
      </c>
      <c r="K29" s="143"/>
      <c r="L29" s="226"/>
    </row>
    <row r="30" spans="1:12">
      <c r="A30" s="352">
        <f>Application!B744</f>
        <v>0</v>
      </c>
      <c r="B30" s="1001">
        <f>Application!G744</f>
        <v>0</v>
      </c>
      <c r="C30" s="1002"/>
      <c r="D30" s="352">
        <f>Application!O744</f>
        <v>0</v>
      </c>
      <c r="E30" s="353"/>
      <c r="F30" s="1003"/>
      <c r="G30" s="352">
        <f t="shared" si="2"/>
        <v>0</v>
      </c>
      <c r="H30" s="353"/>
      <c r="I30" s="352" t="str">
        <f t="shared" si="3"/>
        <v/>
      </c>
      <c r="J30" s="352" t="str">
        <f t="shared" si="4"/>
        <v/>
      </c>
      <c r="K30" s="143"/>
      <c r="L30" s="226"/>
    </row>
    <row r="31" spans="1:12">
      <c r="A31" s="352">
        <f>Application!B745</f>
        <v>0</v>
      </c>
      <c r="B31" s="1001">
        <f>Application!G745</f>
        <v>0</v>
      </c>
      <c r="C31" s="1002"/>
      <c r="D31" s="352">
        <f>Application!O745</f>
        <v>0</v>
      </c>
      <c r="E31" s="353"/>
      <c r="F31" s="1003"/>
      <c r="G31" s="352">
        <f t="shared" si="2"/>
        <v>0</v>
      </c>
      <c r="H31" s="353"/>
      <c r="I31" s="352" t="str">
        <f t="shared" si="3"/>
        <v/>
      </c>
      <c r="J31" s="352" t="str">
        <f t="shared" si="4"/>
        <v/>
      </c>
      <c r="K31" s="143"/>
      <c r="L31" s="226"/>
    </row>
    <row r="32" spans="1:12">
      <c r="A32" s="352">
        <f>Application!B746</f>
        <v>0</v>
      </c>
      <c r="B32" s="1001">
        <f>Application!G746</f>
        <v>0</v>
      </c>
      <c r="C32" s="1002"/>
      <c r="D32" s="352">
        <f>Application!O746</f>
        <v>0</v>
      </c>
      <c r="E32" s="353"/>
      <c r="F32" s="1003"/>
      <c r="G32" s="352">
        <f t="shared" si="2"/>
        <v>0</v>
      </c>
      <c r="H32" s="353"/>
      <c r="I32" s="352" t="str">
        <f t="shared" si="3"/>
        <v/>
      </c>
      <c r="J32" s="352" t="str">
        <f t="shared" si="4"/>
        <v/>
      </c>
      <c r="K32" s="143"/>
      <c r="L32" s="226"/>
    </row>
    <row r="33" spans="1:12">
      <c r="A33" s="352">
        <f>Application!B747</f>
        <v>0</v>
      </c>
      <c r="B33" s="1001">
        <f>Application!G747</f>
        <v>0</v>
      </c>
      <c r="C33" s="1002"/>
      <c r="D33" s="352">
        <f>Application!O747</f>
        <v>0</v>
      </c>
      <c r="E33" s="353"/>
      <c r="F33" s="1003"/>
      <c r="G33" s="352">
        <f t="shared" si="2"/>
        <v>0</v>
      </c>
      <c r="H33" s="353"/>
      <c r="I33" s="352" t="str">
        <f t="shared" si="3"/>
        <v/>
      </c>
      <c r="J33" s="352" t="str">
        <f t="shared" si="4"/>
        <v/>
      </c>
      <c r="K33" s="143"/>
      <c r="L33" s="226"/>
    </row>
    <row r="34" spans="1:12">
      <c r="A34" s="352">
        <f>Application!B748</f>
        <v>0</v>
      </c>
      <c r="B34" s="1001">
        <f>Application!G748</f>
        <v>0</v>
      </c>
      <c r="C34" s="1002"/>
      <c r="D34" s="352">
        <f>Application!O748</f>
        <v>0</v>
      </c>
      <c r="E34" s="353"/>
      <c r="F34" s="1003"/>
      <c r="G34" s="352">
        <f t="shared" si="2"/>
        <v>0</v>
      </c>
      <c r="H34" s="353"/>
      <c r="I34" s="352" t="str">
        <f t="shared" si="3"/>
        <v/>
      </c>
      <c r="J34" s="352" t="str">
        <f t="shared" si="4"/>
        <v/>
      </c>
      <c r="K34" s="143"/>
      <c r="L34" s="226"/>
    </row>
    <row r="35" spans="1:12">
      <c r="A35" s="352">
        <f>Application!B749</f>
        <v>0</v>
      </c>
      <c r="B35" s="1001">
        <f>Application!G749</f>
        <v>0</v>
      </c>
      <c r="C35" s="1002"/>
      <c r="D35" s="352">
        <f>Application!O749</f>
        <v>0</v>
      </c>
      <c r="E35" s="353"/>
      <c r="F35" s="1003"/>
      <c r="G35" s="352">
        <f t="shared" si="2"/>
        <v>0</v>
      </c>
      <c r="H35" s="353"/>
      <c r="I35" s="352" t="str">
        <f t="shared" si="3"/>
        <v/>
      </c>
      <c r="J35" s="352" t="str">
        <f t="shared" si="4"/>
        <v/>
      </c>
      <c r="K35" s="143"/>
      <c r="L35" s="226"/>
    </row>
    <row r="36" spans="1:12">
      <c r="A36" s="352">
        <f>Application!B750</f>
        <v>0</v>
      </c>
      <c r="B36" s="1001">
        <f>Application!G750</f>
        <v>0</v>
      </c>
      <c r="C36" s="1002"/>
      <c r="D36" s="352">
        <f>Application!O750</f>
        <v>0</v>
      </c>
      <c r="E36" s="353"/>
      <c r="F36" s="1003"/>
      <c r="G36" s="352">
        <f t="shared" si="2"/>
        <v>0</v>
      </c>
      <c r="H36" s="353"/>
      <c r="I36" s="352" t="str">
        <f t="shared" si="3"/>
        <v/>
      </c>
      <c r="J36" s="352" t="str">
        <f t="shared" si="4"/>
        <v/>
      </c>
      <c r="K36" s="143"/>
      <c r="L36" s="226"/>
    </row>
    <row r="37" spans="1:12">
      <c r="A37" s="352">
        <f>Application!B751</f>
        <v>0</v>
      </c>
      <c r="B37" s="1001">
        <f>Application!G751</f>
        <v>0</v>
      </c>
      <c r="C37" s="1002"/>
      <c r="D37" s="352">
        <f>Application!O751</f>
        <v>0</v>
      </c>
      <c r="E37" s="353"/>
      <c r="F37" s="1003"/>
      <c r="G37" s="352">
        <f t="shared" si="2"/>
        <v>0</v>
      </c>
      <c r="H37" s="353"/>
      <c r="I37" s="352" t="str">
        <f t="shared" si="3"/>
        <v/>
      </c>
      <c r="J37" s="352" t="str">
        <f t="shared" si="4"/>
        <v/>
      </c>
      <c r="K37" s="143"/>
      <c r="L37" s="226"/>
    </row>
    <row r="38" spans="1:12">
      <c r="A38" s="352">
        <f>Application!B752</f>
        <v>0</v>
      </c>
      <c r="B38" s="1001">
        <f>Application!G752</f>
        <v>0</v>
      </c>
      <c r="C38" s="1002"/>
      <c r="D38" s="352">
        <f>Application!O752</f>
        <v>0</v>
      </c>
      <c r="E38" s="353"/>
      <c r="F38" s="1003"/>
      <c r="G38" s="352">
        <f t="shared" si="2"/>
        <v>0</v>
      </c>
      <c r="H38" s="353"/>
      <c r="I38" s="352" t="str">
        <f>IF(F38=0,"",(F38-D38))</f>
        <v/>
      </c>
      <c r="J38" s="352" t="str">
        <f>IF(F38=0,"",(I38*B38))</f>
        <v/>
      </c>
      <c r="K38" s="143"/>
      <c r="L38" s="226"/>
    </row>
    <row r="39" spans="1:12">
      <c r="A39" s="143"/>
      <c r="B39" s="143"/>
      <c r="C39" s="143"/>
      <c r="D39" s="353"/>
      <c r="E39" s="353"/>
      <c r="F39" s="353"/>
      <c r="G39" s="353"/>
      <c r="H39" s="353"/>
      <c r="I39" s="353"/>
      <c r="J39" s="143"/>
      <c r="K39" s="143"/>
      <c r="L39" s="226"/>
    </row>
    <row r="40" spans="1:12">
      <c r="A40" s="354" t="s">
        <v>2724</v>
      </c>
      <c r="B40" s="355"/>
      <c r="C40" s="355"/>
      <c r="D40" s="356">
        <f>Application!O753</f>
        <v>121164</v>
      </c>
      <c r="E40" s="353"/>
      <c r="F40" s="353"/>
      <c r="G40" s="356">
        <f>SUM(G4:G38)*12</f>
        <v>2414712</v>
      </c>
      <c r="H40" s="357"/>
      <c r="I40" s="355"/>
      <c r="J40" s="356">
        <f>SUM(J4:J38)*12</f>
        <v>960744</v>
      </c>
      <c r="K40" s="143"/>
      <c r="L40" s="227"/>
    </row>
    <row r="41" spans="1:12">
      <c r="A41" s="354"/>
      <c r="B41" s="355"/>
      <c r="C41" s="355"/>
      <c r="D41" s="357"/>
      <c r="E41" s="353"/>
      <c r="F41" s="353"/>
      <c r="G41" s="357"/>
      <c r="H41" s="357"/>
      <c r="I41" s="355"/>
      <c r="J41" s="357"/>
      <c r="K41" s="143"/>
      <c r="L41" s="227"/>
    </row>
    <row r="42" spans="1:12">
      <c r="A42" s="358" t="s">
        <v>2725</v>
      </c>
      <c r="B42" s="148"/>
      <c r="C42" s="148"/>
      <c r="D42" s="148"/>
      <c r="E42" s="148"/>
      <c r="F42" s="148"/>
      <c r="G42" s="148"/>
      <c r="H42" s="148"/>
      <c r="I42" s="148"/>
      <c r="J42" s="148"/>
    </row>
    <row r="43" spans="1:12">
      <c r="A43" s="358" t="s">
        <v>2726</v>
      </c>
      <c r="B43" s="148"/>
      <c r="C43" s="148"/>
      <c r="D43" s="148"/>
      <c r="E43" s="148"/>
      <c r="F43" s="148"/>
      <c r="G43" s="148"/>
      <c r="H43" s="148"/>
      <c r="I43" s="148"/>
      <c r="J43" s="148"/>
    </row>
    <row r="44" spans="1:12">
      <c r="A44" s="148" t="s">
        <v>2727</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17"/>
  <sheetViews>
    <sheetView workbookViewId="0">
      <selection activeCell="I52" sqref="I52"/>
    </sheetView>
  </sheetViews>
  <sheetFormatPr defaultColWidth="0" defaultRowHeight="13.2" zeroHeight="1"/>
  <cols>
    <col min="1" max="1" width="3.6640625" customWidth="1"/>
    <col min="2" max="2" width="30.5546875" customWidth="1"/>
    <col min="3" max="3" width="9.3320312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7.399999999999999">
      <c r="A1" s="149" t="s">
        <v>2728</v>
      </c>
      <c r="B1" s="149"/>
    </row>
    <row r="2" spans="1:34"/>
    <row r="3" spans="1:34" ht="15.6">
      <c r="A3" s="150" t="s">
        <v>2729</v>
      </c>
      <c r="B3" s="150"/>
      <c r="C3" s="172" t="s">
        <v>2730</v>
      </c>
      <c r="D3" s="13"/>
      <c r="E3" s="173" t="s">
        <v>2731</v>
      </c>
      <c r="F3" s="142"/>
      <c r="G3" s="173" t="s">
        <v>2732</v>
      </c>
      <c r="H3" s="142"/>
      <c r="I3" s="173" t="s">
        <v>2733</v>
      </c>
      <c r="J3" s="142"/>
      <c r="K3" s="173" t="s">
        <v>2734</v>
      </c>
      <c r="L3" s="142"/>
      <c r="M3" s="173" t="s">
        <v>2735</v>
      </c>
      <c r="N3" s="142"/>
      <c r="O3" s="173" t="s">
        <v>2736</v>
      </c>
      <c r="P3" s="142"/>
      <c r="Q3" s="173" t="s">
        <v>2737</v>
      </c>
      <c r="R3" s="142"/>
      <c r="S3" s="173" t="s">
        <v>2738</v>
      </c>
      <c r="T3" s="142"/>
      <c r="U3" s="173" t="s">
        <v>2739</v>
      </c>
      <c r="V3" s="142"/>
      <c r="W3" s="173" t="s">
        <v>2740</v>
      </c>
      <c r="X3" s="142"/>
      <c r="Y3" s="173" t="s">
        <v>2741</v>
      </c>
      <c r="Z3" s="142"/>
      <c r="AA3" s="173" t="s">
        <v>2742</v>
      </c>
      <c r="AB3" s="142"/>
      <c r="AC3" s="173" t="s">
        <v>2743</v>
      </c>
      <c r="AD3" s="142"/>
      <c r="AE3" s="173" t="s">
        <v>2744</v>
      </c>
      <c r="AF3" s="142"/>
      <c r="AG3" s="173" t="s">
        <v>2745</v>
      </c>
      <c r="AH3" s="13"/>
    </row>
    <row r="4" spans="1:34" s="157" customFormat="1" ht="13.8">
      <c r="A4" s="157" t="s">
        <v>2746</v>
      </c>
      <c r="C4" s="1215">
        <v>1.02</v>
      </c>
      <c r="E4" s="157">
        <f>Application!Y801</f>
        <v>1453968</v>
      </c>
      <c r="G4" s="157">
        <f>E4*$C$4</f>
        <v>1483047.36</v>
      </c>
      <c r="I4" s="157">
        <f>G4*$C$4</f>
        <v>1512708.3072000002</v>
      </c>
      <c r="K4" s="157">
        <f>I4*$C$4</f>
        <v>1542962.4733440003</v>
      </c>
      <c r="M4" s="157">
        <f>K4*$C$4</f>
        <v>1573821.7228108803</v>
      </c>
      <c r="O4" s="157">
        <f>M4*$C$4</f>
        <v>1605298.1572670978</v>
      </c>
      <c r="Q4" s="157">
        <f>O4*$C$4</f>
        <v>1637404.1204124398</v>
      </c>
      <c r="S4" s="157">
        <f>Q4*$C$4</f>
        <v>1670152.2028206887</v>
      </c>
      <c r="U4" s="157">
        <f>S4*$C$4</f>
        <v>1703555.2468771024</v>
      </c>
      <c r="W4" s="157">
        <f>U4*$C$4</f>
        <v>1737626.3518146444</v>
      </c>
      <c r="Y4" s="157">
        <f>W4*$C$4</f>
        <v>1772378.8788509374</v>
      </c>
      <c r="AA4" s="157">
        <f>Y4*$C$4</f>
        <v>1807826.4564279562</v>
      </c>
      <c r="AC4" s="157">
        <f>AA4*$C$4</f>
        <v>1843982.9855565154</v>
      </c>
      <c r="AE4" s="157">
        <f>AC4*$C$4</f>
        <v>1880862.6452676458</v>
      </c>
      <c r="AG4" s="157">
        <f>AE4*$C$4</f>
        <v>1918479.8981729988</v>
      </c>
    </row>
    <row r="5" spans="1:34" s="148" customFormat="1" ht="13.8">
      <c r="B5" s="148" t="s">
        <v>2093</v>
      </c>
      <c r="C5" s="1216">
        <f>IF(Application!$D$211="Special Needs",0.1,0.05)</f>
        <v>0.1</v>
      </c>
      <c r="E5" s="159">
        <f>-E4*$C$5</f>
        <v>-145396.80000000002</v>
      </c>
      <c r="F5" s="159"/>
      <c r="G5" s="159">
        <f>-G4*$C$5</f>
        <v>-148304.736</v>
      </c>
      <c r="H5" s="159"/>
      <c r="I5" s="159">
        <f>-I4*$C$5</f>
        <v>-151270.83072000003</v>
      </c>
      <c r="J5" s="159"/>
      <c r="K5" s="159">
        <f>-K4*$C$5</f>
        <v>-154296.24733440005</v>
      </c>
      <c r="L5" s="159"/>
      <c r="M5" s="159">
        <f>-M4*$C$5</f>
        <v>-157382.17228108805</v>
      </c>
      <c r="N5" s="159"/>
      <c r="O5" s="159">
        <f>-O4*$C$5</f>
        <v>-160529.81572670978</v>
      </c>
      <c r="P5" s="159"/>
      <c r="Q5" s="159">
        <f>-Q4*$C$5</f>
        <v>-163740.41204124398</v>
      </c>
      <c r="R5" s="159"/>
      <c r="S5" s="159">
        <f>-S4*$C$5</f>
        <v>-167015.22028206888</v>
      </c>
      <c r="T5" s="159"/>
      <c r="U5" s="159">
        <f>-U4*$C$5</f>
        <v>-170355.52468771025</v>
      </c>
      <c r="V5" s="159"/>
      <c r="W5" s="159">
        <f>-W4*$C$5</f>
        <v>-173762.63518146446</v>
      </c>
      <c r="X5" s="159"/>
      <c r="Y5" s="159">
        <f>-Y4*$C$5</f>
        <v>-177237.88788509375</v>
      </c>
      <c r="Z5" s="159"/>
      <c r="AA5" s="159">
        <f>-AA4*$C$5</f>
        <v>-180782.64564279563</v>
      </c>
      <c r="AB5" s="159"/>
      <c r="AC5" s="159">
        <f>-AC4*$C$5</f>
        <v>-184398.29855565156</v>
      </c>
      <c r="AD5" s="159"/>
      <c r="AE5" s="159">
        <f>-AE4*$C$5</f>
        <v>-188086.2645267646</v>
      </c>
      <c r="AF5" s="159"/>
      <c r="AG5" s="159">
        <f>-AG4*$C$5</f>
        <v>-191847.98981729988</v>
      </c>
    </row>
    <row r="6" spans="1:34" s="148" customFormat="1" ht="13.8">
      <c r="A6" s="148" t="s">
        <v>2747</v>
      </c>
      <c r="C6" s="1215">
        <v>1.02</v>
      </c>
      <c r="E6" s="160">
        <f>Application!Z809</f>
        <v>960744</v>
      </c>
      <c r="F6" s="160"/>
      <c r="G6" s="160">
        <f>E6*$C$6</f>
        <v>979958.88</v>
      </c>
      <c r="H6" s="160"/>
      <c r="I6" s="160">
        <f>G6*$C$6</f>
        <v>999558.05760000006</v>
      </c>
      <c r="J6" s="160"/>
      <c r="K6" s="160">
        <f>I6*$C$6</f>
        <v>1019549.2187520001</v>
      </c>
      <c r="L6" s="160"/>
      <c r="M6" s="160">
        <f>K6*$C$6</f>
        <v>1039940.2031270402</v>
      </c>
      <c r="N6" s="160"/>
      <c r="O6" s="160">
        <f>M6*$C$6</f>
        <v>1060739.0071895809</v>
      </c>
      <c r="P6" s="160"/>
      <c r="Q6" s="160">
        <f>O6*$C$6</f>
        <v>1081953.7873333725</v>
      </c>
      <c r="R6" s="160"/>
      <c r="S6" s="160">
        <f>Q6*$C$6</f>
        <v>1103592.8630800401</v>
      </c>
      <c r="T6" s="160"/>
      <c r="U6" s="160">
        <f>S6*$C$6</f>
        <v>1125664.720341641</v>
      </c>
      <c r="V6" s="160"/>
      <c r="W6" s="160">
        <f>U6*$C$6</f>
        <v>1148178.0147484739</v>
      </c>
      <c r="X6" s="160"/>
      <c r="Y6" s="160">
        <f>W6*$C$6</f>
        <v>1171141.5750434434</v>
      </c>
      <c r="Z6" s="160"/>
      <c r="AA6" s="160">
        <f>Y6*$C$6</f>
        <v>1194564.4065443121</v>
      </c>
      <c r="AB6" s="160"/>
      <c r="AC6" s="160">
        <f>AA6*$C$6</f>
        <v>1218455.6946751983</v>
      </c>
      <c r="AD6" s="160"/>
      <c r="AE6" s="160">
        <f>AC6*$C$6</f>
        <v>1242824.8085687023</v>
      </c>
      <c r="AF6" s="160"/>
      <c r="AG6" s="160">
        <f>AE6*$C$6</f>
        <v>1267681.3047400764</v>
      </c>
    </row>
    <row r="7" spans="1:34" s="148" customFormat="1" ht="13.8">
      <c r="B7" s="148" t="s">
        <v>2093</v>
      </c>
      <c r="C7" s="1216">
        <v>0.05</v>
      </c>
      <c r="E7" s="159">
        <f>-E6*$C$7</f>
        <v>-48037.200000000004</v>
      </c>
      <c r="F7" s="159"/>
      <c r="G7" s="159">
        <f>-G6*$C$7</f>
        <v>-48997.944000000003</v>
      </c>
      <c r="H7" s="159"/>
      <c r="I7" s="159">
        <f>-I6*$C$7</f>
        <v>-49977.902880000009</v>
      </c>
      <c r="J7" s="159"/>
      <c r="K7" s="159">
        <f>-K6*$C$7</f>
        <v>-50977.460937600008</v>
      </c>
      <c r="L7" s="159"/>
      <c r="M7" s="159">
        <f>-M6*$C$7</f>
        <v>-51997.010156352015</v>
      </c>
      <c r="N7" s="159"/>
      <c r="O7" s="159">
        <f>-O6*$C$7</f>
        <v>-53036.950359479051</v>
      </c>
      <c r="P7" s="159"/>
      <c r="Q7" s="159">
        <f>-Q6*$C$7</f>
        <v>-54097.68936666863</v>
      </c>
      <c r="R7" s="159"/>
      <c r="S7" s="159">
        <f>-S6*$C$7</f>
        <v>-55179.643154002006</v>
      </c>
      <c r="T7" s="159"/>
      <c r="U7" s="159">
        <f>-U6*$C$7</f>
        <v>-56283.236017082054</v>
      </c>
      <c r="V7" s="159"/>
      <c r="W7" s="159">
        <f>-W6*$C$7</f>
        <v>-57408.900737423697</v>
      </c>
      <c r="X7" s="159"/>
      <c r="Y7" s="159">
        <f>-Y6*$C$7</f>
        <v>-58557.078752172172</v>
      </c>
      <c r="Z7" s="159"/>
      <c r="AA7" s="159">
        <f>-AA6*$C$7</f>
        <v>-59728.220327215611</v>
      </c>
      <c r="AB7" s="159"/>
      <c r="AC7" s="159">
        <f>-AC6*$C$7</f>
        <v>-60922.784733759916</v>
      </c>
      <c r="AD7" s="159"/>
      <c r="AE7" s="159">
        <f>-AE6*$C$7</f>
        <v>-62141.240428435121</v>
      </c>
      <c r="AF7" s="159"/>
      <c r="AG7" s="159">
        <f>-AG6*$C$7</f>
        <v>-63384.065237003822</v>
      </c>
    </row>
    <row r="8" spans="1:34" s="148" customFormat="1" ht="13.8">
      <c r="A8" s="148" t="s">
        <v>214</v>
      </c>
      <c r="C8" s="1215">
        <v>1.0249999999999999</v>
      </c>
      <c r="E8" s="160">
        <f>Application!Z817</f>
        <v>8484</v>
      </c>
      <c r="F8" s="160"/>
      <c r="G8" s="160">
        <f>E8*$C$8</f>
        <v>8696.0999999999985</v>
      </c>
      <c r="H8" s="160"/>
      <c r="I8" s="160">
        <f>G8*$C$8</f>
        <v>8913.5024999999969</v>
      </c>
      <c r="J8" s="160"/>
      <c r="K8" s="160">
        <f>I8*$C$8</f>
        <v>9136.3400624999958</v>
      </c>
      <c r="L8" s="160"/>
      <c r="M8" s="160">
        <f>K8*$C$8</f>
        <v>9364.7485640624946</v>
      </c>
      <c r="N8" s="160"/>
      <c r="O8" s="160">
        <f>M8*$C$8</f>
        <v>9598.8672781640562</v>
      </c>
      <c r="P8" s="160"/>
      <c r="Q8" s="160">
        <f>O8*$C$8</f>
        <v>9838.838960118157</v>
      </c>
      <c r="R8" s="160"/>
      <c r="S8" s="160">
        <f>Q8*$C$8</f>
        <v>10084.809934121111</v>
      </c>
      <c r="T8" s="160"/>
      <c r="U8" s="160">
        <f>S8*$C$8</f>
        <v>10336.930182474138</v>
      </c>
      <c r="V8" s="160"/>
      <c r="W8" s="160">
        <f>U8*$C$8</f>
        <v>10595.35343703599</v>
      </c>
      <c r="X8" s="160"/>
      <c r="Y8" s="160">
        <f>W8*$C$8</f>
        <v>10860.237272961889</v>
      </c>
      <c r="Z8" s="160"/>
      <c r="AA8" s="160">
        <f>Y8*$C$8</f>
        <v>11131.743204785935</v>
      </c>
      <c r="AB8" s="160"/>
      <c r="AC8" s="160">
        <f>AA8*$C$8</f>
        <v>11410.036784905582</v>
      </c>
      <c r="AD8" s="160"/>
      <c r="AE8" s="160">
        <f>AC8*$C$8</f>
        <v>11695.28770452822</v>
      </c>
      <c r="AF8" s="160"/>
      <c r="AG8" s="160">
        <f>AE8*$C$8</f>
        <v>11987.669897141424</v>
      </c>
    </row>
    <row r="9" spans="1:34" s="148" customFormat="1" ht="13.8">
      <c r="B9" s="148" t="s">
        <v>2093</v>
      </c>
      <c r="C9" s="1216">
        <v>0.05</v>
      </c>
      <c r="E9" s="159">
        <f>-E8*$C$9</f>
        <v>-424.20000000000005</v>
      </c>
      <c r="F9" s="159"/>
      <c r="G9" s="159">
        <f>-G8*$C$9</f>
        <v>-434.80499999999995</v>
      </c>
      <c r="H9" s="159"/>
      <c r="I9" s="159">
        <f>-I8*$C$9</f>
        <v>-445.67512499999987</v>
      </c>
      <c r="J9" s="159"/>
      <c r="K9" s="159">
        <f>-K8*$C$9</f>
        <v>-456.81700312499981</v>
      </c>
      <c r="L9" s="159"/>
      <c r="M9" s="159">
        <f>-M8*$C$9</f>
        <v>-468.23742820312475</v>
      </c>
      <c r="N9" s="159"/>
      <c r="O9" s="159">
        <f>-O8*$C$9</f>
        <v>-479.94336390820285</v>
      </c>
      <c r="P9" s="159"/>
      <c r="Q9" s="159">
        <f>-Q8*$C$9</f>
        <v>-491.94194800590788</v>
      </c>
      <c r="R9" s="159"/>
      <c r="S9" s="159">
        <f>-S8*$C$9</f>
        <v>-504.24049670605558</v>
      </c>
      <c r="T9" s="159"/>
      <c r="U9" s="159">
        <f>-U8*$C$9</f>
        <v>-516.84650912370694</v>
      </c>
      <c r="V9" s="159"/>
      <c r="W9" s="159">
        <f>-W8*$C$9</f>
        <v>-529.76767185179949</v>
      </c>
      <c r="X9" s="159"/>
      <c r="Y9" s="159">
        <f>-Y8*$C$9</f>
        <v>-543.0118636480945</v>
      </c>
      <c r="Z9" s="159"/>
      <c r="AA9" s="159">
        <f>-AA8*$C$9</f>
        <v>-556.58716023929674</v>
      </c>
      <c r="AB9" s="159"/>
      <c r="AC9" s="159">
        <f>-AC8*$C$9</f>
        <v>-570.50183924527914</v>
      </c>
      <c r="AD9" s="159"/>
      <c r="AE9" s="159">
        <f>-AE8*$C$9</f>
        <v>-584.76438522641104</v>
      </c>
      <c r="AF9" s="159"/>
      <c r="AG9" s="159">
        <f>-AG8*$C$9</f>
        <v>-599.38349485707124</v>
      </c>
    </row>
    <row r="10" spans="1:34" s="148" customFormat="1" ht="13.8">
      <c r="A10" s="1066" t="s">
        <v>2748</v>
      </c>
      <c r="B10" s="1066"/>
      <c r="C10" s="1216"/>
      <c r="E10" s="1067"/>
      <c r="F10" s="160"/>
      <c r="G10" s="1067"/>
      <c r="H10" s="160"/>
      <c r="I10" s="1067"/>
      <c r="J10" s="160"/>
      <c r="K10" s="1067"/>
      <c r="L10" s="160"/>
      <c r="M10" s="1067"/>
      <c r="N10" s="160"/>
      <c r="O10" s="1067"/>
      <c r="P10" s="160"/>
      <c r="Q10" s="1067"/>
      <c r="R10" s="160"/>
      <c r="S10" s="1067"/>
      <c r="T10" s="160"/>
      <c r="U10" s="1067"/>
      <c r="V10" s="160"/>
      <c r="W10" s="1067"/>
      <c r="X10" s="160"/>
      <c r="Y10" s="1067"/>
      <c r="Z10" s="160"/>
      <c r="AA10" s="1067"/>
      <c r="AB10" s="160"/>
      <c r="AC10" s="1067"/>
      <c r="AD10" s="160"/>
      <c r="AE10" s="1067"/>
      <c r="AF10" s="160"/>
      <c r="AG10" s="1067"/>
    </row>
    <row r="11" spans="1:34" s="161" customFormat="1" ht="13.8">
      <c r="A11" s="161" t="s">
        <v>2749</v>
      </c>
      <c r="C11" s="153"/>
      <c r="E11" s="161">
        <f>SUM(E4:E10)</f>
        <v>2229337.7999999998</v>
      </c>
      <c r="G11" s="161">
        <f>SUM(G4:G10)</f>
        <v>2273964.855</v>
      </c>
      <c r="I11" s="161">
        <f>SUM(I4:I10)</f>
        <v>2319485.4585750001</v>
      </c>
      <c r="K11" s="161">
        <f>SUM(K4:K10)</f>
        <v>2365917.5068833753</v>
      </c>
      <c r="M11" s="161">
        <f>SUM(M4:M10)</f>
        <v>2413279.2546363398</v>
      </c>
      <c r="O11" s="161">
        <f>SUM(O4:O10)</f>
        <v>2461589.322284746</v>
      </c>
      <c r="Q11" s="161">
        <f>SUM(Q4:Q10)</f>
        <v>2510866.7033500122</v>
      </c>
      <c r="S11" s="161">
        <f>SUM(S4:S10)</f>
        <v>2561130.7719020727</v>
      </c>
      <c r="U11" s="161">
        <f>SUM(U4:U10)</f>
        <v>2612401.290187302</v>
      </c>
      <c r="W11" s="161">
        <f>SUM(W4:W10)</f>
        <v>2664698.4164094138</v>
      </c>
      <c r="Y11" s="161">
        <f>SUM(Y4:Y10)</f>
        <v>2718042.7126664286</v>
      </c>
      <c r="AA11" s="161">
        <f>SUM(AA4:AA10)</f>
        <v>2772455.1530468035</v>
      </c>
      <c r="AC11" s="161">
        <f>SUM(AC4:AC10)</f>
        <v>2827957.1318879626</v>
      </c>
      <c r="AE11" s="161">
        <f>SUM(AE4:AE10)</f>
        <v>2884570.4722004505</v>
      </c>
      <c r="AG11" s="161">
        <f>SUM(AG4:AG10)</f>
        <v>2942317.4342610557</v>
      </c>
    </row>
    <row r="12" spans="1:34">
      <c r="C12" s="880"/>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2750</v>
      </c>
      <c r="C13" s="880"/>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3.8">
      <c r="A14" s="148" t="s">
        <v>2751</v>
      </c>
      <c r="C14" s="1215">
        <v>1.03</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3.8">
      <c r="A15" s="157" t="s">
        <v>2752</v>
      </c>
      <c r="C15" s="888"/>
      <c r="E15" s="157">
        <f>Application!W847</f>
        <v>68900</v>
      </c>
      <c r="G15" s="157">
        <f>E15*$C$14</f>
        <v>70967</v>
      </c>
      <c r="I15" s="157">
        <f>G15*$C$14</f>
        <v>73096.009999999995</v>
      </c>
      <c r="K15" s="157">
        <f>I15*$C$14</f>
        <v>75288.890299999999</v>
      </c>
      <c r="M15" s="157">
        <f>K15*$C$14</f>
        <v>77547.557008999996</v>
      </c>
      <c r="O15" s="157">
        <f>M15*$C$14</f>
        <v>79873.983719269992</v>
      </c>
      <c r="Q15" s="157">
        <f>O15*$C$14</f>
        <v>82270.203230848099</v>
      </c>
      <c r="S15" s="157">
        <f>Q15*$C$14</f>
        <v>84738.309327773546</v>
      </c>
      <c r="U15" s="157">
        <f>S15*$C$14</f>
        <v>87280.45860760675</v>
      </c>
      <c r="W15" s="157">
        <f>U15*$C$14</f>
        <v>89898.872365834948</v>
      </c>
      <c r="Y15" s="157">
        <f>W15*$C$14</f>
        <v>92595.838536809999</v>
      </c>
      <c r="AA15" s="157">
        <f>Y15*$C$14</f>
        <v>95373.713692914302</v>
      </c>
      <c r="AC15" s="157">
        <f>AA15*$C$14</f>
        <v>98234.925103701738</v>
      </c>
      <c r="AE15" s="157">
        <f>AC15*$C$14</f>
        <v>101181.97285681279</v>
      </c>
      <c r="AG15" s="157">
        <f>AE15*$C$14</f>
        <v>104217.43204251718</v>
      </c>
    </row>
    <row r="16" spans="1:34" s="148" customFormat="1" ht="13.8">
      <c r="A16" s="148" t="s">
        <v>1628</v>
      </c>
      <c r="C16" s="880"/>
      <c r="E16" s="160">
        <f>Application!W849</f>
        <v>111467</v>
      </c>
      <c r="F16" s="160"/>
      <c r="G16" s="160">
        <f t="shared" ref="G16:AG21" si="0">E16*$C$14</f>
        <v>114811.01000000001</v>
      </c>
      <c r="H16" s="160"/>
      <c r="I16" s="160">
        <f t="shared" si="0"/>
        <v>118255.34030000001</v>
      </c>
      <c r="J16" s="160"/>
      <c r="K16" s="160">
        <f t="shared" si="0"/>
        <v>121803.00050900002</v>
      </c>
      <c r="L16" s="160"/>
      <c r="M16" s="160">
        <f t="shared" si="0"/>
        <v>125457.09052427002</v>
      </c>
      <c r="N16" s="160"/>
      <c r="O16" s="160">
        <f t="shared" si="0"/>
        <v>129220.80323999813</v>
      </c>
      <c r="P16" s="160"/>
      <c r="Q16" s="160">
        <f t="shared" si="0"/>
        <v>133097.42733719808</v>
      </c>
      <c r="R16" s="160"/>
      <c r="S16" s="160">
        <f t="shared" si="0"/>
        <v>137090.35015731404</v>
      </c>
      <c r="T16" s="160"/>
      <c r="U16" s="160">
        <f t="shared" si="0"/>
        <v>141203.06066203347</v>
      </c>
      <c r="V16" s="160"/>
      <c r="W16" s="160">
        <f t="shared" si="0"/>
        <v>145439.15248189447</v>
      </c>
      <c r="X16" s="160"/>
      <c r="Y16" s="160">
        <f t="shared" si="0"/>
        <v>149802.32705635132</v>
      </c>
      <c r="Z16" s="160"/>
      <c r="AA16" s="160">
        <f t="shared" si="0"/>
        <v>154296.39686804186</v>
      </c>
      <c r="AB16" s="160"/>
      <c r="AC16" s="160">
        <f t="shared" si="0"/>
        <v>158925.28877408314</v>
      </c>
      <c r="AD16" s="160"/>
      <c r="AE16" s="160">
        <f t="shared" si="0"/>
        <v>163693.04743730562</v>
      </c>
      <c r="AF16" s="160"/>
      <c r="AG16" s="160">
        <f t="shared" si="0"/>
        <v>168603.83886042479</v>
      </c>
    </row>
    <row r="17" spans="1:1023 1025:2047 2049:3071 3073:4095 4097:5119 5121:6143 6145:7167 7169:8191 8193:9215 9217:10239 10241:11263 11265:12287 12289:13311 13313:14335 14337:15359 15361:16383" s="148" customFormat="1" ht="13.8">
      <c r="A17" s="148" t="s">
        <v>229</v>
      </c>
      <c r="C17" s="880"/>
      <c r="E17" s="160">
        <f>Application!W855</f>
        <v>117000</v>
      </c>
      <c r="F17" s="160"/>
      <c r="G17" s="160">
        <f t="shared" si="0"/>
        <v>120510</v>
      </c>
      <c r="H17" s="160"/>
      <c r="I17" s="160">
        <f t="shared" si="0"/>
        <v>124125.3</v>
      </c>
      <c r="J17" s="160"/>
      <c r="K17" s="160">
        <f t="shared" si="0"/>
        <v>127849.05900000001</v>
      </c>
      <c r="L17" s="160"/>
      <c r="M17" s="160">
        <f t="shared" si="0"/>
        <v>131684.53077000001</v>
      </c>
      <c r="N17" s="160"/>
      <c r="O17" s="160">
        <f t="shared" si="0"/>
        <v>135635.06669310003</v>
      </c>
      <c r="P17" s="160"/>
      <c r="Q17" s="160">
        <f t="shared" si="0"/>
        <v>139704.11869389305</v>
      </c>
      <c r="R17" s="160"/>
      <c r="S17" s="160">
        <f t="shared" si="0"/>
        <v>143895.24225470985</v>
      </c>
      <c r="T17" s="160"/>
      <c r="U17" s="160">
        <f t="shared" si="0"/>
        <v>148212.09952235114</v>
      </c>
      <c r="V17" s="160"/>
      <c r="W17" s="160">
        <f t="shared" si="0"/>
        <v>152658.46250802168</v>
      </c>
      <c r="X17" s="160"/>
      <c r="Y17" s="160">
        <f t="shared" si="0"/>
        <v>157238.21638326233</v>
      </c>
      <c r="Z17" s="160"/>
      <c r="AA17" s="160">
        <f t="shared" si="0"/>
        <v>161955.36287476021</v>
      </c>
      <c r="AB17" s="160"/>
      <c r="AC17" s="160">
        <f t="shared" si="0"/>
        <v>166814.02376100302</v>
      </c>
      <c r="AD17" s="160"/>
      <c r="AE17" s="160">
        <f t="shared" si="0"/>
        <v>171818.44447383311</v>
      </c>
      <c r="AF17" s="160"/>
      <c r="AG17" s="160">
        <f t="shared" si="0"/>
        <v>176972.99780804809</v>
      </c>
    </row>
    <row r="18" spans="1:1023 1025:2047 2049:3071 3073:4095 4097:5119 5121:6143 6145:7167 7169:8191 8193:9215 9217:10239 10241:11263 11265:12287 12289:13311 13313:14335 14337:15359 15361:16383" s="148" customFormat="1" ht="13.8">
      <c r="A18" s="148" t="s">
        <v>2753</v>
      </c>
      <c r="C18" s="880"/>
      <c r="E18" s="160">
        <f>Application!W862</f>
        <v>221900</v>
      </c>
      <c r="F18" s="160"/>
      <c r="G18" s="160">
        <f t="shared" si="0"/>
        <v>228557</v>
      </c>
      <c r="H18" s="160"/>
      <c r="I18" s="160">
        <f t="shared" si="0"/>
        <v>235413.71</v>
      </c>
      <c r="J18" s="160"/>
      <c r="K18" s="160">
        <f t="shared" si="0"/>
        <v>242476.1213</v>
      </c>
      <c r="L18" s="160"/>
      <c r="M18" s="160">
        <f t="shared" si="0"/>
        <v>249750.404939</v>
      </c>
      <c r="N18" s="160"/>
      <c r="O18" s="160">
        <f t="shared" si="0"/>
        <v>257242.91708717</v>
      </c>
      <c r="P18" s="160"/>
      <c r="Q18" s="160">
        <f t="shared" si="0"/>
        <v>264960.20459978509</v>
      </c>
      <c r="R18" s="160"/>
      <c r="S18" s="160">
        <f t="shared" si="0"/>
        <v>272909.01073777868</v>
      </c>
      <c r="T18" s="160"/>
      <c r="U18" s="160">
        <f t="shared" si="0"/>
        <v>281096.28105991206</v>
      </c>
      <c r="V18" s="160"/>
      <c r="W18" s="160">
        <f t="shared" si="0"/>
        <v>289529.16949170944</v>
      </c>
      <c r="X18" s="160"/>
      <c r="Y18" s="160">
        <f t="shared" si="0"/>
        <v>298215.04457646073</v>
      </c>
      <c r="Z18" s="160"/>
      <c r="AA18" s="160">
        <f t="shared" si="0"/>
        <v>307161.49591375457</v>
      </c>
      <c r="AB18" s="160"/>
      <c r="AC18" s="160">
        <f t="shared" si="0"/>
        <v>316376.34079116723</v>
      </c>
      <c r="AD18" s="160"/>
      <c r="AE18" s="160">
        <f t="shared" si="0"/>
        <v>325867.63101490226</v>
      </c>
      <c r="AF18" s="160"/>
      <c r="AG18" s="160">
        <f t="shared" si="0"/>
        <v>335643.65994534933</v>
      </c>
    </row>
    <row r="19" spans="1:1023 1025:2047 2049:3071 3073:4095 4097:5119 5121:6143 6145:7167 7169:8191 8193:9215 9217:10239 10241:11263 11265:12287 12289:13311 13313:14335 14337:15359 15361:16383" s="148" customFormat="1" ht="13.8">
      <c r="A19" s="148" t="s">
        <v>1855</v>
      </c>
      <c r="C19" s="880"/>
      <c r="E19" s="160">
        <f>Application!W863</f>
        <v>133400</v>
      </c>
      <c r="F19" s="160"/>
      <c r="G19" s="160">
        <f t="shared" si="0"/>
        <v>137402</v>
      </c>
      <c r="H19" s="160"/>
      <c r="I19" s="160">
        <f t="shared" si="0"/>
        <v>141524.06</v>
      </c>
      <c r="J19" s="160"/>
      <c r="K19" s="160">
        <f t="shared" si="0"/>
        <v>145769.7818</v>
      </c>
      <c r="L19" s="160"/>
      <c r="M19" s="160">
        <f t="shared" si="0"/>
        <v>150142.87525400001</v>
      </c>
      <c r="N19" s="160"/>
      <c r="O19" s="160">
        <f t="shared" si="0"/>
        <v>154647.16151162001</v>
      </c>
      <c r="P19" s="160"/>
      <c r="Q19" s="160">
        <f t="shared" si="0"/>
        <v>159286.57635696861</v>
      </c>
      <c r="R19" s="160"/>
      <c r="S19" s="160">
        <f t="shared" si="0"/>
        <v>164065.17364767767</v>
      </c>
      <c r="T19" s="160"/>
      <c r="U19" s="160">
        <f t="shared" si="0"/>
        <v>168987.12885710801</v>
      </c>
      <c r="V19" s="160"/>
      <c r="W19" s="160">
        <f t="shared" si="0"/>
        <v>174056.74272282125</v>
      </c>
      <c r="X19" s="160"/>
      <c r="Y19" s="160">
        <f t="shared" si="0"/>
        <v>179278.44500450589</v>
      </c>
      <c r="Z19" s="160"/>
      <c r="AA19" s="160">
        <f t="shared" si="0"/>
        <v>184656.79835464107</v>
      </c>
      <c r="AB19" s="160"/>
      <c r="AC19" s="160">
        <f t="shared" si="0"/>
        <v>190196.5023052803</v>
      </c>
      <c r="AD19" s="160"/>
      <c r="AE19" s="160">
        <f t="shared" si="0"/>
        <v>195902.3973744387</v>
      </c>
      <c r="AF19" s="160"/>
      <c r="AG19" s="160">
        <f t="shared" si="0"/>
        <v>201779.46929567188</v>
      </c>
    </row>
    <row r="20" spans="1:1023 1025:2047 2049:3071 3073:4095 4097:5119 5121:6143 6145:7167 7169:8191 8193:9215 9217:10239 10241:11263 11265:12287 12289:13311 13313:14335 14337:15359 15361:16383" s="148" customFormat="1" ht="13.8">
      <c r="A20" s="148" t="s">
        <v>231</v>
      </c>
      <c r="C20" s="880"/>
      <c r="E20" s="160">
        <f>Application!W872</f>
        <v>125300</v>
      </c>
      <c r="F20" s="160"/>
      <c r="G20" s="160">
        <f t="shared" si="0"/>
        <v>129059</v>
      </c>
      <c r="H20" s="160"/>
      <c r="I20" s="160">
        <f t="shared" si="0"/>
        <v>132930.76999999999</v>
      </c>
      <c r="J20" s="160"/>
      <c r="K20" s="160">
        <f t="shared" si="0"/>
        <v>136918.6931</v>
      </c>
      <c r="L20" s="160"/>
      <c r="M20" s="160">
        <f t="shared" si="0"/>
        <v>141026.25389300002</v>
      </c>
      <c r="N20" s="160"/>
      <c r="O20" s="160">
        <f t="shared" si="0"/>
        <v>145257.04150979003</v>
      </c>
      <c r="P20" s="160"/>
      <c r="Q20" s="160">
        <f t="shared" si="0"/>
        <v>149614.75275508373</v>
      </c>
      <c r="R20" s="160"/>
      <c r="S20" s="160">
        <f t="shared" si="0"/>
        <v>154103.19533773625</v>
      </c>
      <c r="T20" s="160"/>
      <c r="U20" s="160">
        <f t="shared" si="0"/>
        <v>158726.29119786836</v>
      </c>
      <c r="V20" s="160"/>
      <c r="W20" s="160">
        <f t="shared" si="0"/>
        <v>163488.0799338044</v>
      </c>
      <c r="X20" s="160"/>
      <c r="Y20" s="160">
        <f t="shared" si="0"/>
        <v>168392.72233181854</v>
      </c>
      <c r="Z20" s="160"/>
      <c r="AA20" s="160">
        <f t="shared" si="0"/>
        <v>173444.50400177311</v>
      </c>
      <c r="AB20" s="160"/>
      <c r="AC20" s="160">
        <f t="shared" si="0"/>
        <v>178647.83912182631</v>
      </c>
      <c r="AD20" s="160"/>
      <c r="AE20" s="160">
        <f t="shared" si="0"/>
        <v>184007.2742954811</v>
      </c>
      <c r="AF20" s="160"/>
      <c r="AG20" s="160">
        <f t="shared" si="0"/>
        <v>189527.49252434552</v>
      </c>
    </row>
    <row r="21" spans="1:1023 1025:2047 2049:3071 3073:4095 4097:5119 5121:6143 6145:7167 7169:8191 8193:9215 9217:10239 10241:11263 11265:12287 12289:13311 13313:14335 14337:15359 15361:16383" s="148" customFormat="1" ht="13.8">
      <c r="A21" s="164" t="s">
        <v>2754</v>
      </c>
      <c r="B21" s="164"/>
      <c r="C21" s="880"/>
      <c r="E21" s="170">
        <f>Application!W879</f>
        <v>119450</v>
      </c>
      <c r="F21" s="160"/>
      <c r="G21" s="170">
        <f t="shared" si="0"/>
        <v>123033.5</v>
      </c>
      <c r="H21" s="160"/>
      <c r="I21" s="170">
        <f t="shared" si="0"/>
        <v>126724.505</v>
      </c>
      <c r="J21" s="160"/>
      <c r="K21" s="170">
        <f t="shared" si="0"/>
        <v>130526.24015000001</v>
      </c>
      <c r="L21" s="160"/>
      <c r="M21" s="170">
        <f t="shared" si="0"/>
        <v>134442.02735450002</v>
      </c>
      <c r="N21" s="160"/>
      <c r="O21" s="170">
        <f t="shared" si="0"/>
        <v>138475.28817513504</v>
      </c>
      <c r="P21" s="160"/>
      <c r="Q21" s="170">
        <f t="shared" si="0"/>
        <v>142629.54682038908</v>
      </c>
      <c r="R21" s="160"/>
      <c r="S21" s="170">
        <f t="shared" si="0"/>
        <v>146908.43322500074</v>
      </c>
      <c r="T21" s="160"/>
      <c r="U21" s="170">
        <f t="shared" si="0"/>
        <v>151315.68622175077</v>
      </c>
      <c r="V21" s="160"/>
      <c r="W21" s="170">
        <f t="shared" si="0"/>
        <v>155855.15680840329</v>
      </c>
      <c r="X21" s="160"/>
      <c r="Y21" s="170">
        <f t="shared" si="0"/>
        <v>160530.8115126554</v>
      </c>
      <c r="Z21" s="160"/>
      <c r="AA21" s="170">
        <f t="shared" si="0"/>
        <v>165346.73585803507</v>
      </c>
      <c r="AB21" s="160"/>
      <c r="AC21" s="170">
        <f t="shared" si="0"/>
        <v>170307.13793377613</v>
      </c>
      <c r="AD21" s="160"/>
      <c r="AE21" s="170">
        <f t="shared" si="0"/>
        <v>175416.35207178941</v>
      </c>
      <c r="AF21" s="160"/>
      <c r="AG21" s="170">
        <f t="shared" si="0"/>
        <v>180678.8426339431</v>
      </c>
    </row>
    <row r="22" spans="1:1023 1025:2047 2049:3071 3073:4095 4097:5119 5121:6143 6145:7167 7169:8191 8193:9215 9217:10239 10241:11263 11265:12287 12289:13311 13313:14335 14337:15359 15361:16383" s="161" customFormat="1" ht="13.8">
      <c r="A22" s="161" t="s">
        <v>2755</v>
      </c>
      <c r="C22" s="880"/>
      <c r="E22" s="161">
        <f>SUM(E15:E21)</f>
        <v>897417</v>
      </c>
      <c r="G22" s="161">
        <f>SUM(G15:G21)</f>
        <v>924339.51</v>
      </c>
      <c r="I22" s="161">
        <f>SUM(I15:I21)</f>
        <v>952069.6952999999</v>
      </c>
      <c r="K22" s="161">
        <f>SUM(K15:K21)</f>
        <v>980631.78615900001</v>
      </c>
      <c r="M22" s="161">
        <f>SUM(M15:M21)</f>
        <v>1010050.7397437701</v>
      </c>
      <c r="O22" s="161">
        <f>SUM(O15:O21)</f>
        <v>1040352.2619360832</v>
      </c>
      <c r="Q22" s="161">
        <f>SUM(Q15:Q21)</f>
        <v>1071562.8297941657</v>
      </c>
      <c r="S22" s="161">
        <f>SUM(S15:S21)</f>
        <v>1103709.714687991</v>
      </c>
      <c r="U22" s="161">
        <f>SUM(U15:U21)</f>
        <v>1136821.0061286304</v>
      </c>
      <c r="W22" s="161">
        <f>SUM(W15:W21)</f>
        <v>1170925.6363124896</v>
      </c>
      <c r="Y22" s="161">
        <f>SUM(Y15:Y21)</f>
        <v>1206053.4054018643</v>
      </c>
      <c r="AA22" s="161">
        <f>SUM(AA15:AA21)</f>
        <v>1242235.0075639202</v>
      </c>
      <c r="AC22" s="161">
        <f>SUM(AC15:AC21)</f>
        <v>1279502.0577908377</v>
      </c>
      <c r="AE22" s="161">
        <f>SUM(AE15:AE21)</f>
        <v>1317887.119524563</v>
      </c>
      <c r="AG22" s="161">
        <f>SUM(AG15:AG21)</f>
        <v>1357423.7331102998</v>
      </c>
    </row>
    <row r="23" spans="1:1023 1025:2047 2049:3071 3073:4095 4097:5119 5121:6143 6145:7167 7169:8191 8193:9215 9217:10239 10241:11263 11265:12287 12289:13311 13313:14335 14337:15359 15361:16383" s="148" customFormat="1" ht="13.8">
      <c r="C23" s="880"/>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1023 1025:2047 2049:3071 3073:4095 4097:5119 5121:6143 6145:7167 7169:8191 8193:9215 9217:10239 10241:11263 11265:12287 12289:13311 13313:14335 14337:15359 15361:16383" s="148" customFormat="1" ht="13.8">
      <c r="A24" s="148" t="s">
        <v>2756</v>
      </c>
      <c r="C24" s="880"/>
      <c r="E24" s="831"/>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1023 1025:2047 2049:3071 3073:4095 4097:5119 5121:6143 6145:7167 7169:8191 8193:9215 9217:10239 10241:11263 11265:12287 12289:13311 13313:14335 14337:15359 15361:16383" s="148" customFormat="1" ht="13.8">
      <c r="C25" s="880"/>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1023 1025:2047 2049:3071 3073:4095 4097:5119 5121:6143 6145:7167 7169:8191 8193:9215 9217:10239 10241:11263 11265:12287 12289:13311 13313:14335 14337:15359 15361:16383" s="148" customFormat="1" ht="13.8">
      <c r="A26" s="148" t="s">
        <v>2757</v>
      </c>
      <c r="C26" s="1215">
        <v>1.03</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1023 1025:2047 2049:3071 3073:4095 4097:5119 5121:6143 6145:7167 7169:8191 8193:9215 9217:10239 10241:11263 11265:12287 12289:13311 13313:14335 14337:15359 15361:16383" s="148" customFormat="1" ht="13.8">
      <c r="A27" s="148" t="s">
        <v>2144</v>
      </c>
      <c r="C27" s="1215">
        <v>1.03</v>
      </c>
      <c r="E27" s="160">
        <f>Application!AC888</f>
        <v>26000</v>
      </c>
      <c r="F27" s="160"/>
      <c r="G27" s="160">
        <f>E27*$C$27</f>
        <v>26780</v>
      </c>
      <c r="H27" s="160"/>
      <c r="I27" s="160">
        <f>G27*$C$27</f>
        <v>27583.4</v>
      </c>
      <c r="J27" s="160"/>
      <c r="K27" s="160">
        <f>I27*$C$27</f>
        <v>28410.902000000002</v>
      </c>
      <c r="L27" s="160"/>
      <c r="M27" s="160">
        <f>K27*$C$27</f>
        <v>29263.229060000001</v>
      </c>
      <c r="N27" s="160"/>
      <c r="O27" s="160">
        <f>M27*$C$27</f>
        <v>30141.125931800001</v>
      </c>
      <c r="P27" s="160"/>
      <c r="Q27" s="160">
        <f>O27*$C$27</f>
        <v>31045.359709754001</v>
      </c>
      <c r="R27" s="160"/>
      <c r="S27" s="160">
        <f>Q27*$C$27</f>
        <v>31976.72050104662</v>
      </c>
      <c r="T27" s="160"/>
      <c r="U27" s="160">
        <f>S27*$C$27</f>
        <v>32936.02211607802</v>
      </c>
      <c r="V27" s="160"/>
      <c r="W27" s="160">
        <f>U27*$C$27</f>
        <v>33924.102779560359</v>
      </c>
      <c r="X27" s="160"/>
      <c r="Y27" s="160">
        <f>W27*$C$27</f>
        <v>34941.825862947167</v>
      </c>
      <c r="Z27" s="160"/>
      <c r="AA27" s="160">
        <f>Y27*$C$27</f>
        <v>35990.080638835585</v>
      </c>
      <c r="AB27" s="160"/>
      <c r="AC27" s="160">
        <f>AA27*$C$27</f>
        <v>37069.783058000656</v>
      </c>
      <c r="AD27" s="160"/>
      <c r="AE27" s="160">
        <f>AC27*$C$27</f>
        <v>38181.876549740678</v>
      </c>
      <c r="AF27" s="160"/>
      <c r="AG27" s="160">
        <f>AE27*$C$27</f>
        <v>39327.332846232901</v>
      </c>
    </row>
    <row r="28" spans="1:1023 1025:2047 2049:3071 3073:4095 4097:5119 5121:6143 6145:7167 7169:8191 8193:9215 9217:10239 10241:11263 11265:12287 12289:13311 13313:14335 14337:15359 15361:16383" s="160" customFormat="1" ht="13.8">
      <c r="A28" s="148" t="s">
        <v>2758</v>
      </c>
      <c r="B28" s="148"/>
      <c r="C28" s="1215">
        <v>1.01</v>
      </c>
      <c r="D28" s="148"/>
      <c r="E28" s="160">
        <f>Application!AC889</f>
        <v>25250</v>
      </c>
      <c r="G28" s="160">
        <f>E28*$C$28</f>
        <v>25502.5</v>
      </c>
      <c r="I28" s="160">
        <f t="shared" ref="I28" si="1">G28*$C$28</f>
        <v>25757.525000000001</v>
      </c>
      <c r="K28" s="160">
        <f t="shared" ref="K28" si="2">I28*$C$28</f>
        <v>26015.100250000003</v>
      </c>
      <c r="M28" s="160">
        <f t="shared" ref="M28" si="3">K28*$C$28</f>
        <v>26275.251252500002</v>
      </c>
      <c r="O28" s="160">
        <f t="shared" ref="O28" si="4">M28*$C$28</f>
        <v>26538.003765025001</v>
      </c>
      <c r="Q28" s="160">
        <f t="shared" ref="Q28" si="5">O28*$C$28</f>
        <v>26803.383802675253</v>
      </c>
      <c r="S28" s="160">
        <f t="shared" ref="S28" si="6">Q28*$C$28</f>
        <v>27071.417640702006</v>
      </c>
      <c r="U28" s="160">
        <f t="shared" ref="U28" si="7">S28*$C$28</f>
        <v>27342.131817109028</v>
      </c>
      <c r="W28" s="160">
        <f t="shared" ref="W28" si="8">U28*$C$28</f>
        <v>27615.553135280119</v>
      </c>
      <c r="Y28" s="160">
        <f t="shared" ref="Y28" si="9">W28*$C$28</f>
        <v>27891.70866663292</v>
      </c>
      <c r="AA28" s="160">
        <f t="shared" ref="AA28" si="10">Y28*$C$28</f>
        <v>28170.625753299249</v>
      </c>
      <c r="AC28" s="160">
        <f t="shared" ref="AC28" si="11">AA28*$C$28</f>
        <v>28452.33201083224</v>
      </c>
      <c r="AE28" s="160">
        <f t="shared" ref="AE28" si="12">AC28*$C$28</f>
        <v>28736.855330940562</v>
      </c>
      <c r="AG28" s="160">
        <f t="shared" ref="AG28" si="13">AE28*$C$28</f>
        <v>29024.223884249968</v>
      </c>
      <c r="AI28" s="160">
        <f t="shared" ref="AI28" si="14">AG28*$C$28</f>
        <v>29314.466123092468</v>
      </c>
      <c r="AK28" s="160">
        <f t="shared" ref="AK28" si="15">AI28*$C$28</f>
        <v>29607.610784323395</v>
      </c>
      <c r="AM28" s="160">
        <f t="shared" ref="AM28" si="16">AK28*$C$28</f>
        <v>29903.686892166628</v>
      </c>
      <c r="AO28" s="160">
        <f t="shared" ref="AO28" si="17">AM28*$C$28</f>
        <v>30202.723761088295</v>
      </c>
      <c r="AQ28" s="160">
        <f t="shared" ref="AQ28" si="18">AO28*$C$28</f>
        <v>30504.750998699179</v>
      </c>
      <c r="AS28" s="160">
        <f t="shared" ref="AS28" si="19">AQ28*$C$28</f>
        <v>30809.79850868617</v>
      </c>
      <c r="AU28" s="160">
        <f t="shared" ref="AU28" si="20">AS28*$C$28</f>
        <v>31117.896493773031</v>
      </c>
      <c r="AW28" s="160">
        <f t="shared" ref="AW28" si="21">AU28*$C$28</f>
        <v>31429.075458710762</v>
      </c>
      <c r="AY28" s="160">
        <f t="shared" ref="AY28" si="22">AW28*$C$28</f>
        <v>31743.366213297872</v>
      </c>
      <c r="BA28" s="160">
        <f t="shared" ref="BA28" si="23">AY28*$C$28</f>
        <v>32060.79987543085</v>
      </c>
      <c r="BC28" s="160">
        <f t="shared" ref="BC28" si="24">BA28*$C$28</f>
        <v>32381.407874185159</v>
      </c>
      <c r="BE28" s="160">
        <f t="shared" ref="BE28" si="25">BC28*$C$28</f>
        <v>32705.221952927011</v>
      </c>
      <c r="BG28" s="160">
        <f t="shared" ref="BG28" si="26">BE28*$C$28</f>
        <v>33032.27417245628</v>
      </c>
      <c r="BI28" s="160">
        <f t="shared" ref="BI28" si="27">BG28*$C$28</f>
        <v>33362.596914180845</v>
      </c>
      <c r="BK28" s="160">
        <f t="shared" ref="BK28" si="28">BI28*$C$28</f>
        <v>33696.222883322655</v>
      </c>
      <c r="BM28" s="160">
        <f t="shared" ref="BM28" si="29">BK28*$C$28</f>
        <v>34033.185112155879</v>
      </c>
      <c r="BO28" s="160">
        <f t="shared" ref="BO28" si="30">BM28*$C$28</f>
        <v>34373.516963277441</v>
      </c>
      <c r="BQ28" s="160">
        <f t="shared" ref="BQ28" si="31">BO28*$C$28</f>
        <v>34717.252132910216</v>
      </c>
      <c r="BS28" s="160">
        <f t="shared" ref="BS28" si="32">BQ28*$C$28</f>
        <v>35064.424654239316</v>
      </c>
      <c r="BU28" s="160">
        <f t="shared" ref="BU28" si="33">BS28*$C$28</f>
        <v>35415.068900781713</v>
      </c>
      <c r="BW28" s="160">
        <f t="shared" ref="BW28" si="34">BU28*$C$28</f>
        <v>35769.219589789529</v>
      </c>
      <c r="BY28" s="160">
        <f t="shared" ref="BY28" si="35">BW28*$C$28</f>
        <v>36126.911785687422</v>
      </c>
      <c r="CA28" s="160">
        <f t="shared" ref="CA28" si="36">BY28*$C$28</f>
        <v>36488.180903544293</v>
      </c>
      <c r="CC28" s="160">
        <f t="shared" ref="CC28" si="37">CA28*$C$28</f>
        <v>36853.062712579733</v>
      </c>
      <c r="CE28" s="160">
        <f t="shared" ref="CE28" si="38">CC28*$C$28</f>
        <v>37221.593339705527</v>
      </c>
      <c r="CG28" s="160">
        <f t="shared" ref="CG28" si="39">CE28*$C$28</f>
        <v>37593.809273102583</v>
      </c>
      <c r="CI28" s="160">
        <f t="shared" ref="CI28" si="40">CG28*$C$28</f>
        <v>37969.747365833609</v>
      </c>
      <c r="CK28" s="160">
        <f t="shared" ref="CK28" si="41">CI28*$C$28</f>
        <v>38349.444839491945</v>
      </c>
      <c r="CM28" s="160">
        <f t="shared" ref="CM28" si="42">CK28*$C$28</f>
        <v>38732.939287886868</v>
      </c>
      <c r="CO28" s="160">
        <f t="shared" ref="CO28" si="43">CM28*$C$28</f>
        <v>39120.268680765737</v>
      </c>
      <c r="CQ28" s="160">
        <f t="shared" ref="CQ28" si="44">CO28*$C$28</f>
        <v>39511.471367573395</v>
      </c>
      <c r="CS28" s="160">
        <f t="shared" ref="CS28" si="45">CQ28*$C$28</f>
        <v>39906.58608124913</v>
      </c>
      <c r="CU28" s="160">
        <f t="shared" ref="CU28" si="46">CS28*$C$28</f>
        <v>40305.651942061624</v>
      </c>
      <c r="CW28" s="160">
        <f t="shared" ref="CW28" si="47">CU28*$C$28</f>
        <v>40708.708461482238</v>
      </c>
      <c r="CY28" s="160">
        <f t="shared" ref="CY28" si="48">CW28*$C$28</f>
        <v>41115.795546097062</v>
      </c>
      <c r="DA28" s="160">
        <f t="shared" ref="DA28" si="49">CY28*$C$28</f>
        <v>41526.953501558033</v>
      </c>
      <c r="DC28" s="160">
        <f t="shared" ref="DC28" si="50">DA28*$C$28</f>
        <v>41942.22303657361</v>
      </c>
      <c r="DE28" s="160">
        <f t="shared" ref="DE28" si="51">DC28*$C$28</f>
        <v>42361.645266939347</v>
      </c>
      <c r="DG28" s="160">
        <f t="shared" ref="DG28" si="52">DE28*$C$28</f>
        <v>42785.261719608745</v>
      </c>
      <c r="DI28" s="160">
        <f t="shared" ref="DI28" si="53">DG28*$C$28</f>
        <v>43213.114336804836</v>
      </c>
      <c r="DK28" s="160">
        <f t="shared" ref="DK28" si="54">DI28*$C$28</f>
        <v>43645.245480172882</v>
      </c>
      <c r="DM28" s="160">
        <f t="shared" ref="DM28" si="55">DK28*$C$28</f>
        <v>44081.697934974611</v>
      </c>
      <c r="DO28" s="160">
        <f t="shared" ref="DO28" si="56">DM28*$C$28</f>
        <v>44522.514914324354</v>
      </c>
      <c r="DQ28" s="160">
        <f t="shared" ref="DQ28" si="57">DO28*$C$28</f>
        <v>44967.740063467601</v>
      </c>
      <c r="DS28" s="160">
        <f t="shared" ref="DS28" si="58">DQ28*$C$28</f>
        <v>45417.417464102276</v>
      </c>
      <c r="DU28" s="160">
        <f t="shared" ref="DU28" si="59">DS28*$C$28</f>
        <v>45871.591638743303</v>
      </c>
      <c r="DW28" s="160">
        <f t="shared" ref="DW28" si="60">DU28*$C$28</f>
        <v>46330.307555130734</v>
      </c>
      <c r="DY28" s="160">
        <f t="shared" ref="DY28" si="61">DW28*$C$28</f>
        <v>46793.610630682044</v>
      </c>
      <c r="EA28" s="160">
        <f t="shared" ref="EA28" si="62">DY28*$C$28</f>
        <v>47261.546736988865</v>
      </c>
      <c r="EC28" s="160">
        <f t="shared" ref="EC28" si="63">EA28*$C$28</f>
        <v>47734.162204358756</v>
      </c>
      <c r="EE28" s="160">
        <f t="shared" ref="EE28" si="64">EC28*$C$28</f>
        <v>48211.503826402346</v>
      </c>
      <c r="EG28" s="160">
        <f t="shared" ref="EG28" si="65">EE28*$C$28</f>
        <v>48693.618864666372</v>
      </c>
      <c r="EI28" s="160">
        <f t="shared" ref="EI28" si="66">EG28*$C$28</f>
        <v>49180.555053313037</v>
      </c>
      <c r="EK28" s="160">
        <f t="shared" ref="EK28" si="67">EI28*$C$28</f>
        <v>49672.360603846166</v>
      </c>
      <c r="EM28" s="160">
        <f t="shared" ref="EM28" si="68">EK28*$C$28</f>
        <v>50169.084209884626</v>
      </c>
      <c r="EO28" s="160">
        <f t="shared" ref="EO28" si="69">EM28*$C$28</f>
        <v>50670.775051983474</v>
      </c>
      <c r="EQ28" s="160">
        <f t="shared" ref="EQ28" si="70">EO28*$C$28</f>
        <v>51177.482802503306</v>
      </c>
      <c r="ES28" s="160">
        <f t="shared" ref="ES28" si="71">EQ28*$C$28</f>
        <v>51689.257630528336</v>
      </c>
      <c r="EU28" s="160">
        <f t="shared" ref="EU28" si="72">ES28*$C$28</f>
        <v>52206.150206833619</v>
      </c>
      <c r="EW28" s="160">
        <f t="shared" ref="EW28" si="73">EU28*$C$28</f>
        <v>52728.211708901959</v>
      </c>
      <c r="EY28" s="160">
        <f t="shared" ref="EY28" si="74">EW28*$C$28</f>
        <v>53255.493825990976</v>
      </c>
      <c r="FA28" s="160">
        <f t="shared" ref="FA28" si="75">EY28*$C$28</f>
        <v>53788.048764250889</v>
      </c>
      <c r="FC28" s="160">
        <f t="shared" ref="FC28" si="76">FA28*$C$28</f>
        <v>54325.929251893402</v>
      </c>
      <c r="FE28" s="160">
        <f t="shared" ref="FE28" si="77">FC28*$C$28</f>
        <v>54869.188544412333</v>
      </c>
      <c r="FG28" s="160">
        <f t="shared" ref="FG28" si="78">FE28*$C$28</f>
        <v>55417.880429856457</v>
      </c>
      <c r="FI28" s="160">
        <f t="shared" ref="FI28" si="79">FG28*$C$28</f>
        <v>55972.059234155022</v>
      </c>
      <c r="FK28" s="160">
        <f t="shared" ref="FK28" si="80">FI28*$C$28</f>
        <v>56531.779826496575</v>
      </c>
      <c r="FM28" s="160">
        <f t="shared" ref="FM28" si="81">FK28*$C$28</f>
        <v>57097.09762476154</v>
      </c>
      <c r="FO28" s="160">
        <f t="shared" ref="FO28" si="82">FM28*$C$28</f>
        <v>57668.068601009152</v>
      </c>
      <c r="FQ28" s="160">
        <f t="shared" ref="FQ28" si="83">FO28*$C$28</f>
        <v>58244.749287019244</v>
      </c>
      <c r="FS28" s="160">
        <f t="shared" ref="FS28" si="84">FQ28*$C$28</f>
        <v>58827.19677988944</v>
      </c>
      <c r="FU28" s="160">
        <f t="shared" ref="FU28" si="85">FS28*$C$28</f>
        <v>59415.468747688334</v>
      </c>
      <c r="FW28" s="160">
        <f t="shared" ref="FW28" si="86">FU28*$C$28</f>
        <v>60009.623435165217</v>
      </c>
      <c r="FY28" s="160">
        <f t="shared" ref="FY28" si="87">FW28*$C$28</f>
        <v>60609.719669516868</v>
      </c>
      <c r="GA28" s="160">
        <f t="shared" ref="GA28" si="88">FY28*$C$28</f>
        <v>61215.816866212037</v>
      </c>
      <c r="GC28" s="160">
        <f t="shared" ref="GC28" si="89">GA28*$C$28</f>
        <v>61827.975034874158</v>
      </c>
      <c r="GE28" s="160">
        <f t="shared" ref="GE28" si="90">GC28*$C$28</f>
        <v>62446.254785222904</v>
      </c>
      <c r="GG28" s="160">
        <f t="shared" ref="GG28" si="91">GE28*$C$28</f>
        <v>63070.717333075132</v>
      </c>
      <c r="GI28" s="160">
        <f t="shared" ref="GI28" si="92">GG28*$C$28</f>
        <v>63701.424506405885</v>
      </c>
      <c r="GK28" s="160">
        <f t="shared" ref="GK28" si="93">GI28*$C$28</f>
        <v>64338.438751469941</v>
      </c>
      <c r="GM28" s="160">
        <f t="shared" ref="GM28" si="94">GK28*$C$28</f>
        <v>64981.823138984641</v>
      </c>
      <c r="GO28" s="160">
        <f t="shared" ref="GO28" si="95">GM28*$C$28</f>
        <v>65631.641370374491</v>
      </c>
      <c r="GQ28" s="160">
        <f t="shared" ref="GQ28" si="96">GO28*$C$28</f>
        <v>66287.957784078229</v>
      </c>
      <c r="GS28" s="160">
        <f t="shared" ref="GS28" si="97">GQ28*$C$28</f>
        <v>66950.83736191901</v>
      </c>
      <c r="GU28" s="160">
        <f t="shared" ref="GU28" si="98">GS28*$C$28</f>
        <v>67620.345735538198</v>
      </c>
      <c r="GW28" s="160">
        <f t="shared" ref="GW28" si="99">GU28*$C$28</f>
        <v>68296.549192893581</v>
      </c>
      <c r="GY28" s="160">
        <f t="shared" ref="GY28" si="100">GW28*$C$28</f>
        <v>68979.514684822512</v>
      </c>
      <c r="HA28" s="160">
        <f t="shared" ref="HA28" si="101">GY28*$C$28</f>
        <v>69669.309831670733</v>
      </c>
      <c r="HC28" s="160">
        <f t="shared" ref="HC28" si="102">HA28*$C$28</f>
        <v>70366.002929987444</v>
      </c>
      <c r="HE28" s="160">
        <f t="shared" ref="HE28" si="103">HC28*$C$28</f>
        <v>71069.662959287321</v>
      </c>
      <c r="HG28" s="160">
        <f t="shared" ref="HG28" si="104">HE28*$C$28</f>
        <v>71780.359588880194</v>
      </c>
      <c r="HI28" s="160">
        <f t="shared" ref="HI28" si="105">HG28*$C$28</f>
        <v>72498.163184769001</v>
      </c>
      <c r="HK28" s="160">
        <f t="shared" ref="HK28" si="106">HI28*$C$28</f>
        <v>73223.144816616696</v>
      </c>
      <c r="HM28" s="160">
        <f t="shared" ref="HM28" si="107">HK28*$C$28</f>
        <v>73955.37626478287</v>
      </c>
      <c r="HO28" s="160">
        <f t="shared" ref="HO28" si="108">HM28*$C$28</f>
        <v>74694.930027430702</v>
      </c>
      <c r="HQ28" s="160">
        <f t="shared" ref="HQ28" si="109">HO28*$C$28</f>
        <v>75441.879327705014</v>
      </c>
      <c r="HS28" s="160">
        <f t="shared" ref="HS28" si="110">HQ28*$C$28</f>
        <v>76196.298120982057</v>
      </c>
      <c r="HU28" s="160">
        <f t="shared" ref="HU28" si="111">HS28*$C$28</f>
        <v>76958.261102191886</v>
      </c>
      <c r="HW28" s="160">
        <f t="shared" ref="HW28" si="112">HU28*$C$28</f>
        <v>77727.843713213806</v>
      </c>
      <c r="HY28" s="160">
        <f t="shared" ref="HY28" si="113">HW28*$C$28</f>
        <v>78505.122150345938</v>
      </c>
      <c r="IA28" s="160">
        <f t="shared" ref="IA28" si="114">HY28*$C$28</f>
        <v>79290.173371849392</v>
      </c>
      <c r="IC28" s="160">
        <f t="shared" ref="IC28" si="115">IA28*$C$28</f>
        <v>80083.075105567885</v>
      </c>
      <c r="IE28" s="160">
        <f t="shared" ref="IE28" si="116">IC28*$C$28</f>
        <v>80883.905856623562</v>
      </c>
      <c r="IG28" s="160">
        <f t="shared" ref="IG28" si="117">IE28*$C$28</f>
        <v>81692.744915189804</v>
      </c>
      <c r="II28" s="160">
        <f t="shared" ref="II28" si="118">IG28*$C$28</f>
        <v>82509.672364341706</v>
      </c>
      <c r="IK28" s="160">
        <f t="shared" ref="IK28" si="119">II28*$C$28</f>
        <v>83334.769087985129</v>
      </c>
      <c r="IM28" s="160">
        <f t="shared" ref="IM28" si="120">IK28*$C$28</f>
        <v>84168.116778864976</v>
      </c>
      <c r="IO28" s="160">
        <f t="shared" ref="IO28" si="121">IM28*$C$28</f>
        <v>85009.79794665362</v>
      </c>
      <c r="IQ28" s="160">
        <f t="shared" ref="IQ28" si="122">IO28*$C$28</f>
        <v>85859.895926120153</v>
      </c>
      <c r="IS28" s="160">
        <f t="shared" ref="IS28" si="123">IQ28*$C$28</f>
        <v>86718.494885381355</v>
      </c>
      <c r="IU28" s="160">
        <f t="shared" ref="IU28" si="124">IS28*$C$28</f>
        <v>87585.679834235169</v>
      </c>
      <c r="IW28" s="160">
        <f t="shared" ref="IW28" si="125">IU28*$C$28</f>
        <v>88461.536632577525</v>
      </c>
      <c r="IY28" s="160">
        <f t="shared" ref="IY28" si="126">IW28*$C$28</f>
        <v>89346.151998903297</v>
      </c>
      <c r="JA28" s="160">
        <f t="shared" ref="JA28" si="127">IY28*$C$28</f>
        <v>90239.613518892336</v>
      </c>
      <c r="JC28" s="160">
        <f t="shared" ref="JC28" si="128">JA28*$C$28</f>
        <v>91142.009654081266</v>
      </c>
      <c r="JE28" s="160">
        <f t="shared" ref="JE28" si="129">JC28*$C$28</f>
        <v>92053.429750622076</v>
      </c>
      <c r="JG28" s="160">
        <f t="shared" ref="JG28" si="130">JE28*$C$28</f>
        <v>92973.964048128299</v>
      </c>
      <c r="JI28" s="160">
        <f t="shared" ref="JI28" si="131">JG28*$C$28</f>
        <v>93903.703688609588</v>
      </c>
      <c r="JK28" s="160">
        <f t="shared" ref="JK28" si="132">JI28*$C$28</f>
        <v>94842.740725495678</v>
      </c>
      <c r="JM28" s="160">
        <f t="shared" ref="JM28" si="133">JK28*$C$28</f>
        <v>95791.168132750638</v>
      </c>
      <c r="JO28" s="160">
        <f t="shared" ref="JO28" si="134">JM28*$C$28</f>
        <v>96749.079814078141</v>
      </c>
      <c r="JQ28" s="160">
        <f t="shared" ref="JQ28" si="135">JO28*$C$28</f>
        <v>97716.570612218929</v>
      </c>
      <c r="JS28" s="160">
        <f t="shared" ref="JS28" si="136">JQ28*$C$28</f>
        <v>98693.736318341122</v>
      </c>
      <c r="JU28" s="160">
        <f t="shared" ref="JU28" si="137">JS28*$C$28</f>
        <v>99680.673681524539</v>
      </c>
      <c r="JW28" s="160">
        <f t="shared" ref="JW28" si="138">JU28*$C$28</f>
        <v>100677.48041833978</v>
      </c>
      <c r="JY28" s="160">
        <f t="shared" ref="JY28" si="139">JW28*$C$28</f>
        <v>101684.25522252318</v>
      </c>
      <c r="KA28" s="160">
        <f t="shared" ref="KA28" si="140">JY28*$C$28</f>
        <v>102701.09777474841</v>
      </c>
      <c r="KC28" s="160">
        <f t="shared" ref="KC28" si="141">KA28*$C$28</f>
        <v>103728.1087524959</v>
      </c>
      <c r="KE28" s="160">
        <f t="shared" ref="KE28" si="142">KC28*$C$28</f>
        <v>104765.38984002086</v>
      </c>
      <c r="KG28" s="160">
        <f t="shared" ref="KG28" si="143">KE28*$C$28</f>
        <v>105813.04373842107</v>
      </c>
      <c r="KI28" s="160">
        <f t="shared" ref="KI28" si="144">KG28*$C$28</f>
        <v>106871.17417580528</v>
      </c>
      <c r="KK28" s="160">
        <f t="shared" ref="KK28" si="145">KI28*$C$28</f>
        <v>107939.88591756334</v>
      </c>
      <c r="KM28" s="160">
        <f t="shared" ref="KM28" si="146">KK28*$C$28</f>
        <v>109019.28477673898</v>
      </c>
      <c r="KO28" s="160">
        <f t="shared" ref="KO28" si="147">KM28*$C$28</f>
        <v>110109.47762450637</v>
      </c>
      <c r="KQ28" s="160">
        <f t="shared" ref="KQ28" si="148">KO28*$C$28</f>
        <v>111210.57240075144</v>
      </c>
      <c r="KS28" s="160">
        <f t="shared" ref="KS28" si="149">KQ28*$C$28</f>
        <v>112322.67812475895</v>
      </c>
      <c r="KU28" s="160">
        <f t="shared" ref="KU28" si="150">KS28*$C$28</f>
        <v>113445.90490600654</v>
      </c>
      <c r="KW28" s="160">
        <f t="shared" ref="KW28" si="151">KU28*$C$28</f>
        <v>114580.36395506661</v>
      </c>
      <c r="KY28" s="160">
        <f t="shared" ref="KY28" si="152">KW28*$C$28</f>
        <v>115726.16759461728</v>
      </c>
      <c r="LA28" s="160">
        <f t="shared" ref="LA28" si="153">KY28*$C$28</f>
        <v>116883.42927056344</v>
      </c>
      <c r="LC28" s="160">
        <f t="shared" ref="LC28" si="154">LA28*$C$28</f>
        <v>118052.26356326908</v>
      </c>
      <c r="LE28" s="160">
        <f t="shared" ref="LE28" si="155">LC28*$C$28</f>
        <v>119232.78619890177</v>
      </c>
      <c r="LG28" s="160">
        <f t="shared" ref="LG28" si="156">LE28*$C$28</f>
        <v>120425.11406089079</v>
      </c>
      <c r="LI28" s="160">
        <f t="shared" ref="LI28" si="157">LG28*$C$28</f>
        <v>121629.36520149969</v>
      </c>
      <c r="LK28" s="160">
        <f t="shared" ref="LK28" si="158">LI28*$C$28</f>
        <v>122845.65885351469</v>
      </c>
      <c r="LM28" s="160">
        <f t="shared" ref="LM28" si="159">LK28*$C$28</f>
        <v>124074.11544204984</v>
      </c>
      <c r="LO28" s="160">
        <f t="shared" ref="LO28" si="160">LM28*$C$28</f>
        <v>125314.85659647033</v>
      </c>
      <c r="LQ28" s="160">
        <f t="shared" ref="LQ28" si="161">LO28*$C$28</f>
        <v>126568.00516243503</v>
      </c>
      <c r="LS28" s="160">
        <f t="shared" ref="LS28" si="162">LQ28*$C$28</f>
        <v>127833.68521405938</v>
      </c>
      <c r="LU28" s="160">
        <f t="shared" ref="LU28" si="163">LS28*$C$28</f>
        <v>129112.02206619998</v>
      </c>
      <c r="LW28" s="160">
        <f t="shared" ref="LW28" si="164">LU28*$C$28</f>
        <v>130403.14228686198</v>
      </c>
      <c r="LY28" s="160">
        <f t="shared" ref="LY28" si="165">LW28*$C$28</f>
        <v>131707.17370973062</v>
      </c>
      <c r="MA28" s="160">
        <f t="shared" ref="MA28" si="166">LY28*$C$28</f>
        <v>133024.24544682793</v>
      </c>
      <c r="MC28" s="160">
        <f t="shared" ref="MC28" si="167">MA28*$C$28</f>
        <v>134354.4879012962</v>
      </c>
      <c r="ME28" s="160">
        <f t="shared" ref="ME28" si="168">MC28*$C$28</f>
        <v>135698.03278030918</v>
      </c>
      <c r="MG28" s="160">
        <f t="shared" ref="MG28" si="169">ME28*$C$28</f>
        <v>137055.01310811227</v>
      </c>
      <c r="MI28" s="160">
        <f t="shared" ref="MI28" si="170">MG28*$C$28</f>
        <v>138425.56323919341</v>
      </c>
      <c r="MK28" s="160">
        <f t="shared" ref="MK28" si="171">MI28*$C$28</f>
        <v>139809.81887158533</v>
      </c>
      <c r="MM28" s="160">
        <f t="shared" ref="MM28" si="172">MK28*$C$28</f>
        <v>141207.91706030117</v>
      </c>
      <c r="MO28" s="160">
        <f t="shared" ref="MO28" si="173">MM28*$C$28</f>
        <v>142619.99623090419</v>
      </c>
      <c r="MQ28" s="160">
        <f t="shared" ref="MQ28" si="174">MO28*$C$28</f>
        <v>144046.19619321323</v>
      </c>
      <c r="MS28" s="160">
        <f t="shared" ref="MS28" si="175">MQ28*$C$28</f>
        <v>145486.65815514536</v>
      </c>
      <c r="MU28" s="160">
        <f t="shared" ref="MU28" si="176">MS28*$C$28</f>
        <v>146941.52473669683</v>
      </c>
      <c r="MW28" s="160">
        <f t="shared" ref="MW28" si="177">MU28*$C$28</f>
        <v>148410.93998406379</v>
      </c>
      <c r="MY28" s="160">
        <f t="shared" ref="MY28" si="178">MW28*$C$28</f>
        <v>149895.04938390444</v>
      </c>
      <c r="NA28" s="160">
        <f t="shared" ref="NA28" si="179">MY28*$C$28</f>
        <v>151393.99987774348</v>
      </c>
      <c r="NC28" s="160">
        <f t="shared" ref="NC28" si="180">NA28*$C$28</f>
        <v>152907.93987652092</v>
      </c>
      <c r="NE28" s="160">
        <f t="shared" ref="NE28" si="181">NC28*$C$28</f>
        <v>154437.01927528612</v>
      </c>
      <c r="NG28" s="160">
        <f t="shared" ref="NG28" si="182">NE28*$C$28</f>
        <v>155981.38946803898</v>
      </c>
      <c r="NI28" s="160">
        <f t="shared" ref="NI28" si="183">NG28*$C$28</f>
        <v>157541.20336271936</v>
      </c>
      <c r="NK28" s="160">
        <f t="shared" ref="NK28" si="184">NI28*$C$28</f>
        <v>159116.61539634655</v>
      </c>
      <c r="NM28" s="160">
        <f t="shared" ref="NM28" si="185">NK28*$C$28</f>
        <v>160707.78155031003</v>
      </c>
      <c r="NO28" s="160">
        <f t="shared" ref="NO28" si="186">NM28*$C$28</f>
        <v>162314.85936581314</v>
      </c>
      <c r="NQ28" s="160">
        <f t="shared" ref="NQ28" si="187">NO28*$C$28</f>
        <v>163938.00795947129</v>
      </c>
      <c r="NS28" s="160">
        <f t="shared" ref="NS28" si="188">NQ28*$C$28</f>
        <v>165577.38803906599</v>
      </c>
      <c r="NU28" s="160">
        <f t="shared" ref="NU28" si="189">NS28*$C$28</f>
        <v>167233.16191945664</v>
      </c>
      <c r="NW28" s="160">
        <f t="shared" ref="NW28" si="190">NU28*$C$28</f>
        <v>168905.49353865121</v>
      </c>
      <c r="NY28" s="160">
        <f t="shared" ref="NY28" si="191">NW28*$C$28</f>
        <v>170594.54847403773</v>
      </c>
      <c r="OA28" s="160">
        <f t="shared" ref="OA28" si="192">NY28*$C$28</f>
        <v>172300.4939587781</v>
      </c>
      <c r="OC28" s="160">
        <f t="shared" ref="OC28" si="193">OA28*$C$28</f>
        <v>174023.49889836588</v>
      </c>
      <c r="OE28" s="160">
        <f t="shared" ref="OE28" si="194">OC28*$C$28</f>
        <v>175763.73388734955</v>
      </c>
      <c r="OG28" s="160">
        <f t="shared" ref="OG28" si="195">OE28*$C$28</f>
        <v>177521.37122622304</v>
      </c>
      <c r="OI28" s="160">
        <f t="shared" ref="OI28" si="196">OG28*$C$28</f>
        <v>179296.58493848526</v>
      </c>
      <c r="OK28" s="160">
        <f t="shared" ref="OK28" si="197">OI28*$C$28</f>
        <v>181089.5507878701</v>
      </c>
      <c r="OM28" s="160">
        <f t="shared" ref="OM28" si="198">OK28*$C$28</f>
        <v>182900.44629574881</v>
      </c>
      <c r="OO28" s="160">
        <f t="shared" ref="OO28" si="199">OM28*$C$28</f>
        <v>184729.45075870631</v>
      </c>
      <c r="OQ28" s="160">
        <f t="shared" ref="OQ28" si="200">OO28*$C$28</f>
        <v>186576.74526629338</v>
      </c>
      <c r="OS28" s="160">
        <f t="shared" ref="OS28" si="201">OQ28*$C$28</f>
        <v>188442.51271895631</v>
      </c>
      <c r="OU28" s="160">
        <f t="shared" ref="OU28" si="202">OS28*$C$28</f>
        <v>190326.93784614588</v>
      </c>
      <c r="OW28" s="160">
        <f t="shared" ref="OW28" si="203">OU28*$C$28</f>
        <v>192230.20722460735</v>
      </c>
      <c r="OY28" s="160">
        <f t="shared" ref="OY28" si="204">OW28*$C$28</f>
        <v>194152.50929685342</v>
      </c>
      <c r="PA28" s="160">
        <f t="shared" ref="PA28" si="205">OY28*$C$28</f>
        <v>196094.03438982196</v>
      </c>
      <c r="PC28" s="160">
        <f t="shared" ref="PC28" si="206">PA28*$C$28</f>
        <v>198054.97473372018</v>
      </c>
      <c r="PE28" s="160">
        <f t="shared" ref="PE28" si="207">PC28*$C$28</f>
        <v>200035.52448105739</v>
      </c>
      <c r="PG28" s="160">
        <f t="shared" ref="PG28" si="208">PE28*$C$28</f>
        <v>202035.87972586797</v>
      </c>
      <c r="PI28" s="160">
        <f t="shared" ref="PI28" si="209">PG28*$C$28</f>
        <v>204056.23852312664</v>
      </c>
      <c r="PK28" s="160">
        <f t="shared" ref="PK28" si="210">PI28*$C$28</f>
        <v>206096.80090835789</v>
      </c>
      <c r="PM28" s="160">
        <f t="shared" ref="PM28" si="211">PK28*$C$28</f>
        <v>208157.76891744148</v>
      </c>
      <c r="PO28" s="160">
        <f t="shared" ref="PO28" si="212">PM28*$C$28</f>
        <v>210239.3466066159</v>
      </c>
      <c r="PQ28" s="160">
        <f t="shared" ref="PQ28" si="213">PO28*$C$28</f>
        <v>212341.74007268206</v>
      </c>
      <c r="PS28" s="160">
        <f t="shared" ref="PS28" si="214">PQ28*$C$28</f>
        <v>214465.15747340888</v>
      </c>
      <c r="PU28" s="160">
        <f t="shared" ref="PU28" si="215">PS28*$C$28</f>
        <v>216609.80904814298</v>
      </c>
      <c r="PW28" s="160">
        <f t="shared" ref="PW28" si="216">PU28*$C$28</f>
        <v>218775.9071386244</v>
      </c>
      <c r="PY28" s="160">
        <f t="shared" ref="PY28" si="217">PW28*$C$28</f>
        <v>220963.66621001065</v>
      </c>
      <c r="QA28" s="160">
        <f t="shared" ref="QA28" si="218">PY28*$C$28</f>
        <v>223173.30287211077</v>
      </c>
      <c r="QC28" s="160">
        <f t="shared" ref="QC28" si="219">QA28*$C$28</f>
        <v>225405.03590083189</v>
      </c>
      <c r="QE28" s="160">
        <f t="shared" ref="QE28" si="220">QC28*$C$28</f>
        <v>227659.0862598402</v>
      </c>
      <c r="QG28" s="160">
        <f t="shared" ref="QG28" si="221">QE28*$C$28</f>
        <v>229935.67712243862</v>
      </c>
      <c r="QI28" s="160">
        <f t="shared" ref="QI28" si="222">QG28*$C$28</f>
        <v>232235.033893663</v>
      </c>
      <c r="QK28" s="160">
        <f t="shared" ref="QK28" si="223">QI28*$C$28</f>
        <v>234557.38423259964</v>
      </c>
      <c r="QM28" s="160">
        <f t="shared" ref="QM28" si="224">QK28*$C$28</f>
        <v>236902.95807492564</v>
      </c>
      <c r="QO28" s="160">
        <f t="shared" ref="QO28" si="225">QM28*$C$28</f>
        <v>239271.98765567489</v>
      </c>
      <c r="QQ28" s="160">
        <f t="shared" ref="QQ28" si="226">QO28*$C$28</f>
        <v>241664.70753223164</v>
      </c>
      <c r="QS28" s="160">
        <f t="shared" ref="QS28" si="227">QQ28*$C$28</f>
        <v>244081.35460755395</v>
      </c>
      <c r="QU28" s="160">
        <f t="shared" ref="QU28" si="228">QS28*$C$28</f>
        <v>246522.16815362949</v>
      </c>
      <c r="QW28" s="160">
        <f t="shared" ref="QW28" si="229">QU28*$C$28</f>
        <v>248987.38983516578</v>
      </c>
      <c r="QY28" s="160">
        <f t="shared" ref="QY28" si="230">QW28*$C$28</f>
        <v>251477.26373351744</v>
      </c>
      <c r="RA28" s="160">
        <f t="shared" ref="RA28" si="231">QY28*$C$28</f>
        <v>253992.03637085261</v>
      </c>
      <c r="RC28" s="160">
        <f t="shared" ref="RC28" si="232">RA28*$C$28</f>
        <v>256531.95673456113</v>
      </c>
      <c r="RE28" s="160">
        <f t="shared" ref="RE28" si="233">RC28*$C$28</f>
        <v>259097.27630190674</v>
      </c>
      <c r="RG28" s="160">
        <f t="shared" ref="RG28" si="234">RE28*$C$28</f>
        <v>261688.2490649258</v>
      </c>
      <c r="RI28" s="160">
        <f t="shared" ref="RI28" si="235">RG28*$C$28</f>
        <v>264305.13155557506</v>
      </c>
      <c r="RK28" s="160">
        <f t="shared" ref="RK28" si="236">RI28*$C$28</f>
        <v>266948.18287113082</v>
      </c>
      <c r="RM28" s="160">
        <f t="shared" ref="RM28" si="237">RK28*$C$28</f>
        <v>269617.66469984211</v>
      </c>
      <c r="RO28" s="160">
        <f t="shared" ref="RO28" si="238">RM28*$C$28</f>
        <v>272313.84134684055</v>
      </c>
      <c r="RQ28" s="160">
        <f t="shared" ref="RQ28" si="239">RO28*$C$28</f>
        <v>275036.97976030898</v>
      </c>
      <c r="RS28" s="160">
        <f t="shared" ref="RS28" si="240">RQ28*$C$28</f>
        <v>277787.34955791209</v>
      </c>
      <c r="RU28" s="160">
        <f t="shared" ref="RU28" si="241">RS28*$C$28</f>
        <v>280565.22305349121</v>
      </c>
      <c r="RW28" s="160">
        <f t="shared" ref="RW28" si="242">RU28*$C$28</f>
        <v>283370.87528402614</v>
      </c>
      <c r="RY28" s="160">
        <f t="shared" ref="RY28" si="243">RW28*$C$28</f>
        <v>286204.58403686644</v>
      </c>
      <c r="SA28" s="160">
        <f t="shared" ref="SA28" si="244">RY28*$C$28</f>
        <v>289066.6298772351</v>
      </c>
      <c r="SC28" s="160">
        <f t="shared" ref="SC28" si="245">SA28*$C$28</f>
        <v>291957.29617600742</v>
      </c>
      <c r="SE28" s="160">
        <f t="shared" ref="SE28" si="246">SC28*$C$28</f>
        <v>294876.86913776753</v>
      </c>
      <c r="SG28" s="160">
        <f t="shared" ref="SG28" si="247">SE28*$C$28</f>
        <v>297825.63782914518</v>
      </c>
      <c r="SI28" s="160">
        <f t="shared" ref="SI28" si="248">SG28*$C$28</f>
        <v>300803.89420743665</v>
      </c>
      <c r="SK28" s="160">
        <f t="shared" ref="SK28" si="249">SI28*$C$28</f>
        <v>303811.93314951099</v>
      </c>
      <c r="SM28" s="160">
        <f t="shared" ref="SM28" si="250">SK28*$C$28</f>
        <v>306850.05248100613</v>
      </c>
      <c r="SO28" s="160">
        <f t="shared" ref="SO28" si="251">SM28*$C$28</f>
        <v>309918.55300581618</v>
      </c>
      <c r="SQ28" s="160">
        <f t="shared" ref="SQ28" si="252">SO28*$C$28</f>
        <v>313017.73853587435</v>
      </c>
      <c r="SS28" s="160">
        <f t="shared" ref="SS28" si="253">SQ28*$C$28</f>
        <v>316147.91592123307</v>
      </c>
      <c r="SU28" s="160">
        <f t="shared" ref="SU28" si="254">SS28*$C$28</f>
        <v>319309.39508044539</v>
      </c>
      <c r="SW28" s="160">
        <f t="shared" ref="SW28" si="255">SU28*$C$28</f>
        <v>322502.48903124983</v>
      </c>
      <c r="SY28" s="160">
        <f t="shared" ref="SY28" si="256">SW28*$C$28</f>
        <v>325727.51392156235</v>
      </c>
      <c r="TA28" s="160">
        <f t="shared" ref="TA28" si="257">SY28*$C$28</f>
        <v>328984.78906077798</v>
      </c>
      <c r="TC28" s="160">
        <f t="shared" ref="TC28" si="258">TA28*$C$28</f>
        <v>332274.63695138576</v>
      </c>
      <c r="TE28" s="160">
        <f t="shared" ref="TE28" si="259">TC28*$C$28</f>
        <v>335597.38332089962</v>
      </c>
      <c r="TG28" s="160">
        <f t="shared" ref="TG28" si="260">TE28*$C$28</f>
        <v>338953.35715410864</v>
      </c>
      <c r="TI28" s="160">
        <f t="shared" ref="TI28" si="261">TG28*$C$28</f>
        <v>342342.89072564972</v>
      </c>
      <c r="TK28" s="160">
        <f t="shared" ref="TK28" si="262">TI28*$C$28</f>
        <v>345766.31963290623</v>
      </c>
      <c r="TM28" s="160">
        <f t="shared" ref="TM28" si="263">TK28*$C$28</f>
        <v>349223.98282923532</v>
      </c>
      <c r="TO28" s="160">
        <f t="shared" ref="TO28" si="264">TM28*$C$28</f>
        <v>352716.22265752766</v>
      </c>
      <c r="TQ28" s="160">
        <f t="shared" ref="TQ28" si="265">TO28*$C$28</f>
        <v>356243.38488410291</v>
      </c>
      <c r="TS28" s="160">
        <f t="shared" ref="TS28" si="266">TQ28*$C$28</f>
        <v>359805.81873294397</v>
      </c>
      <c r="TU28" s="160">
        <f t="shared" ref="TU28" si="267">TS28*$C$28</f>
        <v>363403.87692027341</v>
      </c>
      <c r="TW28" s="160">
        <f t="shared" ref="TW28" si="268">TU28*$C$28</f>
        <v>367037.91568947613</v>
      </c>
      <c r="TY28" s="160">
        <f t="shared" ref="TY28" si="269">TW28*$C$28</f>
        <v>370708.29484637087</v>
      </c>
      <c r="UA28" s="160">
        <f t="shared" ref="UA28" si="270">TY28*$C$28</f>
        <v>374415.37779483461</v>
      </c>
      <c r="UC28" s="160">
        <f t="shared" ref="UC28" si="271">UA28*$C$28</f>
        <v>378159.53157278296</v>
      </c>
      <c r="UE28" s="160">
        <f t="shared" ref="UE28" si="272">UC28*$C$28</f>
        <v>381941.12688851077</v>
      </c>
      <c r="UG28" s="160">
        <f t="shared" ref="UG28" si="273">UE28*$C$28</f>
        <v>385760.5381573959</v>
      </c>
      <c r="UI28" s="160">
        <f t="shared" ref="UI28" si="274">UG28*$C$28</f>
        <v>389618.14353896986</v>
      </c>
      <c r="UK28" s="160">
        <f t="shared" ref="UK28" si="275">UI28*$C$28</f>
        <v>393514.32497435954</v>
      </c>
      <c r="UM28" s="160">
        <f t="shared" ref="UM28" si="276">UK28*$C$28</f>
        <v>397449.46822410316</v>
      </c>
      <c r="UO28" s="160">
        <f t="shared" ref="UO28" si="277">UM28*$C$28</f>
        <v>401423.96290634421</v>
      </c>
      <c r="UQ28" s="160">
        <f t="shared" ref="UQ28" si="278">UO28*$C$28</f>
        <v>405438.20253540768</v>
      </c>
      <c r="US28" s="160">
        <f t="shared" ref="US28" si="279">UQ28*$C$28</f>
        <v>409492.58456076175</v>
      </c>
      <c r="UU28" s="160">
        <f t="shared" ref="UU28" si="280">US28*$C$28</f>
        <v>413587.5104063694</v>
      </c>
      <c r="UW28" s="160">
        <f t="shared" ref="UW28" si="281">UU28*$C$28</f>
        <v>417723.38551043312</v>
      </c>
      <c r="UY28" s="160">
        <f t="shared" ref="UY28" si="282">UW28*$C$28</f>
        <v>421900.61936553742</v>
      </c>
      <c r="VA28" s="160">
        <f t="shared" ref="VA28" si="283">UY28*$C$28</f>
        <v>426119.62555919279</v>
      </c>
      <c r="VC28" s="160">
        <f t="shared" ref="VC28" si="284">VA28*$C$28</f>
        <v>430380.82181478472</v>
      </c>
      <c r="VE28" s="160">
        <f t="shared" ref="VE28" si="285">VC28*$C$28</f>
        <v>434684.63003293256</v>
      </c>
      <c r="VG28" s="160">
        <f t="shared" ref="VG28" si="286">VE28*$C$28</f>
        <v>439031.47633326187</v>
      </c>
      <c r="VI28" s="160">
        <f t="shared" ref="VI28" si="287">VG28*$C$28</f>
        <v>443421.79109659448</v>
      </c>
      <c r="VK28" s="160">
        <f t="shared" ref="VK28" si="288">VI28*$C$28</f>
        <v>447856.00900756044</v>
      </c>
      <c r="VM28" s="160">
        <f t="shared" ref="VM28" si="289">VK28*$C$28</f>
        <v>452334.56909763603</v>
      </c>
      <c r="VO28" s="160">
        <f t="shared" ref="VO28" si="290">VM28*$C$28</f>
        <v>456857.9147886124</v>
      </c>
      <c r="VQ28" s="160">
        <f t="shared" ref="VQ28" si="291">VO28*$C$28</f>
        <v>461426.49393649853</v>
      </c>
      <c r="VS28" s="160">
        <f t="shared" ref="VS28" si="292">VQ28*$C$28</f>
        <v>466040.75887586351</v>
      </c>
      <c r="VU28" s="160">
        <f t="shared" ref="VU28" si="293">VS28*$C$28</f>
        <v>470701.16646462213</v>
      </c>
      <c r="VW28" s="160">
        <f t="shared" ref="VW28" si="294">VU28*$C$28</f>
        <v>475408.17812926834</v>
      </c>
      <c r="VY28" s="160">
        <f t="shared" ref="VY28" si="295">VW28*$C$28</f>
        <v>480162.25991056103</v>
      </c>
      <c r="WA28" s="160">
        <f t="shared" ref="WA28" si="296">VY28*$C$28</f>
        <v>484963.88250966667</v>
      </c>
      <c r="WC28" s="160">
        <f t="shared" ref="WC28" si="297">WA28*$C$28</f>
        <v>489813.52133476333</v>
      </c>
      <c r="WE28" s="160">
        <f t="shared" ref="WE28" si="298">WC28*$C$28</f>
        <v>494711.65654811094</v>
      </c>
      <c r="WG28" s="160">
        <f t="shared" ref="WG28" si="299">WE28*$C$28</f>
        <v>499658.77311359206</v>
      </c>
      <c r="WI28" s="160">
        <f t="shared" ref="WI28" si="300">WG28*$C$28</f>
        <v>504655.36084472801</v>
      </c>
      <c r="WK28" s="160">
        <f t="shared" ref="WK28" si="301">WI28*$C$28</f>
        <v>509701.91445317533</v>
      </c>
      <c r="WM28" s="160">
        <f t="shared" ref="WM28" si="302">WK28*$C$28</f>
        <v>514798.93359770707</v>
      </c>
      <c r="WO28" s="160">
        <f t="shared" ref="WO28" si="303">WM28*$C$28</f>
        <v>519946.92293368414</v>
      </c>
      <c r="WQ28" s="160">
        <f t="shared" ref="WQ28" si="304">WO28*$C$28</f>
        <v>525146.39216302102</v>
      </c>
      <c r="WS28" s="160">
        <f t="shared" ref="WS28" si="305">WQ28*$C$28</f>
        <v>530397.8560846512</v>
      </c>
      <c r="WU28" s="160">
        <f t="shared" ref="WU28" si="306">WS28*$C$28</f>
        <v>535701.83464549773</v>
      </c>
      <c r="WW28" s="160">
        <f t="shared" ref="WW28" si="307">WU28*$C$28</f>
        <v>541058.85299195268</v>
      </c>
      <c r="WY28" s="160">
        <f t="shared" ref="WY28" si="308">WW28*$C$28</f>
        <v>546469.44152187218</v>
      </c>
      <c r="XA28" s="160">
        <f t="shared" ref="XA28" si="309">WY28*$C$28</f>
        <v>551934.13593709096</v>
      </c>
      <c r="XC28" s="160">
        <f t="shared" ref="XC28" si="310">XA28*$C$28</f>
        <v>557453.47729646193</v>
      </c>
      <c r="XE28" s="160">
        <f t="shared" ref="XE28" si="311">XC28*$C$28</f>
        <v>563028.01206942659</v>
      </c>
      <c r="XG28" s="160">
        <f t="shared" ref="XG28" si="312">XE28*$C$28</f>
        <v>568658.2921901209</v>
      </c>
      <c r="XI28" s="160">
        <f t="shared" ref="XI28" si="313">XG28*$C$28</f>
        <v>574344.87511202216</v>
      </c>
      <c r="XK28" s="160">
        <f t="shared" ref="XK28" si="314">XI28*$C$28</f>
        <v>580088.3238631424</v>
      </c>
      <c r="XM28" s="160">
        <f t="shared" ref="XM28" si="315">XK28*$C$28</f>
        <v>585889.20710177382</v>
      </c>
      <c r="XO28" s="160">
        <f t="shared" ref="XO28" si="316">XM28*$C$28</f>
        <v>591748.09917279158</v>
      </c>
      <c r="XQ28" s="160">
        <f t="shared" ref="XQ28" si="317">XO28*$C$28</f>
        <v>597665.58016451949</v>
      </c>
      <c r="XS28" s="160">
        <f t="shared" ref="XS28" si="318">XQ28*$C$28</f>
        <v>603642.23596616474</v>
      </c>
      <c r="XU28" s="160">
        <f t="shared" ref="XU28" si="319">XS28*$C$28</f>
        <v>609678.6583258264</v>
      </c>
      <c r="XW28" s="160">
        <f t="shared" ref="XW28" si="320">XU28*$C$28</f>
        <v>615775.4449090847</v>
      </c>
      <c r="XY28" s="160">
        <f t="shared" ref="XY28" si="321">XW28*$C$28</f>
        <v>621933.19935817551</v>
      </c>
      <c r="YA28" s="160">
        <f t="shared" ref="YA28" si="322">XY28*$C$28</f>
        <v>628152.53135175724</v>
      </c>
      <c r="YC28" s="160">
        <f t="shared" ref="YC28" si="323">YA28*$C$28</f>
        <v>634434.05666527478</v>
      </c>
      <c r="YE28" s="160">
        <f t="shared" ref="YE28" si="324">YC28*$C$28</f>
        <v>640778.39723192749</v>
      </c>
      <c r="YG28" s="160">
        <f t="shared" ref="YG28" si="325">YE28*$C$28</f>
        <v>647186.18120424682</v>
      </c>
      <c r="YI28" s="160">
        <f t="shared" ref="YI28" si="326">YG28*$C$28</f>
        <v>653658.04301628924</v>
      </c>
      <c r="YK28" s="160">
        <f t="shared" ref="YK28" si="327">YI28*$C$28</f>
        <v>660194.6234464522</v>
      </c>
      <c r="YM28" s="160">
        <f t="shared" ref="YM28" si="328">YK28*$C$28</f>
        <v>666796.56968091673</v>
      </c>
      <c r="YO28" s="160">
        <f t="shared" ref="YO28" si="329">YM28*$C$28</f>
        <v>673464.53537772596</v>
      </c>
      <c r="YQ28" s="160">
        <f t="shared" ref="YQ28" si="330">YO28*$C$28</f>
        <v>680199.18073150318</v>
      </c>
      <c r="YS28" s="160">
        <f t="shared" ref="YS28" si="331">YQ28*$C$28</f>
        <v>687001.17253881821</v>
      </c>
      <c r="YU28" s="160">
        <f t="shared" ref="YU28" si="332">YS28*$C$28</f>
        <v>693871.18426420644</v>
      </c>
      <c r="YW28" s="160">
        <f t="shared" ref="YW28" si="333">YU28*$C$28</f>
        <v>700809.89610684849</v>
      </c>
      <c r="YY28" s="160">
        <f t="shared" ref="YY28" si="334">YW28*$C$28</f>
        <v>707817.99506791693</v>
      </c>
      <c r="ZA28" s="160">
        <f t="shared" ref="ZA28" si="335">YY28*$C$28</f>
        <v>714896.17501859611</v>
      </c>
      <c r="ZC28" s="160">
        <f t="shared" ref="ZC28" si="336">ZA28*$C$28</f>
        <v>722045.13676878205</v>
      </c>
      <c r="ZE28" s="160">
        <f t="shared" ref="ZE28" si="337">ZC28*$C$28</f>
        <v>729265.58813646983</v>
      </c>
      <c r="ZG28" s="160">
        <f t="shared" ref="ZG28" si="338">ZE28*$C$28</f>
        <v>736558.24401783454</v>
      </c>
      <c r="ZI28" s="160">
        <f t="shared" ref="ZI28" si="339">ZG28*$C$28</f>
        <v>743923.82645801292</v>
      </c>
      <c r="ZK28" s="160">
        <f t="shared" ref="ZK28" si="340">ZI28*$C$28</f>
        <v>751363.06472259306</v>
      </c>
      <c r="ZM28" s="160">
        <f t="shared" ref="ZM28" si="341">ZK28*$C$28</f>
        <v>758876.69536981895</v>
      </c>
      <c r="ZO28" s="160">
        <f t="shared" ref="ZO28" si="342">ZM28*$C$28</f>
        <v>766465.46232351719</v>
      </c>
      <c r="ZQ28" s="160">
        <f t="shared" ref="ZQ28" si="343">ZO28*$C$28</f>
        <v>774130.11694675242</v>
      </c>
      <c r="ZS28" s="160">
        <f t="shared" ref="ZS28" si="344">ZQ28*$C$28</f>
        <v>781871.41811621992</v>
      </c>
      <c r="ZU28" s="160">
        <f t="shared" ref="ZU28" si="345">ZS28*$C$28</f>
        <v>789690.13229738211</v>
      </c>
      <c r="ZW28" s="160">
        <f t="shared" ref="ZW28" si="346">ZU28*$C$28</f>
        <v>797587.03362035588</v>
      </c>
      <c r="ZY28" s="160">
        <f t="shared" ref="ZY28" si="347">ZW28*$C$28</f>
        <v>805562.90395655949</v>
      </c>
      <c r="AAA28" s="160">
        <f t="shared" ref="AAA28" si="348">ZY28*$C$28</f>
        <v>813618.53299612505</v>
      </c>
      <c r="AAC28" s="160">
        <f t="shared" ref="AAC28" si="349">AAA28*$C$28</f>
        <v>821754.71832608629</v>
      </c>
      <c r="AAE28" s="160">
        <f t="shared" ref="AAE28" si="350">AAC28*$C$28</f>
        <v>829972.2655093472</v>
      </c>
      <c r="AAG28" s="160">
        <f t="shared" ref="AAG28" si="351">AAE28*$C$28</f>
        <v>838271.98816444073</v>
      </c>
      <c r="AAI28" s="160">
        <f t="shared" ref="AAI28" si="352">AAG28*$C$28</f>
        <v>846654.7080460852</v>
      </c>
      <c r="AAK28" s="160">
        <f t="shared" ref="AAK28" si="353">AAI28*$C$28</f>
        <v>855121.25512654602</v>
      </c>
      <c r="AAM28" s="160">
        <f t="shared" ref="AAM28" si="354">AAK28*$C$28</f>
        <v>863672.46767781151</v>
      </c>
      <c r="AAO28" s="160">
        <f t="shared" ref="AAO28" si="355">AAM28*$C$28</f>
        <v>872309.19235458958</v>
      </c>
      <c r="AAQ28" s="160">
        <f t="shared" ref="AAQ28" si="356">AAO28*$C$28</f>
        <v>881032.28427813551</v>
      </c>
      <c r="AAS28" s="160">
        <f t="shared" ref="AAS28" si="357">AAQ28*$C$28</f>
        <v>889842.60712091683</v>
      </c>
      <c r="AAU28" s="160">
        <f t="shared" ref="AAU28" si="358">AAS28*$C$28</f>
        <v>898741.03319212596</v>
      </c>
      <c r="AAW28" s="160">
        <f t="shared" ref="AAW28" si="359">AAU28*$C$28</f>
        <v>907728.44352404727</v>
      </c>
      <c r="AAY28" s="160">
        <f t="shared" ref="AAY28" si="360">AAW28*$C$28</f>
        <v>916805.7279592877</v>
      </c>
      <c r="ABA28" s="160">
        <f t="shared" ref="ABA28" si="361">AAY28*$C$28</f>
        <v>925973.78523888055</v>
      </c>
      <c r="ABC28" s="160">
        <f t="shared" ref="ABC28" si="362">ABA28*$C$28</f>
        <v>935233.52309126931</v>
      </c>
      <c r="ABE28" s="160">
        <f t="shared" ref="ABE28" si="363">ABC28*$C$28</f>
        <v>944585.85832218197</v>
      </c>
      <c r="ABG28" s="160">
        <f t="shared" ref="ABG28" si="364">ABE28*$C$28</f>
        <v>954031.71690540377</v>
      </c>
      <c r="ABI28" s="160">
        <f t="shared" ref="ABI28" si="365">ABG28*$C$28</f>
        <v>963572.03407445783</v>
      </c>
      <c r="ABK28" s="160">
        <f t="shared" ref="ABK28" si="366">ABI28*$C$28</f>
        <v>973207.75441520242</v>
      </c>
      <c r="ABM28" s="160">
        <f t="shared" ref="ABM28" si="367">ABK28*$C$28</f>
        <v>982939.83195935446</v>
      </c>
      <c r="ABO28" s="160">
        <f t="shared" ref="ABO28" si="368">ABM28*$C$28</f>
        <v>992769.23027894797</v>
      </c>
      <c r="ABQ28" s="160">
        <f t="shared" ref="ABQ28" si="369">ABO28*$C$28</f>
        <v>1002696.9225817375</v>
      </c>
      <c r="ABS28" s="160">
        <f t="shared" ref="ABS28" si="370">ABQ28*$C$28</f>
        <v>1012723.8918075549</v>
      </c>
      <c r="ABU28" s="160">
        <f t="shared" ref="ABU28" si="371">ABS28*$C$28</f>
        <v>1022851.1307256304</v>
      </c>
      <c r="ABW28" s="160">
        <f t="shared" ref="ABW28" si="372">ABU28*$C$28</f>
        <v>1033079.6420328867</v>
      </c>
      <c r="ABY28" s="160">
        <f t="shared" ref="ABY28" si="373">ABW28*$C$28</f>
        <v>1043410.4384532156</v>
      </c>
      <c r="ACA28" s="160">
        <f t="shared" ref="ACA28" si="374">ABY28*$C$28</f>
        <v>1053844.5428377478</v>
      </c>
      <c r="ACC28" s="160">
        <f t="shared" ref="ACC28" si="375">ACA28*$C$28</f>
        <v>1064382.9882661253</v>
      </c>
      <c r="ACE28" s="160">
        <f t="shared" ref="ACE28" si="376">ACC28*$C$28</f>
        <v>1075026.8181487867</v>
      </c>
      <c r="ACG28" s="160">
        <f t="shared" ref="ACG28" si="377">ACE28*$C$28</f>
        <v>1085777.0863302746</v>
      </c>
      <c r="ACI28" s="160">
        <f t="shared" ref="ACI28" si="378">ACG28*$C$28</f>
        <v>1096634.8571935773</v>
      </c>
      <c r="ACK28" s="160">
        <f t="shared" ref="ACK28" si="379">ACI28*$C$28</f>
        <v>1107601.205765513</v>
      </c>
      <c r="ACM28" s="160">
        <f t="shared" ref="ACM28" si="380">ACK28*$C$28</f>
        <v>1118677.217823168</v>
      </c>
      <c r="ACO28" s="160">
        <f t="shared" ref="ACO28" si="381">ACM28*$C$28</f>
        <v>1129863.9900013998</v>
      </c>
      <c r="ACQ28" s="160">
        <f t="shared" ref="ACQ28" si="382">ACO28*$C$28</f>
        <v>1141162.6299014138</v>
      </c>
      <c r="ACS28" s="160">
        <f t="shared" ref="ACS28" si="383">ACQ28*$C$28</f>
        <v>1152574.2562004279</v>
      </c>
      <c r="ACU28" s="160">
        <f t="shared" ref="ACU28" si="384">ACS28*$C$28</f>
        <v>1164099.9987624323</v>
      </c>
      <c r="ACW28" s="160">
        <f t="shared" ref="ACW28" si="385">ACU28*$C$28</f>
        <v>1175740.9987500566</v>
      </c>
      <c r="ACY28" s="160">
        <f t="shared" ref="ACY28" si="386">ACW28*$C$28</f>
        <v>1187498.4087375572</v>
      </c>
      <c r="ADA28" s="160">
        <f t="shared" ref="ADA28" si="387">ACY28*$C$28</f>
        <v>1199373.3928249329</v>
      </c>
      <c r="ADC28" s="160">
        <f t="shared" ref="ADC28" si="388">ADA28*$C$28</f>
        <v>1211367.1267531824</v>
      </c>
      <c r="ADE28" s="160">
        <f t="shared" ref="ADE28" si="389">ADC28*$C$28</f>
        <v>1223480.7980207142</v>
      </c>
      <c r="ADG28" s="160">
        <f t="shared" ref="ADG28" si="390">ADE28*$C$28</f>
        <v>1235715.6060009215</v>
      </c>
      <c r="ADI28" s="160">
        <f t="shared" ref="ADI28" si="391">ADG28*$C$28</f>
        <v>1248072.7620609307</v>
      </c>
      <c r="ADK28" s="160">
        <f t="shared" ref="ADK28" si="392">ADI28*$C$28</f>
        <v>1260553.4896815401</v>
      </c>
      <c r="ADM28" s="160">
        <f t="shared" ref="ADM28" si="393">ADK28*$C$28</f>
        <v>1273159.0245783555</v>
      </c>
      <c r="ADO28" s="160">
        <f t="shared" ref="ADO28" si="394">ADM28*$C$28</f>
        <v>1285890.614824139</v>
      </c>
      <c r="ADQ28" s="160">
        <f t="shared" ref="ADQ28" si="395">ADO28*$C$28</f>
        <v>1298749.5209723804</v>
      </c>
      <c r="ADS28" s="160">
        <f t="shared" ref="ADS28" si="396">ADQ28*$C$28</f>
        <v>1311737.0161821041</v>
      </c>
      <c r="ADU28" s="160">
        <f t="shared" ref="ADU28" si="397">ADS28*$C$28</f>
        <v>1324854.3863439253</v>
      </c>
      <c r="ADW28" s="160">
        <f t="shared" ref="ADW28" si="398">ADU28*$C$28</f>
        <v>1338102.9302073645</v>
      </c>
      <c r="ADY28" s="160">
        <f t="shared" ref="ADY28" si="399">ADW28*$C$28</f>
        <v>1351483.9595094381</v>
      </c>
      <c r="AEA28" s="160">
        <f t="shared" ref="AEA28" si="400">ADY28*$C$28</f>
        <v>1364998.7991045325</v>
      </c>
      <c r="AEC28" s="160">
        <f t="shared" ref="AEC28" si="401">AEA28*$C$28</f>
        <v>1378648.7870955777</v>
      </c>
      <c r="AEE28" s="160">
        <f t="shared" ref="AEE28" si="402">AEC28*$C$28</f>
        <v>1392435.2749665335</v>
      </c>
      <c r="AEG28" s="160">
        <f t="shared" ref="AEG28" si="403">AEE28*$C$28</f>
        <v>1406359.6277161988</v>
      </c>
      <c r="AEI28" s="160">
        <f t="shared" ref="AEI28" si="404">AEG28*$C$28</f>
        <v>1420423.2239933608</v>
      </c>
      <c r="AEK28" s="160">
        <f t="shared" ref="AEK28" si="405">AEI28*$C$28</f>
        <v>1434627.4562332944</v>
      </c>
      <c r="AEM28" s="160">
        <f t="shared" ref="AEM28" si="406">AEK28*$C$28</f>
        <v>1448973.7307956275</v>
      </c>
      <c r="AEO28" s="160">
        <f t="shared" ref="AEO28" si="407">AEM28*$C$28</f>
        <v>1463463.4681035837</v>
      </c>
      <c r="AEQ28" s="160">
        <f t="shared" ref="AEQ28" si="408">AEO28*$C$28</f>
        <v>1478098.1027846194</v>
      </c>
      <c r="AES28" s="160">
        <f t="shared" ref="AES28" si="409">AEQ28*$C$28</f>
        <v>1492879.0838124657</v>
      </c>
      <c r="AEU28" s="160">
        <f t="shared" ref="AEU28" si="410">AES28*$C$28</f>
        <v>1507807.8746505904</v>
      </c>
      <c r="AEW28" s="160">
        <f t="shared" ref="AEW28" si="411">AEU28*$C$28</f>
        <v>1522885.9533970964</v>
      </c>
      <c r="AEY28" s="160">
        <f t="shared" ref="AEY28" si="412">AEW28*$C$28</f>
        <v>1538114.8129310673</v>
      </c>
      <c r="AFA28" s="160">
        <f t="shared" ref="AFA28" si="413">AEY28*$C$28</f>
        <v>1553495.961060378</v>
      </c>
      <c r="AFC28" s="160">
        <f t="shared" ref="AFC28" si="414">AFA28*$C$28</f>
        <v>1569030.9206709818</v>
      </c>
      <c r="AFE28" s="160">
        <f t="shared" ref="AFE28" si="415">AFC28*$C$28</f>
        <v>1584721.2298776915</v>
      </c>
      <c r="AFG28" s="160">
        <f t="shared" ref="AFG28" si="416">AFE28*$C$28</f>
        <v>1600568.4421764684</v>
      </c>
      <c r="AFI28" s="160">
        <f t="shared" ref="AFI28" si="417">AFG28*$C$28</f>
        <v>1616574.1265982331</v>
      </c>
      <c r="AFK28" s="160">
        <f t="shared" ref="AFK28" si="418">AFI28*$C$28</f>
        <v>1632739.8678642155</v>
      </c>
      <c r="AFM28" s="160">
        <f t="shared" ref="AFM28" si="419">AFK28*$C$28</f>
        <v>1649067.2665428577</v>
      </c>
      <c r="AFO28" s="160">
        <f t="shared" ref="AFO28" si="420">AFM28*$C$28</f>
        <v>1665557.9392082863</v>
      </c>
      <c r="AFQ28" s="160">
        <f t="shared" ref="AFQ28" si="421">AFO28*$C$28</f>
        <v>1682213.5186003693</v>
      </c>
      <c r="AFS28" s="160">
        <f t="shared" ref="AFS28" si="422">AFQ28*$C$28</f>
        <v>1699035.6537863731</v>
      </c>
      <c r="AFU28" s="160">
        <f t="shared" ref="AFU28" si="423">AFS28*$C$28</f>
        <v>1716026.0103242369</v>
      </c>
      <c r="AFW28" s="160">
        <f t="shared" ref="AFW28" si="424">AFU28*$C$28</f>
        <v>1733186.2704274794</v>
      </c>
      <c r="AFY28" s="160">
        <f t="shared" ref="AFY28" si="425">AFW28*$C$28</f>
        <v>1750518.1331317541</v>
      </c>
      <c r="AGA28" s="160">
        <f t="shared" ref="AGA28" si="426">AFY28*$C$28</f>
        <v>1768023.3144630718</v>
      </c>
      <c r="AGC28" s="160">
        <f t="shared" ref="AGC28" si="427">AGA28*$C$28</f>
        <v>1785703.5476077024</v>
      </c>
      <c r="AGE28" s="160">
        <f t="shared" ref="AGE28" si="428">AGC28*$C$28</f>
        <v>1803560.5830837796</v>
      </c>
      <c r="AGG28" s="160">
        <f t="shared" ref="AGG28" si="429">AGE28*$C$28</f>
        <v>1821596.1889146173</v>
      </c>
      <c r="AGI28" s="160">
        <f t="shared" ref="AGI28" si="430">AGG28*$C$28</f>
        <v>1839812.1508037634</v>
      </c>
      <c r="AGK28" s="160">
        <f t="shared" ref="AGK28" si="431">AGI28*$C$28</f>
        <v>1858210.2723118011</v>
      </c>
      <c r="AGM28" s="160">
        <f t="shared" ref="AGM28" si="432">AGK28*$C$28</f>
        <v>1876792.375034919</v>
      </c>
      <c r="AGO28" s="160">
        <f t="shared" ref="AGO28" si="433">AGM28*$C$28</f>
        <v>1895560.2987852683</v>
      </c>
      <c r="AGQ28" s="160">
        <f t="shared" ref="AGQ28" si="434">AGO28*$C$28</f>
        <v>1914515.901773121</v>
      </c>
      <c r="AGS28" s="160">
        <f t="shared" ref="AGS28" si="435">AGQ28*$C$28</f>
        <v>1933661.0607908522</v>
      </c>
      <c r="AGU28" s="160">
        <f t="shared" ref="AGU28" si="436">AGS28*$C$28</f>
        <v>1952997.6713987608</v>
      </c>
      <c r="AGW28" s="160">
        <f t="shared" ref="AGW28" si="437">AGU28*$C$28</f>
        <v>1972527.6481127483</v>
      </c>
      <c r="AGY28" s="160">
        <f t="shared" ref="AGY28" si="438">AGW28*$C$28</f>
        <v>1992252.9245938759</v>
      </c>
      <c r="AHA28" s="160">
        <f t="shared" ref="AHA28" si="439">AGY28*$C$28</f>
        <v>2012175.4538398148</v>
      </c>
      <c r="AHC28" s="160">
        <f t="shared" ref="AHC28" si="440">AHA28*$C$28</f>
        <v>2032297.208378213</v>
      </c>
      <c r="AHE28" s="160">
        <f t="shared" ref="AHE28" si="441">AHC28*$C$28</f>
        <v>2052620.1804619951</v>
      </c>
      <c r="AHG28" s="160">
        <f t="shared" ref="AHG28" si="442">AHE28*$C$28</f>
        <v>2073146.3822666151</v>
      </c>
      <c r="AHI28" s="160">
        <f t="shared" ref="AHI28" si="443">AHG28*$C$28</f>
        <v>2093877.8460892811</v>
      </c>
      <c r="AHK28" s="160">
        <f t="shared" ref="AHK28" si="444">AHI28*$C$28</f>
        <v>2114816.624550174</v>
      </c>
      <c r="AHM28" s="160">
        <f t="shared" ref="AHM28" si="445">AHK28*$C$28</f>
        <v>2135964.7907956759</v>
      </c>
      <c r="AHO28" s="160">
        <f t="shared" ref="AHO28" si="446">AHM28*$C$28</f>
        <v>2157324.4387036329</v>
      </c>
      <c r="AHQ28" s="160">
        <f t="shared" ref="AHQ28" si="447">AHO28*$C$28</f>
        <v>2178897.6830906691</v>
      </c>
      <c r="AHS28" s="160">
        <f t="shared" ref="AHS28" si="448">AHQ28*$C$28</f>
        <v>2200686.6599215758</v>
      </c>
      <c r="AHU28" s="160">
        <f t="shared" ref="AHU28" si="449">AHS28*$C$28</f>
        <v>2222693.5265207915</v>
      </c>
      <c r="AHW28" s="160">
        <f t="shared" ref="AHW28" si="450">AHU28*$C$28</f>
        <v>2244920.4617859996</v>
      </c>
      <c r="AHY28" s="160">
        <f t="shared" ref="AHY28" si="451">AHW28*$C$28</f>
        <v>2267369.6664038594</v>
      </c>
      <c r="AIA28" s="160">
        <f t="shared" ref="AIA28" si="452">AHY28*$C$28</f>
        <v>2290043.363067898</v>
      </c>
      <c r="AIC28" s="160">
        <f t="shared" ref="AIC28" si="453">AIA28*$C$28</f>
        <v>2312943.7966985768</v>
      </c>
      <c r="AIE28" s="160">
        <f t="shared" ref="AIE28" si="454">AIC28*$C$28</f>
        <v>2336073.2346655624</v>
      </c>
      <c r="AIG28" s="160">
        <f t="shared" ref="AIG28" si="455">AIE28*$C$28</f>
        <v>2359433.9670122182</v>
      </c>
      <c r="AII28" s="160">
        <f t="shared" ref="AII28" si="456">AIG28*$C$28</f>
        <v>2383028.3066823403</v>
      </c>
      <c r="AIK28" s="160">
        <f t="shared" ref="AIK28" si="457">AII28*$C$28</f>
        <v>2406858.5897491639</v>
      </c>
      <c r="AIM28" s="160">
        <f t="shared" ref="AIM28" si="458">AIK28*$C$28</f>
        <v>2430927.1756466557</v>
      </c>
      <c r="AIO28" s="160">
        <f t="shared" ref="AIO28" si="459">AIM28*$C$28</f>
        <v>2455236.4474031222</v>
      </c>
      <c r="AIQ28" s="160">
        <f t="shared" ref="AIQ28" si="460">AIO28*$C$28</f>
        <v>2479788.8118771533</v>
      </c>
      <c r="AIS28" s="160">
        <f t="shared" ref="AIS28" si="461">AIQ28*$C$28</f>
        <v>2504586.6999959247</v>
      </c>
      <c r="AIU28" s="160">
        <f t="shared" ref="AIU28" si="462">AIS28*$C$28</f>
        <v>2529632.5669958838</v>
      </c>
      <c r="AIW28" s="160">
        <f t="shared" ref="AIW28" si="463">AIU28*$C$28</f>
        <v>2554928.8926658425</v>
      </c>
      <c r="AIY28" s="160">
        <f t="shared" ref="AIY28" si="464">AIW28*$C$28</f>
        <v>2580478.1815925008</v>
      </c>
      <c r="AJA28" s="160">
        <f t="shared" ref="AJA28" si="465">AIY28*$C$28</f>
        <v>2606282.9634084259</v>
      </c>
      <c r="AJC28" s="160">
        <f t="shared" ref="AJC28" si="466">AJA28*$C$28</f>
        <v>2632345.7930425103</v>
      </c>
      <c r="AJE28" s="160">
        <f t="shared" ref="AJE28" si="467">AJC28*$C$28</f>
        <v>2658669.2509729355</v>
      </c>
      <c r="AJG28" s="160">
        <f t="shared" ref="AJG28" si="468">AJE28*$C$28</f>
        <v>2685255.9434826649</v>
      </c>
      <c r="AJI28" s="160">
        <f t="shared" ref="AJI28" si="469">AJG28*$C$28</f>
        <v>2712108.5029174914</v>
      </c>
      <c r="AJK28" s="160">
        <f t="shared" ref="AJK28" si="470">AJI28*$C$28</f>
        <v>2739229.5879466664</v>
      </c>
      <c r="AJM28" s="160">
        <f t="shared" ref="AJM28" si="471">AJK28*$C$28</f>
        <v>2766621.8838261329</v>
      </c>
      <c r="AJO28" s="160">
        <f t="shared" ref="AJO28" si="472">AJM28*$C$28</f>
        <v>2794288.1026643943</v>
      </c>
      <c r="AJQ28" s="160">
        <f t="shared" ref="AJQ28" si="473">AJO28*$C$28</f>
        <v>2822230.9836910381</v>
      </c>
      <c r="AJS28" s="160">
        <f t="shared" ref="AJS28" si="474">AJQ28*$C$28</f>
        <v>2850453.2935279487</v>
      </c>
      <c r="AJU28" s="160">
        <f t="shared" ref="AJU28" si="475">AJS28*$C$28</f>
        <v>2878957.8264632281</v>
      </c>
      <c r="AJW28" s="160">
        <f t="shared" ref="AJW28" si="476">AJU28*$C$28</f>
        <v>2907747.4047278604</v>
      </c>
      <c r="AJY28" s="160">
        <f t="shared" ref="AJY28" si="477">AJW28*$C$28</f>
        <v>2936824.8787751389</v>
      </c>
      <c r="AKA28" s="160">
        <f t="shared" ref="AKA28" si="478">AJY28*$C$28</f>
        <v>2966193.1275628903</v>
      </c>
      <c r="AKC28" s="160">
        <f t="shared" ref="AKC28" si="479">AKA28*$C$28</f>
        <v>2995855.0588385193</v>
      </c>
      <c r="AKE28" s="160">
        <f t="shared" ref="AKE28" si="480">AKC28*$C$28</f>
        <v>3025813.6094269045</v>
      </c>
      <c r="AKG28" s="160">
        <f t="shared" ref="AKG28" si="481">AKE28*$C$28</f>
        <v>3056071.7455211733</v>
      </c>
      <c r="AKI28" s="160">
        <f t="shared" ref="AKI28" si="482">AKG28*$C$28</f>
        <v>3086632.4629763849</v>
      </c>
      <c r="AKK28" s="160">
        <f t="shared" ref="AKK28" si="483">AKI28*$C$28</f>
        <v>3117498.787606149</v>
      </c>
      <c r="AKM28" s="160">
        <f t="shared" ref="AKM28" si="484">AKK28*$C$28</f>
        <v>3148673.7754822103</v>
      </c>
      <c r="AKO28" s="160">
        <f t="shared" ref="AKO28" si="485">AKM28*$C$28</f>
        <v>3180160.5132370326</v>
      </c>
      <c r="AKQ28" s="160">
        <f t="shared" ref="AKQ28" si="486">AKO28*$C$28</f>
        <v>3211962.1183694028</v>
      </c>
      <c r="AKS28" s="160">
        <f t="shared" ref="AKS28" si="487">AKQ28*$C$28</f>
        <v>3244081.7395530967</v>
      </c>
      <c r="AKU28" s="160">
        <f t="shared" ref="AKU28" si="488">AKS28*$C$28</f>
        <v>3276522.5569486278</v>
      </c>
      <c r="AKW28" s="160">
        <f t="shared" ref="AKW28" si="489">AKU28*$C$28</f>
        <v>3309287.782518114</v>
      </c>
      <c r="AKY28" s="160">
        <f t="shared" ref="AKY28" si="490">AKW28*$C$28</f>
        <v>3342380.660343295</v>
      </c>
      <c r="ALA28" s="160">
        <f t="shared" ref="ALA28" si="491">AKY28*$C$28</f>
        <v>3375804.4669467281</v>
      </c>
      <c r="ALC28" s="160">
        <f t="shared" ref="ALC28" si="492">ALA28*$C$28</f>
        <v>3409562.5116161956</v>
      </c>
      <c r="ALE28" s="160">
        <f t="shared" ref="ALE28" si="493">ALC28*$C$28</f>
        <v>3443658.1367323576</v>
      </c>
      <c r="ALG28" s="160">
        <f t="shared" ref="ALG28" si="494">ALE28*$C$28</f>
        <v>3478094.7180996812</v>
      </c>
      <c r="ALI28" s="160">
        <f t="shared" ref="ALI28" si="495">ALG28*$C$28</f>
        <v>3512875.6652806778</v>
      </c>
      <c r="ALK28" s="160">
        <f t="shared" ref="ALK28" si="496">ALI28*$C$28</f>
        <v>3548004.4219334847</v>
      </c>
      <c r="ALM28" s="160">
        <f t="shared" ref="ALM28" si="497">ALK28*$C$28</f>
        <v>3583484.4661528198</v>
      </c>
      <c r="ALO28" s="160">
        <f t="shared" ref="ALO28" si="498">ALM28*$C$28</f>
        <v>3619319.310814348</v>
      </c>
      <c r="ALQ28" s="160">
        <f t="shared" ref="ALQ28" si="499">ALO28*$C$28</f>
        <v>3655512.5039224913</v>
      </c>
      <c r="ALS28" s="160">
        <f t="shared" ref="ALS28" si="500">ALQ28*$C$28</f>
        <v>3692067.6289617163</v>
      </c>
      <c r="ALU28" s="160">
        <f t="shared" ref="ALU28" si="501">ALS28*$C$28</f>
        <v>3728988.3052513334</v>
      </c>
      <c r="ALW28" s="160">
        <f t="shared" ref="ALW28" si="502">ALU28*$C$28</f>
        <v>3766278.1883038469</v>
      </c>
      <c r="ALY28" s="160">
        <f t="shared" ref="ALY28" si="503">ALW28*$C$28</f>
        <v>3803940.9701868854</v>
      </c>
      <c r="AMA28" s="160">
        <f t="shared" ref="AMA28" si="504">ALY28*$C$28</f>
        <v>3841980.3798887543</v>
      </c>
      <c r="AMC28" s="160">
        <f t="shared" ref="AMC28" si="505">AMA28*$C$28</f>
        <v>3880400.1836876418</v>
      </c>
      <c r="AME28" s="160">
        <f t="shared" ref="AME28" si="506">AMC28*$C$28</f>
        <v>3919204.1855245181</v>
      </c>
      <c r="AMG28" s="160">
        <f t="shared" ref="AMG28" si="507">AME28*$C$28</f>
        <v>3958396.2273797635</v>
      </c>
      <c r="AMI28" s="160">
        <f t="shared" ref="AMI28" si="508">AMG28*$C$28</f>
        <v>3997980.189653561</v>
      </c>
      <c r="AMK28" s="160">
        <f t="shared" ref="AMK28" si="509">AMI28*$C$28</f>
        <v>4037959.9915500968</v>
      </c>
      <c r="AMM28" s="160">
        <f t="shared" ref="AMM28" si="510">AMK28*$C$28</f>
        <v>4078339.591465598</v>
      </c>
      <c r="AMO28" s="160">
        <f t="shared" ref="AMO28" si="511">AMM28*$C$28</f>
        <v>4119122.9873802541</v>
      </c>
      <c r="AMQ28" s="160">
        <f t="shared" ref="AMQ28" si="512">AMO28*$C$28</f>
        <v>4160314.2172540566</v>
      </c>
      <c r="AMS28" s="160">
        <f t="shared" ref="AMS28" si="513">AMQ28*$C$28</f>
        <v>4201917.3594265971</v>
      </c>
      <c r="AMU28" s="160">
        <f t="shared" ref="AMU28" si="514">AMS28*$C$28</f>
        <v>4243936.5330208633</v>
      </c>
      <c r="AMW28" s="160">
        <f t="shared" ref="AMW28" si="515">AMU28*$C$28</f>
        <v>4286375.8983510723</v>
      </c>
      <c r="AMY28" s="160">
        <f t="shared" ref="AMY28" si="516">AMW28*$C$28</f>
        <v>4329239.6573345829</v>
      </c>
      <c r="ANA28" s="160">
        <f t="shared" ref="ANA28" si="517">AMY28*$C$28</f>
        <v>4372532.053907929</v>
      </c>
      <c r="ANC28" s="160">
        <f t="shared" ref="ANC28" si="518">ANA28*$C$28</f>
        <v>4416257.3744470086</v>
      </c>
      <c r="ANE28" s="160">
        <f t="shared" ref="ANE28" si="519">ANC28*$C$28</f>
        <v>4460419.9481914788</v>
      </c>
      <c r="ANG28" s="160">
        <f t="shared" ref="ANG28" si="520">ANE28*$C$28</f>
        <v>4505024.1476733936</v>
      </c>
      <c r="ANI28" s="160">
        <f t="shared" ref="ANI28" si="521">ANG28*$C$28</f>
        <v>4550074.3891501278</v>
      </c>
      <c r="ANK28" s="160">
        <f t="shared" ref="ANK28" si="522">ANI28*$C$28</f>
        <v>4595575.1330416286</v>
      </c>
      <c r="ANM28" s="160">
        <f t="shared" ref="ANM28" si="523">ANK28*$C$28</f>
        <v>4641530.8843720453</v>
      </c>
      <c r="ANO28" s="160">
        <f t="shared" ref="ANO28" si="524">ANM28*$C$28</f>
        <v>4687946.193215766</v>
      </c>
      <c r="ANQ28" s="160">
        <f t="shared" ref="ANQ28" si="525">ANO28*$C$28</f>
        <v>4734825.6551479241</v>
      </c>
      <c r="ANS28" s="160">
        <f t="shared" ref="ANS28" si="526">ANQ28*$C$28</f>
        <v>4782173.9116994031</v>
      </c>
      <c r="ANU28" s="160">
        <f t="shared" ref="ANU28" si="527">ANS28*$C$28</f>
        <v>4829995.6508163968</v>
      </c>
      <c r="ANW28" s="160">
        <f t="shared" ref="ANW28" si="528">ANU28*$C$28</f>
        <v>4878295.6073245611</v>
      </c>
      <c r="ANY28" s="160">
        <f t="shared" ref="ANY28" si="529">ANW28*$C$28</f>
        <v>4927078.5633978071</v>
      </c>
      <c r="AOA28" s="160">
        <f t="shared" ref="AOA28" si="530">ANY28*$C$28</f>
        <v>4976349.3490317855</v>
      </c>
      <c r="AOC28" s="160">
        <f t="shared" ref="AOC28" si="531">AOA28*$C$28</f>
        <v>5026112.8425221033</v>
      </c>
      <c r="AOE28" s="160">
        <f t="shared" ref="AOE28" si="532">AOC28*$C$28</f>
        <v>5076373.9709473243</v>
      </c>
      <c r="AOG28" s="160">
        <f t="shared" ref="AOG28" si="533">AOE28*$C$28</f>
        <v>5127137.7106567975</v>
      </c>
      <c r="AOI28" s="160">
        <f t="shared" ref="AOI28" si="534">AOG28*$C$28</f>
        <v>5178409.0877633654</v>
      </c>
      <c r="AOK28" s="160">
        <f t="shared" ref="AOK28" si="535">AOI28*$C$28</f>
        <v>5230193.1786409989</v>
      </c>
      <c r="AOM28" s="160">
        <f t="shared" ref="AOM28" si="536">AOK28*$C$28</f>
        <v>5282495.1104274085</v>
      </c>
      <c r="AOO28" s="160">
        <f t="shared" ref="AOO28" si="537">AOM28*$C$28</f>
        <v>5335320.0615316825</v>
      </c>
      <c r="AOQ28" s="160">
        <f t="shared" ref="AOQ28" si="538">AOO28*$C$28</f>
        <v>5388673.2621469991</v>
      </c>
      <c r="AOS28" s="160">
        <f t="shared" ref="AOS28" si="539">AOQ28*$C$28</f>
        <v>5442559.9947684696</v>
      </c>
      <c r="AOU28" s="160">
        <f t="shared" ref="AOU28" si="540">AOS28*$C$28</f>
        <v>5496985.594716154</v>
      </c>
      <c r="AOW28" s="160">
        <f t="shared" ref="AOW28" si="541">AOU28*$C$28</f>
        <v>5551955.4506633161</v>
      </c>
      <c r="AOY28" s="160">
        <f t="shared" ref="AOY28" si="542">AOW28*$C$28</f>
        <v>5607475.0051699495</v>
      </c>
      <c r="APA28" s="160">
        <f t="shared" ref="APA28" si="543">AOY28*$C$28</f>
        <v>5663549.7552216491</v>
      </c>
      <c r="APC28" s="160">
        <f t="shared" ref="APC28" si="544">APA28*$C$28</f>
        <v>5720185.2527738661</v>
      </c>
      <c r="APE28" s="160">
        <f t="shared" ref="APE28" si="545">APC28*$C$28</f>
        <v>5777387.1053016046</v>
      </c>
      <c r="APG28" s="160">
        <f t="shared" ref="APG28" si="546">APE28*$C$28</f>
        <v>5835160.9763546204</v>
      </c>
      <c r="API28" s="160">
        <f t="shared" ref="API28" si="547">APG28*$C$28</f>
        <v>5893512.5861181663</v>
      </c>
      <c r="APK28" s="160">
        <f t="shared" ref="APK28" si="548">API28*$C$28</f>
        <v>5952447.7119793482</v>
      </c>
      <c r="APM28" s="160">
        <f t="shared" ref="APM28" si="549">APK28*$C$28</f>
        <v>6011972.1890991414</v>
      </c>
      <c r="APO28" s="160">
        <f t="shared" ref="APO28" si="550">APM28*$C$28</f>
        <v>6072091.910990133</v>
      </c>
      <c r="APQ28" s="160">
        <f t="shared" ref="APQ28" si="551">APO28*$C$28</f>
        <v>6132812.8301000344</v>
      </c>
      <c r="APS28" s="160">
        <f t="shared" ref="APS28" si="552">APQ28*$C$28</f>
        <v>6194140.9584010346</v>
      </c>
      <c r="APU28" s="160">
        <f t="shared" ref="APU28" si="553">APS28*$C$28</f>
        <v>6256082.3679850446</v>
      </c>
      <c r="APW28" s="160">
        <f t="shared" ref="APW28" si="554">APU28*$C$28</f>
        <v>6318643.191664895</v>
      </c>
      <c r="APY28" s="160">
        <f t="shared" ref="APY28" si="555">APW28*$C$28</f>
        <v>6381829.6235815445</v>
      </c>
      <c r="AQA28" s="160">
        <f t="shared" ref="AQA28" si="556">APY28*$C$28</f>
        <v>6445647.9198173601</v>
      </c>
      <c r="AQC28" s="160">
        <f t="shared" ref="AQC28" si="557">AQA28*$C$28</f>
        <v>6510104.3990155337</v>
      </c>
      <c r="AQE28" s="160">
        <f t="shared" ref="AQE28" si="558">AQC28*$C$28</f>
        <v>6575205.4430056894</v>
      </c>
      <c r="AQG28" s="160">
        <f t="shared" ref="AQG28" si="559">AQE28*$C$28</f>
        <v>6640957.4974357467</v>
      </c>
      <c r="AQI28" s="160">
        <f t="shared" ref="AQI28" si="560">AQG28*$C$28</f>
        <v>6707367.0724101039</v>
      </c>
      <c r="AQK28" s="160">
        <f t="shared" ref="AQK28" si="561">AQI28*$C$28</f>
        <v>6774440.7431342052</v>
      </c>
      <c r="AQM28" s="160">
        <f t="shared" ref="AQM28" si="562">AQK28*$C$28</f>
        <v>6842185.1505655469</v>
      </c>
      <c r="AQO28" s="160">
        <f t="shared" ref="AQO28" si="563">AQM28*$C$28</f>
        <v>6910607.0020712027</v>
      </c>
      <c r="AQQ28" s="160">
        <f t="shared" ref="AQQ28" si="564">AQO28*$C$28</f>
        <v>6979713.0720919147</v>
      </c>
      <c r="AQS28" s="160">
        <f t="shared" ref="AQS28" si="565">AQQ28*$C$28</f>
        <v>7049510.2028128337</v>
      </c>
      <c r="AQU28" s="160">
        <f t="shared" ref="AQU28" si="566">AQS28*$C$28</f>
        <v>7120005.3048409624</v>
      </c>
      <c r="AQW28" s="160">
        <f t="shared" ref="AQW28" si="567">AQU28*$C$28</f>
        <v>7191205.3578893719</v>
      </c>
      <c r="AQY28" s="160">
        <f t="shared" ref="AQY28" si="568">AQW28*$C$28</f>
        <v>7263117.4114682656</v>
      </c>
      <c r="ARA28" s="160">
        <f t="shared" ref="ARA28" si="569">AQY28*$C$28</f>
        <v>7335748.5855829483</v>
      </c>
      <c r="ARC28" s="160">
        <f t="shared" ref="ARC28" si="570">ARA28*$C$28</f>
        <v>7409106.0714387782</v>
      </c>
      <c r="ARE28" s="160">
        <f t="shared" ref="ARE28" si="571">ARC28*$C$28</f>
        <v>7483197.1321531665</v>
      </c>
      <c r="ARG28" s="160">
        <f t="shared" ref="ARG28" si="572">ARE28*$C$28</f>
        <v>7558029.103474698</v>
      </c>
      <c r="ARI28" s="160">
        <f t="shared" ref="ARI28" si="573">ARG28*$C$28</f>
        <v>7633609.3945094449</v>
      </c>
      <c r="ARK28" s="160">
        <f t="shared" ref="ARK28" si="574">ARI28*$C$28</f>
        <v>7709945.4884545393</v>
      </c>
      <c r="ARM28" s="160">
        <f t="shared" ref="ARM28" si="575">ARK28*$C$28</f>
        <v>7787044.9433390852</v>
      </c>
      <c r="ARO28" s="160">
        <f t="shared" ref="ARO28" si="576">ARM28*$C$28</f>
        <v>7864915.3927724762</v>
      </c>
      <c r="ARQ28" s="160">
        <f t="shared" ref="ARQ28" si="577">ARO28*$C$28</f>
        <v>7943564.546700201</v>
      </c>
      <c r="ARS28" s="160">
        <f t="shared" ref="ARS28" si="578">ARQ28*$C$28</f>
        <v>8023000.1921672029</v>
      </c>
      <c r="ARU28" s="160">
        <f t="shared" ref="ARU28" si="579">ARS28*$C$28</f>
        <v>8103230.1940888753</v>
      </c>
      <c r="ARW28" s="160">
        <f t="shared" ref="ARW28" si="580">ARU28*$C$28</f>
        <v>8184262.4960297644</v>
      </c>
      <c r="ARY28" s="160">
        <f t="shared" ref="ARY28" si="581">ARW28*$C$28</f>
        <v>8266105.1209900621</v>
      </c>
      <c r="ASA28" s="160">
        <f t="shared" ref="ASA28" si="582">ARY28*$C$28</f>
        <v>8348766.1721999627</v>
      </c>
      <c r="ASC28" s="160">
        <f t="shared" ref="ASC28" si="583">ASA28*$C$28</f>
        <v>8432253.8339219615</v>
      </c>
      <c r="ASE28" s="160">
        <f t="shared" ref="ASE28" si="584">ASC28*$C$28</f>
        <v>8516576.3722611815</v>
      </c>
      <c r="ASG28" s="160">
        <f t="shared" ref="ASG28" si="585">ASE28*$C$28</f>
        <v>8601742.1359837931</v>
      </c>
      <c r="ASI28" s="160">
        <f t="shared" ref="ASI28" si="586">ASG28*$C$28</f>
        <v>8687759.557343632</v>
      </c>
      <c r="ASK28" s="160">
        <f t="shared" ref="ASK28" si="587">ASI28*$C$28</f>
        <v>8774637.1529170685</v>
      </c>
      <c r="ASM28" s="160">
        <f t="shared" ref="ASM28" si="588">ASK28*$C$28</f>
        <v>8862383.5244462397</v>
      </c>
      <c r="ASO28" s="160">
        <f t="shared" ref="ASO28" si="589">ASM28*$C$28</f>
        <v>8951007.3596907016</v>
      </c>
      <c r="ASQ28" s="160">
        <f t="shared" ref="ASQ28" si="590">ASO28*$C$28</f>
        <v>9040517.4332876094</v>
      </c>
      <c r="ASS28" s="160">
        <f t="shared" ref="ASS28" si="591">ASQ28*$C$28</f>
        <v>9130922.6076204851</v>
      </c>
      <c r="ASU28" s="160">
        <f t="shared" ref="ASU28" si="592">ASS28*$C$28</f>
        <v>9222231.8336966895</v>
      </c>
      <c r="ASW28" s="160">
        <f t="shared" ref="ASW28" si="593">ASU28*$C$28</f>
        <v>9314454.1520336568</v>
      </c>
      <c r="ASY28" s="160">
        <f t="shared" ref="ASY28" si="594">ASW28*$C$28</f>
        <v>9407598.6935539935</v>
      </c>
      <c r="ATA28" s="160">
        <f t="shared" ref="ATA28" si="595">ASY28*$C$28</f>
        <v>9501674.6804895326</v>
      </c>
      <c r="ATC28" s="160">
        <f t="shared" ref="ATC28" si="596">ATA28*$C$28</f>
        <v>9596691.4272944275</v>
      </c>
      <c r="ATE28" s="160">
        <f t="shared" ref="ATE28" si="597">ATC28*$C$28</f>
        <v>9692658.341567371</v>
      </c>
      <c r="ATG28" s="160">
        <f t="shared" ref="ATG28" si="598">ATE28*$C$28</f>
        <v>9789584.9249830451</v>
      </c>
      <c r="ATI28" s="160">
        <f t="shared" ref="ATI28" si="599">ATG28*$C$28</f>
        <v>9887480.7742328756</v>
      </c>
      <c r="ATK28" s="160">
        <f t="shared" ref="ATK28" si="600">ATI28*$C$28</f>
        <v>9986355.5819752049</v>
      </c>
      <c r="ATM28" s="160">
        <f t="shared" ref="ATM28" si="601">ATK28*$C$28</f>
        <v>10086219.137794957</v>
      </c>
      <c r="ATO28" s="160">
        <f t="shared" ref="ATO28" si="602">ATM28*$C$28</f>
        <v>10187081.329172906</v>
      </c>
      <c r="ATQ28" s="160">
        <f t="shared" ref="ATQ28" si="603">ATO28*$C$28</f>
        <v>10288952.142464634</v>
      </c>
      <c r="ATS28" s="160">
        <f t="shared" ref="ATS28" si="604">ATQ28*$C$28</f>
        <v>10391841.66388928</v>
      </c>
      <c r="ATU28" s="160">
        <f t="shared" ref="ATU28" si="605">ATS28*$C$28</f>
        <v>10495760.080528172</v>
      </c>
      <c r="ATW28" s="160">
        <f t="shared" ref="ATW28" si="606">ATU28*$C$28</f>
        <v>10600717.681333454</v>
      </c>
      <c r="ATY28" s="160">
        <f t="shared" ref="ATY28" si="607">ATW28*$C$28</f>
        <v>10706724.858146789</v>
      </c>
      <c r="AUA28" s="160">
        <f t="shared" ref="AUA28" si="608">ATY28*$C$28</f>
        <v>10813792.106728256</v>
      </c>
      <c r="AUC28" s="160">
        <f t="shared" ref="AUC28" si="609">AUA28*$C$28</f>
        <v>10921930.027795538</v>
      </c>
      <c r="AUE28" s="160">
        <f t="shared" ref="AUE28" si="610">AUC28*$C$28</f>
        <v>11031149.328073494</v>
      </c>
      <c r="AUG28" s="160">
        <f t="shared" ref="AUG28" si="611">AUE28*$C$28</f>
        <v>11141460.821354229</v>
      </c>
      <c r="AUI28" s="160">
        <f t="shared" ref="AUI28" si="612">AUG28*$C$28</f>
        <v>11252875.429567771</v>
      </c>
      <c r="AUK28" s="160">
        <f t="shared" ref="AUK28" si="613">AUI28*$C$28</f>
        <v>11365404.183863448</v>
      </c>
      <c r="AUM28" s="160">
        <f t="shared" ref="AUM28" si="614">AUK28*$C$28</f>
        <v>11479058.225702083</v>
      </c>
      <c r="AUO28" s="160">
        <f t="shared" ref="AUO28" si="615">AUM28*$C$28</f>
        <v>11593848.807959104</v>
      </c>
      <c r="AUQ28" s="160">
        <f t="shared" ref="AUQ28" si="616">AUO28*$C$28</f>
        <v>11709787.296038695</v>
      </c>
      <c r="AUS28" s="160">
        <f t="shared" ref="AUS28" si="617">AUQ28*$C$28</f>
        <v>11826885.168999081</v>
      </c>
      <c r="AUU28" s="160">
        <f t="shared" ref="AUU28" si="618">AUS28*$C$28</f>
        <v>11945154.020689072</v>
      </c>
      <c r="AUW28" s="160">
        <f t="shared" ref="AUW28" si="619">AUU28*$C$28</f>
        <v>12064605.560895963</v>
      </c>
      <c r="AUY28" s="160">
        <f t="shared" ref="AUY28" si="620">AUW28*$C$28</f>
        <v>12185251.616504923</v>
      </c>
      <c r="AVA28" s="160">
        <f t="shared" ref="AVA28" si="621">AUY28*$C$28</f>
        <v>12307104.132669972</v>
      </c>
      <c r="AVC28" s="160">
        <f t="shared" ref="AVC28" si="622">AVA28*$C$28</f>
        <v>12430175.173996672</v>
      </c>
      <c r="AVE28" s="160">
        <f t="shared" ref="AVE28" si="623">AVC28*$C$28</f>
        <v>12554476.92573664</v>
      </c>
      <c r="AVG28" s="160">
        <f t="shared" ref="AVG28" si="624">AVE28*$C$28</f>
        <v>12680021.694994006</v>
      </c>
      <c r="AVI28" s="160">
        <f t="shared" ref="AVI28" si="625">AVG28*$C$28</f>
        <v>12806821.911943946</v>
      </c>
      <c r="AVK28" s="160">
        <f t="shared" ref="AVK28" si="626">AVI28*$C$28</f>
        <v>12934890.131063385</v>
      </c>
      <c r="AVM28" s="160">
        <f t="shared" ref="AVM28" si="627">AVK28*$C$28</f>
        <v>13064239.032374019</v>
      </c>
      <c r="AVO28" s="160">
        <f t="shared" ref="AVO28" si="628">AVM28*$C$28</f>
        <v>13194881.422697758</v>
      </c>
      <c r="AVQ28" s="160">
        <f t="shared" ref="AVQ28" si="629">AVO28*$C$28</f>
        <v>13326830.236924736</v>
      </c>
      <c r="AVS28" s="160">
        <f t="shared" ref="AVS28" si="630">AVQ28*$C$28</f>
        <v>13460098.539293984</v>
      </c>
      <c r="AVU28" s="160">
        <f t="shared" ref="AVU28" si="631">AVS28*$C$28</f>
        <v>13594699.524686923</v>
      </c>
      <c r="AVW28" s="160">
        <f t="shared" ref="AVW28" si="632">AVU28*$C$28</f>
        <v>13730646.519933792</v>
      </c>
      <c r="AVY28" s="160">
        <f t="shared" ref="AVY28" si="633">AVW28*$C$28</f>
        <v>13867952.98513313</v>
      </c>
      <c r="AWA28" s="160">
        <f t="shared" ref="AWA28" si="634">AVY28*$C$28</f>
        <v>14006632.514984462</v>
      </c>
      <c r="AWC28" s="160">
        <f t="shared" ref="AWC28" si="635">AWA28*$C$28</f>
        <v>14146698.840134308</v>
      </c>
      <c r="AWE28" s="160">
        <f t="shared" ref="AWE28" si="636">AWC28*$C$28</f>
        <v>14288165.828535652</v>
      </c>
      <c r="AWG28" s="160">
        <f t="shared" ref="AWG28" si="637">AWE28*$C$28</f>
        <v>14431047.486821009</v>
      </c>
      <c r="AWI28" s="160">
        <f t="shared" ref="AWI28" si="638">AWG28*$C$28</f>
        <v>14575357.961689219</v>
      </c>
      <c r="AWK28" s="160">
        <f t="shared" ref="AWK28" si="639">AWI28*$C$28</f>
        <v>14721111.541306112</v>
      </c>
      <c r="AWM28" s="160">
        <f t="shared" ref="AWM28" si="640">AWK28*$C$28</f>
        <v>14868322.656719172</v>
      </c>
      <c r="AWO28" s="160">
        <f t="shared" ref="AWO28" si="641">AWM28*$C$28</f>
        <v>15017005.883286364</v>
      </c>
      <c r="AWQ28" s="160">
        <f t="shared" ref="AWQ28" si="642">AWO28*$C$28</f>
        <v>15167175.942119228</v>
      </c>
      <c r="AWS28" s="160">
        <f t="shared" ref="AWS28" si="643">AWQ28*$C$28</f>
        <v>15318847.70154042</v>
      </c>
      <c r="AWU28" s="160">
        <f t="shared" ref="AWU28" si="644">AWS28*$C$28</f>
        <v>15472036.178555824</v>
      </c>
      <c r="AWW28" s="160">
        <f t="shared" ref="AWW28" si="645">AWU28*$C$28</f>
        <v>15626756.540341383</v>
      </c>
      <c r="AWY28" s="160">
        <f t="shared" ref="AWY28" si="646">AWW28*$C$28</f>
        <v>15783024.105744798</v>
      </c>
      <c r="AXA28" s="160">
        <f t="shared" ref="AXA28" si="647">AWY28*$C$28</f>
        <v>15940854.346802246</v>
      </c>
      <c r="AXC28" s="160">
        <f t="shared" ref="AXC28" si="648">AXA28*$C$28</f>
        <v>16100262.890270269</v>
      </c>
      <c r="AXE28" s="160">
        <f t="shared" ref="AXE28" si="649">AXC28*$C$28</f>
        <v>16261265.519172972</v>
      </c>
      <c r="AXG28" s="160">
        <f t="shared" ref="AXG28" si="650">AXE28*$C$28</f>
        <v>16423878.174364703</v>
      </c>
      <c r="AXI28" s="160">
        <f t="shared" ref="AXI28" si="651">AXG28*$C$28</f>
        <v>16588116.95610835</v>
      </c>
      <c r="AXK28" s="160">
        <f t="shared" ref="AXK28" si="652">AXI28*$C$28</f>
        <v>16753998.125669435</v>
      </c>
      <c r="AXM28" s="160">
        <f t="shared" ref="AXM28" si="653">AXK28*$C$28</f>
        <v>16921538.106926128</v>
      </c>
      <c r="AXO28" s="160">
        <f t="shared" ref="AXO28" si="654">AXM28*$C$28</f>
        <v>17090753.48799539</v>
      </c>
      <c r="AXQ28" s="160">
        <f t="shared" ref="AXQ28" si="655">AXO28*$C$28</f>
        <v>17261661.022875343</v>
      </c>
      <c r="AXS28" s="160">
        <f t="shared" ref="AXS28" si="656">AXQ28*$C$28</f>
        <v>17434277.633104097</v>
      </c>
      <c r="AXU28" s="160">
        <f t="shared" ref="AXU28" si="657">AXS28*$C$28</f>
        <v>17608620.409435138</v>
      </c>
      <c r="AXW28" s="160">
        <f t="shared" ref="AXW28" si="658">AXU28*$C$28</f>
        <v>17784706.613529488</v>
      </c>
      <c r="AXY28" s="160">
        <f t="shared" ref="AXY28" si="659">AXW28*$C$28</f>
        <v>17962553.679664783</v>
      </c>
      <c r="AYA28" s="160">
        <f t="shared" ref="AYA28" si="660">AXY28*$C$28</f>
        <v>18142179.216461431</v>
      </c>
      <c r="AYC28" s="160">
        <f t="shared" ref="AYC28" si="661">AYA28*$C$28</f>
        <v>18323601.008626048</v>
      </c>
      <c r="AYE28" s="160">
        <f t="shared" ref="AYE28" si="662">AYC28*$C$28</f>
        <v>18506837.018712308</v>
      </c>
      <c r="AYG28" s="160">
        <f t="shared" ref="AYG28" si="663">AYE28*$C$28</f>
        <v>18691905.388899431</v>
      </c>
      <c r="AYI28" s="160">
        <f t="shared" ref="AYI28" si="664">AYG28*$C$28</f>
        <v>18878824.442788426</v>
      </c>
      <c r="AYK28" s="160">
        <f t="shared" ref="AYK28" si="665">AYI28*$C$28</f>
        <v>19067612.687216312</v>
      </c>
      <c r="AYM28" s="160">
        <f t="shared" ref="AYM28" si="666">AYK28*$C$28</f>
        <v>19258288.814088475</v>
      </c>
      <c r="AYO28" s="160">
        <f t="shared" ref="AYO28" si="667">AYM28*$C$28</f>
        <v>19450871.702229358</v>
      </c>
      <c r="AYQ28" s="160">
        <f t="shared" ref="AYQ28" si="668">AYO28*$C$28</f>
        <v>19645380.419251651</v>
      </c>
      <c r="AYS28" s="160">
        <f t="shared" ref="AYS28" si="669">AYQ28*$C$28</f>
        <v>19841834.223444168</v>
      </c>
      <c r="AYU28" s="160">
        <f t="shared" ref="AYU28" si="670">AYS28*$C$28</f>
        <v>20040252.565678608</v>
      </c>
      <c r="AYW28" s="160">
        <f t="shared" ref="AYW28" si="671">AYU28*$C$28</f>
        <v>20240655.091335393</v>
      </c>
      <c r="AYY28" s="160">
        <f t="shared" ref="AYY28" si="672">AYW28*$C$28</f>
        <v>20443061.642248746</v>
      </c>
      <c r="AZA28" s="160">
        <f t="shared" ref="AZA28" si="673">AYY28*$C$28</f>
        <v>20647492.258671235</v>
      </c>
      <c r="AZC28" s="160">
        <f t="shared" ref="AZC28" si="674">AZA28*$C$28</f>
        <v>20853967.181257948</v>
      </c>
      <c r="AZE28" s="160">
        <f t="shared" ref="AZE28" si="675">AZC28*$C$28</f>
        <v>21062506.853070527</v>
      </c>
      <c r="AZG28" s="160">
        <f t="shared" ref="AZG28" si="676">AZE28*$C$28</f>
        <v>21273131.921601232</v>
      </c>
      <c r="AZI28" s="160">
        <f t="shared" ref="AZI28" si="677">AZG28*$C$28</f>
        <v>21485863.240817245</v>
      </c>
      <c r="AZK28" s="160">
        <f t="shared" ref="AZK28" si="678">AZI28*$C$28</f>
        <v>21700721.873225417</v>
      </c>
      <c r="AZM28" s="160">
        <f t="shared" ref="AZM28" si="679">AZK28*$C$28</f>
        <v>21917729.09195767</v>
      </c>
      <c r="AZO28" s="160">
        <f t="shared" ref="AZO28" si="680">AZM28*$C$28</f>
        <v>22136906.382877246</v>
      </c>
      <c r="AZQ28" s="160">
        <f t="shared" ref="AZQ28" si="681">AZO28*$C$28</f>
        <v>22358275.446706019</v>
      </c>
      <c r="AZS28" s="160">
        <f t="shared" ref="AZS28" si="682">AZQ28*$C$28</f>
        <v>22581858.201173078</v>
      </c>
      <c r="AZU28" s="160">
        <f t="shared" ref="AZU28" si="683">AZS28*$C$28</f>
        <v>22807676.783184808</v>
      </c>
      <c r="AZW28" s="160">
        <f t="shared" ref="AZW28" si="684">AZU28*$C$28</f>
        <v>23035753.551016655</v>
      </c>
      <c r="AZY28" s="160">
        <f t="shared" ref="AZY28" si="685">AZW28*$C$28</f>
        <v>23266111.086526822</v>
      </c>
      <c r="BAA28" s="160">
        <f t="shared" ref="BAA28" si="686">AZY28*$C$28</f>
        <v>23498772.197392091</v>
      </c>
      <c r="BAC28" s="160">
        <f t="shared" ref="BAC28" si="687">BAA28*$C$28</f>
        <v>23733759.919366013</v>
      </c>
      <c r="BAE28" s="160">
        <f t="shared" ref="BAE28" si="688">BAC28*$C$28</f>
        <v>23971097.518559672</v>
      </c>
      <c r="BAG28" s="160">
        <f t="shared" ref="BAG28" si="689">BAE28*$C$28</f>
        <v>24210808.493745267</v>
      </c>
      <c r="BAI28" s="160">
        <f t="shared" ref="BAI28" si="690">BAG28*$C$28</f>
        <v>24452916.578682721</v>
      </c>
      <c r="BAK28" s="160">
        <f t="shared" ref="BAK28" si="691">BAI28*$C$28</f>
        <v>24697445.74446955</v>
      </c>
      <c r="BAM28" s="160">
        <f t="shared" ref="BAM28" si="692">BAK28*$C$28</f>
        <v>24944420.201914243</v>
      </c>
      <c r="BAO28" s="160">
        <f t="shared" ref="BAO28" si="693">BAM28*$C$28</f>
        <v>25193864.403933387</v>
      </c>
      <c r="BAQ28" s="160">
        <f t="shared" ref="BAQ28" si="694">BAO28*$C$28</f>
        <v>25445803.04797272</v>
      </c>
      <c r="BAS28" s="160">
        <f t="shared" ref="BAS28" si="695">BAQ28*$C$28</f>
        <v>25700261.078452449</v>
      </c>
      <c r="BAU28" s="160">
        <f t="shared" ref="BAU28" si="696">BAS28*$C$28</f>
        <v>25957263.689236972</v>
      </c>
      <c r="BAW28" s="160">
        <f t="shared" ref="BAW28" si="697">BAU28*$C$28</f>
        <v>26216836.326129343</v>
      </c>
      <c r="BAY28" s="160">
        <f t="shared" ref="BAY28" si="698">BAW28*$C$28</f>
        <v>26479004.689390637</v>
      </c>
      <c r="BBA28" s="160">
        <f t="shared" ref="BBA28" si="699">BAY28*$C$28</f>
        <v>26743794.736284543</v>
      </c>
      <c r="BBC28" s="160">
        <f t="shared" ref="BBC28" si="700">BBA28*$C$28</f>
        <v>27011232.683647387</v>
      </c>
      <c r="BBE28" s="160">
        <f t="shared" ref="BBE28" si="701">BBC28*$C$28</f>
        <v>27281345.010483861</v>
      </c>
      <c r="BBG28" s="160">
        <f t="shared" ref="BBG28" si="702">BBE28*$C$28</f>
        <v>27554158.460588701</v>
      </c>
      <c r="BBI28" s="160">
        <f t="shared" ref="BBI28" si="703">BBG28*$C$28</f>
        <v>27829700.045194589</v>
      </c>
      <c r="BBK28" s="160">
        <f t="shared" ref="BBK28" si="704">BBI28*$C$28</f>
        <v>28107997.045646533</v>
      </c>
      <c r="BBM28" s="160">
        <f t="shared" ref="BBM28" si="705">BBK28*$C$28</f>
        <v>28389077.016102999</v>
      </c>
      <c r="BBO28" s="160">
        <f t="shared" ref="BBO28" si="706">BBM28*$C$28</f>
        <v>28672967.786264028</v>
      </c>
      <c r="BBQ28" s="160">
        <f t="shared" ref="BBQ28" si="707">BBO28*$C$28</f>
        <v>28959697.464126669</v>
      </c>
      <c r="BBS28" s="160">
        <f t="shared" ref="BBS28" si="708">BBQ28*$C$28</f>
        <v>29249294.438767936</v>
      </c>
      <c r="BBU28" s="160">
        <f t="shared" ref="BBU28" si="709">BBS28*$C$28</f>
        <v>29541787.383155614</v>
      </c>
      <c r="BBW28" s="160">
        <f t="shared" ref="BBW28" si="710">BBU28*$C$28</f>
        <v>29837205.256987169</v>
      </c>
      <c r="BBY28" s="160">
        <f t="shared" ref="BBY28" si="711">BBW28*$C$28</f>
        <v>30135577.309557043</v>
      </c>
      <c r="BCA28" s="160">
        <f t="shared" ref="BCA28" si="712">BBY28*$C$28</f>
        <v>30436933.082652614</v>
      </c>
      <c r="BCC28" s="160">
        <f t="shared" ref="BCC28" si="713">BCA28*$C$28</f>
        <v>30741302.413479138</v>
      </c>
      <c r="BCE28" s="160">
        <f t="shared" ref="BCE28" si="714">BCC28*$C$28</f>
        <v>31048715.437613931</v>
      </c>
      <c r="BCG28" s="160">
        <f t="shared" ref="BCG28" si="715">BCE28*$C$28</f>
        <v>31359202.591990069</v>
      </c>
      <c r="BCI28" s="160">
        <f t="shared" ref="BCI28" si="716">BCG28*$C$28</f>
        <v>31672794.617909968</v>
      </c>
      <c r="BCK28" s="160">
        <f t="shared" ref="BCK28" si="717">BCI28*$C$28</f>
        <v>31989522.564089067</v>
      </c>
      <c r="BCM28" s="160">
        <f t="shared" ref="BCM28" si="718">BCK28*$C$28</f>
        <v>32309417.789729957</v>
      </c>
      <c r="BCO28" s="160">
        <f t="shared" ref="BCO28" si="719">BCM28*$C$28</f>
        <v>32632511.967627257</v>
      </c>
      <c r="BCQ28" s="160">
        <f t="shared" ref="BCQ28" si="720">BCO28*$C$28</f>
        <v>32958837.08730353</v>
      </c>
      <c r="BCS28" s="160">
        <f t="shared" ref="BCS28" si="721">BCQ28*$C$28</f>
        <v>33288425.458176564</v>
      </c>
      <c r="BCU28" s="160">
        <f t="shared" ref="BCU28" si="722">BCS28*$C$28</f>
        <v>33621309.712758332</v>
      </c>
      <c r="BCW28" s="160">
        <f t="shared" ref="BCW28" si="723">BCU28*$C$28</f>
        <v>33957522.809885919</v>
      </c>
      <c r="BCY28" s="160">
        <f t="shared" ref="BCY28" si="724">BCW28*$C$28</f>
        <v>34297098.037984781</v>
      </c>
      <c r="BDA28" s="160">
        <f t="shared" ref="BDA28" si="725">BCY28*$C$28</f>
        <v>34640069.018364631</v>
      </c>
      <c r="BDC28" s="160">
        <f t="shared" ref="BDC28" si="726">BDA28*$C$28</f>
        <v>34986469.708548278</v>
      </c>
      <c r="BDE28" s="160">
        <f t="shared" ref="BDE28" si="727">BDC28*$C$28</f>
        <v>35336334.405633762</v>
      </c>
      <c r="BDG28" s="160">
        <f t="shared" ref="BDG28" si="728">BDE28*$C$28</f>
        <v>35689697.749690101</v>
      </c>
      <c r="BDI28" s="160">
        <f t="shared" ref="BDI28" si="729">BDG28*$C$28</f>
        <v>36046594.727187</v>
      </c>
      <c r="BDK28" s="160">
        <f t="shared" ref="BDK28" si="730">BDI28*$C$28</f>
        <v>36407060.674458869</v>
      </c>
      <c r="BDM28" s="160">
        <f t="shared" ref="BDM28" si="731">BDK28*$C$28</f>
        <v>36771131.281203456</v>
      </c>
      <c r="BDO28" s="160">
        <f t="shared" ref="BDO28" si="732">BDM28*$C$28</f>
        <v>37138842.594015494</v>
      </c>
      <c r="BDQ28" s="160">
        <f t="shared" ref="BDQ28" si="733">BDO28*$C$28</f>
        <v>37510231.01995565</v>
      </c>
      <c r="BDS28" s="160">
        <f t="shared" ref="BDS28" si="734">BDQ28*$C$28</f>
        <v>37885333.330155209</v>
      </c>
      <c r="BDU28" s="160">
        <f t="shared" ref="BDU28" si="735">BDS28*$C$28</f>
        <v>38264186.66345676</v>
      </c>
      <c r="BDW28" s="160">
        <f t="shared" ref="BDW28" si="736">BDU28*$C$28</f>
        <v>38646828.53009133</v>
      </c>
      <c r="BDY28" s="160">
        <f t="shared" ref="BDY28" si="737">BDW28*$C$28</f>
        <v>39033296.815392241</v>
      </c>
      <c r="BEA28" s="160">
        <f t="shared" ref="BEA28" si="738">BDY28*$C$28</f>
        <v>39423629.783546165</v>
      </c>
      <c r="BEC28" s="160">
        <f t="shared" ref="BEC28" si="739">BEA28*$C$28</f>
        <v>39817866.081381626</v>
      </c>
      <c r="BEE28" s="160">
        <f t="shared" ref="BEE28" si="740">BEC28*$C$28</f>
        <v>40216044.742195442</v>
      </c>
      <c r="BEG28" s="160">
        <f t="shared" ref="BEG28" si="741">BEE28*$C$28</f>
        <v>40618205.189617395</v>
      </c>
      <c r="BEI28" s="160">
        <f t="shared" ref="BEI28" si="742">BEG28*$C$28</f>
        <v>41024387.241513573</v>
      </c>
      <c r="BEK28" s="160">
        <f t="shared" ref="BEK28" si="743">BEI28*$C$28</f>
        <v>41434631.113928705</v>
      </c>
      <c r="BEM28" s="160">
        <f t="shared" ref="BEM28" si="744">BEK28*$C$28</f>
        <v>41848977.425067991</v>
      </c>
      <c r="BEO28" s="160">
        <f t="shared" ref="BEO28" si="745">BEM28*$C$28</f>
        <v>42267467.19931867</v>
      </c>
      <c r="BEQ28" s="160">
        <f t="shared" ref="BEQ28" si="746">BEO28*$C$28</f>
        <v>42690141.871311858</v>
      </c>
      <c r="BES28" s="160">
        <f t="shared" ref="BES28" si="747">BEQ28*$C$28</f>
        <v>43117043.290024981</v>
      </c>
      <c r="BEU28" s="160">
        <f t="shared" ref="BEU28" si="748">BES28*$C$28</f>
        <v>43548213.722925231</v>
      </c>
      <c r="BEW28" s="160">
        <f t="shared" ref="BEW28" si="749">BEU28*$C$28</f>
        <v>43983695.860154487</v>
      </c>
      <c r="BEY28" s="160">
        <f t="shared" ref="BEY28" si="750">BEW28*$C$28</f>
        <v>44423532.818756029</v>
      </c>
      <c r="BFA28" s="160">
        <f t="shared" ref="BFA28" si="751">BEY28*$C$28</f>
        <v>44867768.146943592</v>
      </c>
      <c r="BFC28" s="160">
        <f t="shared" ref="BFC28" si="752">BFA28*$C$28</f>
        <v>45316445.828413025</v>
      </c>
      <c r="BFE28" s="160">
        <f t="shared" ref="BFE28" si="753">BFC28*$C$28</f>
        <v>45769610.286697157</v>
      </c>
      <c r="BFG28" s="160">
        <f t="shared" ref="BFG28" si="754">BFE28*$C$28</f>
        <v>46227306.389564127</v>
      </c>
      <c r="BFI28" s="160">
        <f t="shared" ref="BFI28" si="755">BFG28*$C$28</f>
        <v>46689579.453459769</v>
      </c>
      <c r="BFK28" s="160">
        <f t="shared" ref="BFK28" si="756">BFI28*$C$28</f>
        <v>47156475.247994371</v>
      </c>
      <c r="BFM28" s="160">
        <f t="shared" ref="BFM28" si="757">BFK28*$C$28</f>
        <v>47628040.000474311</v>
      </c>
      <c r="BFO28" s="160">
        <f t="shared" ref="BFO28" si="758">BFM28*$C$28</f>
        <v>48104320.400479056</v>
      </c>
      <c r="BFQ28" s="160">
        <f t="shared" ref="BFQ28" si="759">BFO28*$C$28</f>
        <v>48585363.60448385</v>
      </c>
      <c r="BFS28" s="160">
        <f t="shared" ref="BFS28" si="760">BFQ28*$C$28</f>
        <v>49071217.240528688</v>
      </c>
      <c r="BFU28" s="160">
        <f t="shared" ref="BFU28" si="761">BFS28*$C$28</f>
        <v>49561929.412933975</v>
      </c>
      <c r="BFW28" s="160">
        <f t="shared" ref="BFW28" si="762">BFU28*$C$28</f>
        <v>50057548.707063317</v>
      </c>
      <c r="BFY28" s="160">
        <f t="shared" ref="BFY28" si="763">BFW28*$C$28</f>
        <v>50558124.194133952</v>
      </c>
      <c r="BGA28" s="160">
        <f t="shared" ref="BGA28" si="764">BFY28*$C$28</f>
        <v>51063705.436075293</v>
      </c>
      <c r="BGC28" s="160">
        <f t="shared" ref="BGC28" si="765">BGA28*$C$28</f>
        <v>51574342.490436047</v>
      </c>
      <c r="BGE28" s="160">
        <f t="shared" ref="BGE28" si="766">BGC28*$C$28</f>
        <v>52090085.915340409</v>
      </c>
      <c r="BGG28" s="160">
        <f t="shared" ref="BGG28" si="767">BGE28*$C$28</f>
        <v>52610986.774493814</v>
      </c>
      <c r="BGI28" s="160">
        <f t="shared" ref="BGI28" si="768">BGG28*$C$28</f>
        <v>53137096.642238751</v>
      </c>
      <c r="BGK28" s="160">
        <f t="shared" ref="BGK28" si="769">BGI28*$C$28</f>
        <v>53668467.608661138</v>
      </c>
      <c r="BGM28" s="160">
        <f t="shared" ref="BGM28" si="770">BGK28*$C$28</f>
        <v>54205152.28474775</v>
      </c>
      <c r="BGO28" s="160">
        <f t="shared" ref="BGO28" si="771">BGM28*$C$28</f>
        <v>54747203.807595231</v>
      </c>
      <c r="BGQ28" s="160">
        <f t="shared" ref="BGQ28" si="772">BGO28*$C$28</f>
        <v>55294675.845671184</v>
      </c>
      <c r="BGS28" s="160">
        <f t="shared" ref="BGS28" si="773">BGQ28*$C$28</f>
        <v>55847622.604127899</v>
      </c>
      <c r="BGU28" s="160">
        <f t="shared" ref="BGU28" si="774">BGS28*$C$28</f>
        <v>56406098.830169179</v>
      </c>
      <c r="BGW28" s="160">
        <f t="shared" ref="BGW28" si="775">BGU28*$C$28</f>
        <v>56970159.818470873</v>
      </c>
      <c r="BGY28" s="160">
        <f t="shared" ref="BGY28" si="776">BGW28*$C$28</f>
        <v>57539861.416655585</v>
      </c>
      <c r="BHA28" s="160">
        <f t="shared" ref="BHA28" si="777">BGY28*$C$28</f>
        <v>58115260.030822143</v>
      </c>
      <c r="BHC28" s="160">
        <f t="shared" ref="BHC28" si="778">BHA28*$C$28</f>
        <v>58696412.631130368</v>
      </c>
      <c r="BHE28" s="160">
        <f t="shared" ref="BHE28" si="779">BHC28*$C$28</f>
        <v>59283376.75744167</v>
      </c>
      <c r="BHG28" s="160">
        <f t="shared" ref="BHG28" si="780">BHE28*$C$28</f>
        <v>59876210.525016084</v>
      </c>
      <c r="BHI28" s="160">
        <f t="shared" ref="BHI28" si="781">BHG28*$C$28</f>
        <v>60474972.630266249</v>
      </c>
      <c r="BHK28" s="160">
        <f t="shared" ref="BHK28" si="782">BHI28*$C$28</f>
        <v>61079722.35656891</v>
      </c>
      <c r="BHM28" s="160">
        <f t="shared" ref="BHM28" si="783">BHK28*$C$28</f>
        <v>61690519.5801346</v>
      </c>
      <c r="BHO28" s="160">
        <f t="shared" ref="BHO28" si="784">BHM28*$C$28</f>
        <v>62307424.775935948</v>
      </c>
      <c r="BHQ28" s="160">
        <f t="shared" ref="BHQ28" si="785">BHO28*$C$28</f>
        <v>62930499.023695305</v>
      </c>
      <c r="BHS28" s="160">
        <f t="shared" ref="BHS28" si="786">BHQ28*$C$28</f>
        <v>63559804.013932258</v>
      </c>
      <c r="BHU28" s="160">
        <f t="shared" ref="BHU28" si="787">BHS28*$C$28</f>
        <v>64195402.054071583</v>
      </c>
      <c r="BHW28" s="160">
        <f t="shared" ref="BHW28" si="788">BHU28*$C$28</f>
        <v>64837356.074612297</v>
      </c>
      <c r="BHY28" s="160">
        <f t="shared" ref="BHY28" si="789">BHW28*$C$28</f>
        <v>65485729.635358423</v>
      </c>
      <c r="BIA28" s="160">
        <f t="shared" ref="BIA28" si="790">BHY28*$C$28</f>
        <v>66140586.931712009</v>
      </c>
      <c r="BIC28" s="160">
        <f t="shared" ref="BIC28" si="791">BIA28*$C$28</f>
        <v>66801992.801029131</v>
      </c>
      <c r="BIE28" s="160">
        <f t="shared" ref="BIE28" si="792">BIC28*$C$28</f>
        <v>67470012.729039416</v>
      </c>
      <c r="BIG28" s="160">
        <f t="shared" ref="BIG28" si="793">BIE28*$C$28</f>
        <v>68144712.856329814</v>
      </c>
      <c r="BII28" s="160">
        <f t="shared" ref="BII28" si="794">BIG28*$C$28</f>
        <v>68826159.984893113</v>
      </c>
      <c r="BIK28" s="160">
        <f t="shared" ref="BIK28" si="795">BII28*$C$28</f>
        <v>69514421.584742039</v>
      </c>
      <c r="BIM28" s="160">
        <f t="shared" ref="BIM28" si="796">BIK28*$C$28</f>
        <v>70209565.800589457</v>
      </c>
      <c r="BIO28" s="160">
        <f t="shared" ref="BIO28" si="797">BIM28*$C$28</f>
        <v>70911661.45859535</v>
      </c>
      <c r="BIQ28" s="160">
        <f t="shared" ref="BIQ28" si="798">BIO28*$C$28</f>
        <v>71620778.073181301</v>
      </c>
      <c r="BIS28" s="160">
        <f t="shared" ref="BIS28" si="799">BIQ28*$C$28</f>
        <v>72336985.853913113</v>
      </c>
      <c r="BIU28" s="160">
        <f t="shared" ref="BIU28" si="800">BIS28*$C$28</f>
        <v>73060355.712452248</v>
      </c>
      <c r="BIW28" s="160">
        <f t="shared" ref="BIW28" si="801">BIU28*$C$28</f>
        <v>73790959.269576773</v>
      </c>
      <c r="BIY28" s="160">
        <f t="shared" ref="BIY28" si="802">BIW28*$C$28</f>
        <v>74528868.862272546</v>
      </c>
      <c r="BJA28" s="160">
        <f t="shared" ref="BJA28" si="803">BIY28*$C$28</f>
        <v>75274157.550895274</v>
      </c>
      <c r="BJC28" s="160">
        <f t="shared" ref="BJC28" si="804">BJA28*$C$28</f>
        <v>76026899.126404226</v>
      </c>
      <c r="BJE28" s="160">
        <f t="shared" ref="BJE28" si="805">BJC28*$C$28</f>
        <v>76787168.117668271</v>
      </c>
      <c r="BJG28" s="160">
        <f t="shared" ref="BJG28" si="806">BJE28*$C$28</f>
        <v>77555039.798844948</v>
      </c>
      <c r="BJI28" s="160">
        <f t="shared" ref="BJI28" si="807">BJG28*$C$28</f>
        <v>78330590.196833402</v>
      </c>
      <c r="BJK28" s="160">
        <f t="shared" ref="BJK28" si="808">BJI28*$C$28</f>
        <v>79113896.098801732</v>
      </c>
      <c r="BJM28" s="160">
        <f t="shared" ref="BJM28" si="809">BJK28*$C$28</f>
        <v>79905035.059789747</v>
      </c>
      <c r="BJO28" s="160">
        <f t="shared" ref="BJO28" si="810">BJM28*$C$28</f>
        <v>80704085.41038765</v>
      </c>
      <c r="BJQ28" s="160">
        <f t="shared" ref="BJQ28" si="811">BJO28*$C$28</f>
        <v>81511126.264491528</v>
      </c>
      <c r="BJS28" s="160">
        <f t="shared" ref="BJS28" si="812">BJQ28*$C$28</f>
        <v>82326237.527136445</v>
      </c>
      <c r="BJU28" s="160">
        <f t="shared" ref="BJU28" si="813">BJS28*$C$28</f>
        <v>83149499.90240781</v>
      </c>
      <c r="BJW28" s="160">
        <f t="shared" ref="BJW28" si="814">BJU28*$C$28</f>
        <v>83980994.901431888</v>
      </c>
      <c r="BJY28" s="160">
        <f t="shared" ref="BJY28" si="815">BJW28*$C$28</f>
        <v>84820804.850446209</v>
      </c>
      <c r="BKA28" s="160">
        <f t="shared" ref="BKA28" si="816">BJY28*$C$28</f>
        <v>85669012.898950666</v>
      </c>
      <c r="BKC28" s="160">
        <f t="shared" ref="BKC28" si="817">BKA28*$C$28</f>
        <v>86525703.027940169</v>
      </c>
      <c r="BKE28" s="160">
        <f t="shared" ref="BKE28" si="818">BKC28*$C$28</f>
        <v>87390960.058219567</v>
      </c>
      <c r="BKG28" s="160">
        <f t="shared" ref="BKG28" si="819">BKE28*$C$28</f>
        <v>88264869.658801764</v>
      </c>
      <c r="BKI28" s="160">
        <f t="shared" ref="BKI28" si="820">BKG28*$C$28</f>
        <v>89147518.355389789</v>
      </c>
      <c r="BKK28" s="160">
        <f t="shared" ref="BKK28" si="821">BKI28*$C$28</f>
        <v>90038993.538943693</v>
      </c>
      <c r="BKM28" s="160">
        <f t="shared" ref="BKM28" si="822">BKK28*$C$28</f>
        <v>90939383.474333137</v>
      </c>
      <c r="BKO28" s="160">
        <f t="shared" ref="BKO28" si="823">BKM28*$C$28</f>
        <v>91848777.309076473</v>
      </c>
      <c r="BKQ28" s="160">
        <f t="shared" ref="BKQ28" si="824">BKO28*$C$28</f>
        <v>92767265.082167238</v>
      </c>
      <c r="BKS28" s="160">
        <f t="shared" ref="BKS28" si="825">BKQ28*$C$28</f>
        <v>93694937.732988909</v>
      </c>
      <c r="BKU28" s="160">
        <f t="shared" ref="BKU28" si="826">BKS28*$C$28</f>
        <v>94631887.110318795</v>
      </c>
      <c r="BKW28" s="160">
        <f t="shared" ref="BKW28" si="827">BKU28*$C$28</f>
        <v>95578205.981421977</v>
      </c>
      <c r="BKY28" s="160">
        <f t="shared" ref="BKY28" si="828">BKW28*$C$28</f>
        <v>96533988.041236192</v>
      </c>
      <c r="BLA28" s="160">
        <f t="shared" ref="BLA28" si="829">BKY28*$C$28</f>
        <v>97499327.921648562</v>
      </c>
      <c r="BLC28" s="160">
        <f t="shared" ref="BLC28" si="830">BLA28*$C$28</f>
        <v>98474321.200865045</v>
      </c>
      <c r="BLE28" s="160">
        <f t="shared" ref="BLE28" si="831">BLC28*$C$28</f>
        <v>99459064.4128737</v>
      </c>
      <c r="BLG28" s="160">
        <f t="shared" ref="BLG28" si="832">BLE28*$C$28</f>
        <v>100453655.05700244</v>
      </c>
      <c r="BLI28" s="160">
        <f t="shared" ref="BLI28" si="833">BLG28*$C$28</f>
        <v>101458191.60757247</v>
      </c>
      <c r="BLK28" s="160">
        <f t="shared" ref="BLK28" si="834">BLI28*$C$28</f>
        <v>102472773.52364819</v>
      </c>
      <c r="BLM28" s="160">
        <f t="shared" ref="BLM28" si="835">BLK28*$C$28</f>
        <v>103497501.25888467</v>
      </c>
      <c r="BLO28" s="160">
        <f t="shared" ref="BLO28" si="836">BLM28*$C$28</f>
        <v>104532476.27147351</v>
      </c>
      <c r="BLQ28" s="160">
        <f t="shared" ref="BLQ28" si="837">BLO28*$C$28</f>
        <v>105577801.03418824</v>
      </c>
      <c r="BLS28" s="160">
        <f t="shared" ref="BLS28" si="838">BLQ28*$C$28</f>
        <v>106633579.04453012</v>
      </c>
      <c r="BLU28" s="160">
        <f t="shared" ref="BLU28" si="839">BLS28*$C$28</f>
        <v>107699914.83497542</v>
      </c>
      <c r="BLW28" s="160">
        <f t="shared" ref="BLW28" si="840">BLU28*$C$28</f>
        <v>108776913.98332518</v>
      </c>
      <c r="BLY28" s="160">
        <f t="shared" ref="BLY28" si="841">BLW28*$C$28</f>
        <v>109864683.12315844</v>
      </c>
      <c r="BMA28" s="160">
        <f t="shared" ref="BMA28" si="842">BLY28*$C$28</f>
        <v>110963329.95439002</v>
      </c>
      <c r="BMC28" s="160">
        <f t="shared" ref="BMC28" si="843">BMA28*$C$28</f>
        <v>112072963.25393392</v>
      </c>
      <c r="BME28" s="160">
        <f t="shared" ref="BME28" si="844">BMC28*$C$28</f>
        <v>113193692.88647327</v>
      </c>
      <c r="BMG28" s="160">
        <f t="shared" ref="BMG28" si="845">BME28*$C$28</f>
        <v>114325629.815338</v>
      </c>
      <c r="BMI28" s="160">
        <f t="shared" ref="BMI28" si="846">BMG28*$C$28</f>
        <v>115468886.11349139</v>
      </c>
      <c r="BMK28" s="160">
        <f t="shared" ref="BMK28" si="847">BMI28*$C$28</f>
        <v>116623574.9746263</v>
      </c>
      <c r="BMM28" s="160">
        <f t="shared" ref="BMM28" si="848">BMK28*$C$28</f>
        <v>117789810.72437257</v>
      </c>
      <c r="BMO28" s="160">
        <f t="shared" ref="BMO28" si="849">BMM28*$C$28</f>
        <v>118967708.8316163</v>
      </c>
      <c r="BMQ28" s="160">
        <f t="shared" ref="BMQ28" si="850">BMO28*$C$28</f>
        <v>120157385.91993245</v>
      </c>
      <c r="BMS28" s="160">
        <f t="shared" ref="BMS28" si="851">BMQ28*$C$28</f>
        <v>121358959.77913179</v>
      </c>
      <c r="BMU28" s="160">
        <f t="shared" ref="BMU28" si="852">BMS28*$C$28</f>
        <v>122572549.3769231</v>
      </c>
      <c r="BMW28" s="160">
        <f t="shared" ref="BMW28" si="853">BMU28*$C$28</f>
        <v>123798274.87069233</v>
      </c>
      <c r="BMY28" s="160">
        <f t="shared" ref="BMY28" si="854">BMW28*$C$28</f>
        <v>125036257.61939925</v>
      </c>
      <c r="BNA28" s="160">
        <f t="shared" ref="BNA28" si="855">BMY28*$C$28</f>
        <v>126286620.19559324</v>
      </c>
      <c r="BNC28" s="160">
        <f t="shared" ref="BNC28" si="856">BNA28*$C$28</f>
        <v>127549486.39754917</v>
      </c>
      <c r="BNE28" s="160">
        <f t="shared" ref="BNE28" si="857">BNC28*$C$28</f>
        <v>128824981.26152466</v>
      </c>
      <c r="BNG28" s="160">
        <f t="shared" ref="BNG28" si="858">BNE28*$C$28</f>
        <v>130113231.07413991</v>
      </c>
      <c r="BNI28" s="160">
        <f t="shared" ref="BNI28" si="859">BNG28*$C$28</f>
        <v>131414363.3848813</v>
      </c>
      <c r="BNK28" s="160">
        <f t="shared" ref="BNK28" si="860">BNI28*$C$28</f>
        <v>132728507.01873012</v>
      </c>
      <c r="BNM28" s="160">
        <f t="shared" ref="BNM28" si="861">BNK28*$C$28</f>
        <v>134055792.08891742</v>
      </c>
      <c r="BNO28" s="160">
        <f t="shared" ref="BNO28" si="862">BNM28*$C$28</f>
        <v>135396350.0098066</v>
      </c>
      <c r="BNQ28" s="160">
        <f t="shared" ref="BNQ28" si="863">BNO28*$C$28</f>
        <v>136750313.50990468</v>
      </c>
      <c r="BNS28" s="160">
        <f t="shared" ref="BNS28" si="864">BNQ28*$C$28</f>
        <v>138117816.64500374</v>
      </c>
      <c r="BNU28" s="160">
        <f t="shared" ref="BNU28" si="865">BNS28*$C$28</f>
        <v>139498994.81145379</v>
      </c>
      <c r="BNW28" s="160">
        <f t="shared" ref="BNW28" si="866">BNU28*$C$28</f>
        <v>140893984.75956833</v>
      </c>
      <c r="BNY28" s="160">
        <f t="shared" ref="BNY28" si="867">BNW28*$C$28</f>
        <v>142302924.60716403</v>
      </c>
      <c r="BOA28" s="160">
        <f t="shared" ref="BOA28" si="868">BNY28*$C$28</f>
        <v>143725953.85323566</v>
      </c>
      <c r="BOC28" s="160">
        <f t="shared" ref="BOC28" si="869">BOA28*$C$28</f>
        <v>145163213.39176801</v>
      </c>
      <c r="BOE28" s="160">
        <f t="shared" ref="BOE28" si="870">BOC28*$C$28</f>
        <v>146614845.5256857</v>
      </c>
      <c r="BOG28" s="160">
        <f t="shared" ref="BOG28" si="871">BOE28*$C$28</f>
        <v>148080993.98094255</v>
      </c>
      <c r="BOI28" s="160">
        <f t="shared" ref="BOI28" si="872">BOG28*$C$28</f>
        <v>149561803.92075199</v>
      </c>
      <c r="BOK28" s="160">
        <f t="shared" ref="BOK28" si="873">BOI28*$C$28</f>
        <v>151057421.95995951</v>
      </c>
      <c r="BOM28" s="160">
        <f t="shared" ref="BOM28" si="874">BOK28*$C$28</f>
        <v>152567996.17955911</v>
      </c>
      <c r="BOO28" s="160">
        <f t="shared" ref="BOO28" si="875">BOM28*$C$28</f>
        <v>154093676.14135471</v>
      </c>
      <c r="BOQ28" s="160">
        <f t="shared" ref="BOQ28" si="876">BOO28*$C$28</f>
        <v>155634612.90276825</v>
      </c>
      <c r="BOS28" s="160">
        <f t="shared" ref="BOS28" si="877">BOQ28*$C$28</f>
        <v>157190959.03179595</v>
      </c>
      <c r="BOU28" s="160">
        <f t="shared" ref="BOU28" si="878">BOS28*$C$28</f>
        <v>158762868.62211391</v>
      </c>
      <c r="BOW28" s="160">
        <f t="shared" ref="BOW28" si="879">BOU28*$C$28</f>
        <v>160350497.30833507</v>
      </c>
      <c r="BOY28" s="160">
        <f t="shared" ref="BOY28" si="880">BOW28*$C$28</f>
        <v>161954002.28141841</v>
      </c>
      <c r="BPA28" s="160">
        <f t="shared" ref="BPA28" si="881">BOY28*$C$28</f>
        <v>163573542.3042326</v>
      </c>
      <c r="BPC28" s="160">
        <f t="shared" ref="BPC28" si="882">BPA28*$C$28</f>
        <v>165209277.72727492</v>
      </c>
      <c r="BPE28" s="160">
        <f t="shared" ref="BPE28" si="883">BPC28*$C$28</f>
        <v>166861370.50454769</v>
      </c>
      <c r="BPG28" s="160">
        <f t="shared" ref="BPG28" si="884">BPE28*$C$28</f>
        <v>168529984.20959318</v>
      </c>
      <c r="BPI28" s="160">
        <f t="shared" ref="BPI28" si="885">BPG28*$C$28</f>
        <v>170215284.05168912</v>
      </c>
      <c r="BPK28" s="160">
        <f t="shared" ref="BPK28" si="886">BPI28*$C$28</f>
        <v>171917436.89220601</v>
      </c>
      <c r="BPM28" s="160">
        <f t="shared" ref="BPM28" si="887">BPK28*$C$28</f>
        <v>173636611.26112807</v>
      </c>
      <c r="BPO28" s="160">
        <f t="shared" ref="BPO28" si="888">BPM28*$C$28</f>
        <v>175372977.37373936</v>
      </c>
      <c r="BPQ28" s="160">
        <f t="shared" ref="BPQ28" si="889">BPO28*$C$28</f>
        <v>177126707.14747676</v>
      </c>
      <c r="BPS28" s="160">
        <f t="shared" ref="BPS28" si="890">BPQ28*$C$28</f>
        <v>178897974.21895152</v>
      </c>
      <c r="BPU28" s="160">
        <f t="shared" ref="BPU28" si="891">BPS28*$C$28</f>
        <v>180686953.96114105</v>
      </c>
      <c r="BPW28" s="160">
        <f t="shared" ref="BPW28" si="892">BPU28*$C$28</f>
        <v>182493823.50075245</v>
      </c>
      <c r="BPY28" s="160">
        <f t="shared" ref="BPY28" si="893">BPW28*$C$28</f>
        <v>184318761.73575997</v>
      </c>
      <c r="BQA28" s="160">
        <f t="shared" ref="BQA28" si="894">BPY28*$C$28</f>
        <v>186161949.35311759</v>
      </c>
      <c r="BQC28" s="160">
        <f t="shared" ref="BQC28" si="895">BQA28*$C$28</f>
        <v>188023568.84664875</v>
      </c>
      <c r="BQE28" s="160">
        <f t="shared" ref="BQE28" si="896">BQC28*$C$28</f>
        <v>189903804.53511524</v>
      </c>
      <c r="BQG28" s="160">
        <f t="shared" ref="BQG28" si="897">BQE28*$C$28</f>
        <v>191802842.58046639</v>
      </c>
      <c r="BQI28" s="160">
        <f t="shared" ref="BQI28" si="898">BQG28*$C$28</f>
        <v>193720871.00627106</v>
      </c>
      <c r="BQK28" s="160">
        <f t="shared" ref="BQK28" si="899">BQI28*$C$28</f>
        <v>195658079.71633378</v>
      </c>
      <c r="BQM28" s="160">
        <f t="shared" ref="BQM28" si="900">BQK28*$C$28</f>
        <v>197614660.51349711</v>
      </c>
      <c r="BQO28" s="160">
        <f t="shared" ref="BQO28" si="901">BQM28*$C$28</f>
        <v>199590807.11863208</v>
      </c>
      <c r="BQQ28" s="160">
        <f t="shared" ref="BQQ28" si="902">BQO28*$C$28</f>
        <v>201586715.18981841</v>
      </c>
      <c r="BQS28" s="160">
        <f t="shared" ref="BQS28" si="903">BQQ28*$C$28</f>
        <v>203602582.34171659</v>
      </c>
      <c r="BQU28" s="160">
        <f t="shared" ref="BQU28" si="904">BQS28*$C$28</f>
        <v>205638608.16513374</v>
      </c>
      <c r="BQW28" s="160">
        <f t="shared" ref="BQW28" si="905">BQU28*$C$28</f>
        <v>207694994.24678507</v>
      </c>
      <c r="BQY28" s="160">
        <f t="shared" ref="BQY28" si="906">BQW28*$C$28</f>
        <v>209771944.18925291</v>
      </c>
      <c r="BRA28" s="160">
        <f t="shared" ref="BRA28" si="907">BQY28*$C$28</f>
        <v>211869663.63114545</v>
      </c>
      <c r="BRC28" s="160">
        <f t="shared" ref="BRC28" si="908">BRA28*$C$28</f>
        <v>213988360.26745689</v>
      </c>
      <c r="BRE28" s="160">
        <f t="shared" ref="BRE28" si="909">BRC28*$C$28</f>
        <v>216128243.87013146</v>
      </c>
      <c r="BRG28" s="160">
        <f t="shared" ref="BRG28" si="910">BRE28*$C$28</f>
        <v>218289526.30883276</v>
      </c>
      <c r="BRI28" s="160">
        <f t="shared" ref="BRI28" si="911">BRG28*$C$28</f>
        <v>220472421.57192108</v>
      </c>
      <c r="BRK28" s="160">
        <f t="shared" ref="BRK28" si="912">BRI28*$C$28</f>
        <v>222677145.7876403</v>
      </c>
      <c r="BRM28" s="160">
        <f t="shared" ref="BRM28" si="913">BRK28*$C$28</f>
        <v>224903917.24551672</v>
      </c>
      <c r="BRO28" s="160">
        <f t="shared" ref="BRO28" si="914">BRM28*$C$28</f>
        <v>227152956.41797188</v>
      </c>
      <c r="BRQ28" s="160">
        <f t="shared" ref="BRQ28" si="915">BRO28*$C$28</f>
        <v>229424485.9821516</v>
      </c>
      <c r="BRS28" s="160">
        <f t="shared" ref="BRS28" si="916">BRQ28*$C$28</f>
        <v>231718730.84197313</v>
      </c>
      <c r="BRU28" s="160">
        <f t="shared" ref="BRU28" si="917">BRS28*$C$28</f>
        <v>234035918.15039286</v>
      </c>
      <c r="BRW28" s="160">
        <f t="shared" ref="BRW28" si="918">BRU28*$C$28</f>
        <v>236376277.33189678</v>
      </c>
      <c r="BRY28" s="160">
        <f t="shared" ref="BRY28" si="919">BRW28*$C$28</f>
        <v>238740040.10521576</v>
      </c>
      <c r="BSA28" s="160">
        <f t="shared" ref="BSA28" si="920">BRY28*$C$28</f>
        <v>241127440.50626791</v>
      </c>
      <c r="BSC28" s="160">
        <f t="shared" ref="BSC28" si="921">BSA28*$C$28</f>
        <v>243538714.91133058</v>
      </c>
      <c r="BSE28" s="160">
        <f t="shared" ref="BSE28" si="922">BSC28*$C$28</f>
        <v>245974102.06044388</v>
      </c>
      <c r="BSG28" s="160">
        <f t="shared" ref="BSG28" si="923">BSE28*$C$28</f>
        <v>248433843.08104831</v>
      </c>
      <c r="BSI28" s="160">
        <f t="shared" ref="BSI28" si="924">BSG28*$C$28</f>
        <v>250918181.51185879</v>
      </c>
      <c r="BSK28" s="160">
        <f t="shared" ref="BSK28" si="925">BSI28*$C$28</f>
        <v>253427363.32697737</v>
      </c>
      <c r="BSM28" s="160">
        <f t="shared" ref="BSM28" si="926">BSK28*$C$28</f>
        <v>255961636.96024716</v>
      </c>
      <c r="BSO28" s="160">
        <f t="shared" ref="BSO28" si="927">BSM28*$C$28</f>
        <v>258521253.32984963</v>
      </c>
      <c r="BSQ28" s="160">
        <f t="shared" ref="BSQ28" si="928">BSO28*$C$28</f>
        <v>261106465.86314812</v>
      </c>
      <c r="BSS28" s="160">
        <f t="shared" ref="BSS28" si="929">BSQ28*$C$28</f>
        <v>263717530.5217796</v>
      </c>
      <c r="BSU28" s="160">
        <f t="shared" ref="BSU28" si="930">BSS28*$C$28</f>
        <v>266354705.8269974</v>
      </c>
      <c r="BSW28" s="160">
        <f t="shared" ref="BSW28" si="931">BSU28*$C$28</f>
        <v>269018252.88526738</v>
      </c>
      <c r="BSY28" s="160">
        <f t="shared" ref="BSY28" si="932">BSW28*$C$28</f>
        <v>271708435.41412008</v>
      </c>
      <c r="BTA28" s="160">
        <f t="shared" ref="BTA28" si="933">BSY28*$C$28</f>
        <v>274425519.76826125</v>
      </c>
      <c r="BTC28" s="160">
        <f t="shared" ref="BTC28" si="934">BTA28*$C$28</f>
        <v>277169774.96594387</v>
      </c>
      <c r="BTE28" s="160">
        <f t="shared" ref="BTE28" si="935">BTC28*$C$28</f>
        <v>279941472.71560329</v>
      </c>
      <c r="BTG28" s="160">
        <f t="shared" ref="BTG28" si="936">BTE28*$C$28</f>
        <v>282740887.44275934</v>
      </c>
      <c r="BTI28" s="160">
        <f t="shared" ref="BTI28" si="937">BTG28*$C$28</f>
        <v>285568296.31718695</v>
      </c>
      <c r="BTK28" s="160">
        <f t="shared" ref="BTK28" si="938">BTI28*$C$28</f>
        <v>288423979.28035885</v>
      </c>
      <c r="BTM28" s="160">
        <f t="shared" ref="BTM28" si="939">BTK28*$C$28</f>
        <v>291308219.07316244</v>
      </c>
      <c r="BTO28" s="160">
        <f t="shared" ref="BTO28" si="940">BTM28*$C$28</f>
        <v>294221301.26389408</v>
      </c>
      <c r="BTQ28" s="160">
        <f t="shared" ref="BTQ28" si="941">BTO28*$C$28</f>
        <v>297163514.27653301</v>
      </c>
      <c r="BTS28" s="160">
        <f t="shared" ref="BTS28" si="942">BTQ28*$C$28</f>
        <v>300135149.41929835</v>
      </c>
      <c r="BTU28" s="160">
        <f t="shared" ref="BTU28" si="943">BTS28*$C$28</f>
        <v>303136500.91349131</v>
      </c>
      <c r="BTW28" s="160">
        <f t="shared" ref="BTW28" si="944">BTU28*$C$28</f>
        <v>306167865.9226262</v>
      </c>
      <c r="BTY28" s="160">
        <f t="shared" ref="BTY28" si="945">BTW28*$C$28</f>
        <v>309229544.58185244</v>
      </c>
      <c r="BUA28" s="160">
        <f t="shared" ref="BUA28" si="946">BTY28*$C$28</f>
        <v>312321840.02767098</v>
      </c>
      <c r="BUC28" s="160">
        <f t="shared" ref="BUC28" si="947">BUA28*$C$28</f>
        <v>315445058.4279477</v>
      </c>
      <c r="BUE28" s="160">
        <f t="shared" ref="BUE28" si="948">BUC28*$C$28</f>
        <v>318599509.01222718</v>
      </c>
      <c r="BUG28" s="160">
        <f t="shared" ref="BUG28" si="949">BUE28*$C$28</f>
        <v>321785504.10234946</v>
      </c>
      <c r="BUI28" s="160">
        <f t="shared" ref="BUI28" si="950">BUG28*$C$28</f>
        <v>325003359.14337295</v>
      </c>
      <c r="BUK28" s="160">
        <f t="shared" ref="BUK28" si="951">BUI28*$C$28</f>
        <v>328253392.73480666</v>
      </c>
      <c r="BUM28" s="160">
        <f t="shared" ref="BUM28" si="952">BUK28*$C$28</f>
        <v>331535926.66215473</v>
      </c>
      <c r="BUO28" s="160">
        <f t="shared" ref="BUO28" si="953">BUM28*$C$28</f>
        <v>334851285.92877626</v>
      </c>
      <c r="BUQ28" s="160">
        <f t="shared" ref="BUQ28" si="954">BUO28*$C$28</f>
        <v>338199798.788064</v>
      </c>
      <c r="BUS28" s="160">
        <f t="shared" ref="BUS28" si="955">BUQ28*$C$28</f>
        <v>341581796.77594465</v>
      </c>
      <c r="BUU28" s="160">
        <f t="shared" ref="BUU28" si="956">BUS28*$C$28</f>
        <v>344997614.74370408</v>
      </c>
      <c r="BUW28" s="160">
        <f t="shared" ref="BUW28" si="957">BUU28*$C$28</f>
        <v>348447590.89114112</v>
      </c>
      <c r="BUY28" s="160">
        <f t="shared" ref="BUY28" si="958">BUW28*$C$28</f>
        <v>351932066.80005252</v>
      </c>
      <c r="BVA28" s="160">
        <f t="shared" ref="BVA28" si="959">BUY28*$C$28</f>
        <v>355451387.46805304</v>
      </c>
      <c r="BVC28" s="160">
        <f t="shared" ref="BVC28" si="960">BVA28*$C$28</f>
        <v>359005901.34273356</v>
      </c>
      <c r="BVE28" s="160">
        <f t="shared" ref="BVE28" si="961">BVC28*$C$28</f>
        <v>362595960.35616088</v>
      </c>
      <c r="BVG28" s="160">
        <f t="shared" ref="BVG28" si="962">BVE28*$C$28</f>
        <v>366221919.95972252</v>
      </c>
      <c r="BVI28" s="160">
        <f t="shared" ref="BVI28" si="963">BVG28*$C$28</f>
        <v>369884139.15931976</v>
      </c>
      <c r="BVK28" s="160">
        <f t="shared" ref="BVK28" si="964">BVI28*$C$28</f>
        <v>373582980.55091298</v>
      </c>
      <c r="BVM28" s="160">
        <f t="shared" ref="BVM28" si="965">BVK28*$C$28</f>
        <v>377318810.35642213</v>
      </c>
      <c r="BVO28" s="160">
        <f t="shared" ref="BVO28" si="966">BVM28*$C$28</f>
        <v>381091998.45998633</v>
      </c>
      <c r="BVQ28" s="160">
        <f t="shared" ref="BVQ28" si="967">BVO28*$C$28</f>
        <v>384902918.44458622</v>
      </c>
      <c r="BVS28" s="160">
        <f t="shared" ref="BVS28" si="968">BVQ28*$C$28</f>
        <v>388751947.62903208</v>
      </c>
      <c r="BVU28" s="160">
        <f t="shared" ref="BVU28" si="969">BVS28*$C$28</f>
        <v>392639467.10532242</v>
      </c>
      <c r="BVW28" s="160">
        <f t="shared" ref="BVW28" si="970">BVU28*$C$28</f>
        <v>396565861.77637565</v>
      </c>
      <c r="BVY28" s="160">
        <f t="shared" ref="BVY28" si="971">BVW28*$C$28</f>
        <v>400531520.39413941</v>
      </c>
      <c r="BWA28" s="160">
        <f t="shared" ref="BWA28" si="972">BVY28*$C$28</f>
        <v>404536835.59808081</v>
      </c>
      <c r="BWC28" s="160">
        <f t="shared" ref="BWC28" si="973">BWA28*$C$28</f>
        <v>408582203.95406163</v>
      </c>
      <c r="BWE28" s="160">
        <f t="shared" ref="BWE28" si="974">BWC28*$C$28</f>
        <v>412668025.99360228</v>
      </c>
      <c r="BWG28" s="160">
        <f t="shared" ref="BWG28" si="975">BWE28*$C$28</f>
        <v>416794706.25353831</v>
      </c>
      <c r="BWI28" s="160">
        <f t="shared" ref="BWI28" si="976">BWG28*$C$28</f>
        <v>420962653.31607372</v>
      </c>
      <c r="BWK28" s="160">
        <f t="shared" ref="BWK28" si="977">BWI28*$C$28</f>
        <v>425172279.84923446</v>
      </c>
      <c r="BWM28" s="160">
        <f t="shared" ref="BWM28" si="978">BWK28*$C$28</f>
        <v>429424002.64772683</v>
      </c>
      <c r="BWO28" s="160">
        <f t="shared" ref="BWO28" si="979">BWM28*$C$28</f>
        <v>433718242.67420411</v>
      </c>
      <c r="BWQ28" s="160">
        <f t="shared" ref="BWQ28" si="980">BWO28*$C$28</f>
        <v>438055425.10094613</v>
      </c>
      <c r="BWS28" s="160">
        <f t="shared" ref="BWS28" si="981">BWQ28*$C$28</f>
        <v>442435979.35195559</v>
      </c>
      <c r="BWU28" s="160">
        <f t="shared" ref="BWU28" si="982">BWS28*$C$28</f>
        <v>446860339.14547515</v>
      </c>
      <c r="BWW28" s="160">
        <f t="shared" ref="BWW28" si="983">BWU28*$C$28</f>
        <v>451328942.53692991</v>
      </c>
      <c r="BWY28" s="160">
        <f t="shared" ref="BWY28" si="984">BWW28*$C$28</f>
        <v>455842231.96229923</v>
      </c>
      <c r="BXA28" s="160">
        <f t="shared" ref="BXA28" si="985">BWY28*$C$28</f>
        <v>460400654.28192222</v>
      </c>
      <c r="BXC28" s="160">
        <f t="shared" ref="BXC28" si="986">BXA28*$C$28</f>
        <v>465004660.82474142</v>
      </c>
      <c r="BXE28" s="160">
        <f t="shared" ref="BXE28" si="987">BXC28*$C$28</f>
        <v>469654707.43298882</v>
      </c>
      <c r="BXG28" s="160">
        <f t="shared" ref="BXG28" si="988">BXE28*$C$28</f>
        <v>474351254.50731874</v>
      </c>
      <c r="BXI28" s="160">
        <f t="shared" ref="BXI28" si="989">BXG28*$C$28</f>
        <v>479094767.05239195</v>
      </c>
      <c r="BXK28" s="160">
        <f t="shared" ref="BXK28" si="990">BXI28*$C$28</f>
        <v>483885714.72291589</v>
      </c>
      <c r="BXM28" s="160">
        <f t="shared" ref="BXM28" si="991">BXK28*$C$28</f>
        <v>488724571.87014502</v>
      </c>
      <c r="BXO28" s="160">
        <f t="shared" ref="BXO28" si="992">BXM28*$C$28</f>
        <v>493611817.5888465</v>
      </c>
      <c r="BXQ28" s="160">
        <f t="shared" ref="BXQ28" si="993">BXO28*$C$28</f>
        <v>498547935.76473498</v>
      </c>
      <c r="BXS28" s="160">
        <f t="shared" ref="BXS28" si="994">BXQ28*$C$28</f>
        <v>503533415.12238234</v>
      </c>
      <c r="BXU28" s="160">
        <f t="shared" ref="BXU28" si="995">BXS28*$C$28</f>
        <v>508568749.27360618</v>
      </c>
      <c r="BXW28" s="160">
        <f t="shared" ref="BXW28" si="996">BXU28*$C$28</f>
        <v>513654436.76634222</v>
      </c>
      <c r="BXY28" s="160">
        <f t="shared" ref="BXY28" si="997">BXW28*$C$28</f>
        <v>518790981.13400567</v>
      </c>
      <c r="BYA28" s="160">
        <f t="shared" ref="BYA28" si="998">BXY28*$C$28</f>
        <v>523978890.9453457</v>
      </c>
      <c r="BYC28" s="160">
        <f t="shared" ref="BYC28" si="999">BYA28*$C$28</f>
        <v>529218679.85479915</v>
      </c>
      <c r="BYE28" s="160">
        <f t="shared" ref="BYE28" si="1000">BYC28*$C$28</f>
        <v>534510866.65334713</v>
      </c>
      <c r="BYG28" s="160">
        <f t="shared" ref="BYG28" si="1001">BYE28*$C$28</f>
        <v>539855975.3198806</v>
      </c>
      <c r="BYI28" s="160">
        <f t="shared" ref="BYI28" si="1002">BYG28*$C$28</f>
        <v>545254535.07307947</v>
      </c>
      <c r="BYK28" s="160">
        <f t="shared" ref="BYK28" si="1003">BYI28*$C$28</f>
        <v>550707080.42381024</v>
      </c>
      <c r="BYM28" s="160">
        <f t="shared" ref="BYM28" si="1004">BYK28*$C$28</f>
        <v>556214151.22804832</v>
      </c>
      <c r="BYO28" s="160">
        <f t="shared" ref="BYO28" si="1005">BYM28*$C$28</f>
        <v>561776292.74032879</v>
      </c>
      <c r="BYQ28" s="160">
        <f t="shared" ref="BYQ28" si="1006">BYO28*$C$28</f>
        <v>567394055.66773212</v>
      </c>
      <c r="BYS28" s="160">
        <f t="shared" ref="BYS28" si="1007">BYQ28*$C$28</f>
        <v>573067996.22440946</v>
      </c>
      <c r="BYU28" s="160">
        <f t="shared" ref="BYU28" si="1008">BYS28*$C$28</f>
        <v>578798676.18665361</v>
      </c>
      <c r="BYW28" s="160">
        <f t="shared" ref="BYW28" si="1009">BYU28*$C$28</f>
        <v>584586662.94852018</v>
      </c>
      <c r="BYY28" s="160">
        <f t="shared" ref="BYY28" si="1010">BYW28*$C$28</f>
        <v>590432529.57800543</v>
      </c>
      <c r="BZA28" s="160">
        <f t="shared" ref="BZA28" si="1011">BYY28*$C$28</f>
        <v>596336854.8737855</v>
      </c>
      <c r="BZC28" s="160">
        <f t="shared" ref="BZC28" si="1012">BZA28*$C$28</f>
        <v>602300223.42252338</v>
      </c>
      <c r="BZE28" s="160">
        <f t="shared" ref="BZE28" si="1013">BZC28*$C$28</f>
        <v>608323225.65674865</v>
      </c>
      <c r="BZG28" s="160">
        <f t="shared" ref="BZG28" si="1014">BZE28*$C$28</f>
        <v>614406457.91331613</v>
      </c>
      <c r="BZI28" s="160">
        <f t="shared" ref="BZI28" si="1015">BZG28*$C$28</f>
        <v>620550522.49244928</v>
      </c>
      <c r="BZK28" s="160">
        <f t="shared" ref="BZK28" si="1016">BZI28*$C$28</f>
        <v>626756027.71737373</v>
      </c>
      <c r="BZM28" s="160">
        <f t="shared" ref="BZM28" si="1017">BZK28*$C$28</f>
        <v>633023587.99454749</v>
      </c>
      <c r="BZO28" s="160">
        <f t="shared" ref="BZO28" si="1018">BZM28*$C$28</f>
        <v>639353823.874493</v>
      </c>
      <c r="BZQ28" s="160">
        <f t="shared" ref="BZQ28" si="1019">BZO28*$C$28</f>
        <v>645747362.11323798</v>
      </c>
      <c r="BZS28" s="160">
        <f t="shared" ref="BZS28" si="1020">BZQ28*$C$28</f>
        <v>652204835.73437035</v>
      </c>
      <c r="BZU28" s="160">
        <f t="shared" ref="BZU28" si="1021">BZS28*$C$28</f>
        <v>658726884.09171402</v>
      </c>
      <c r="BZW28" s="160">
        <f t="shared" ref="BZW28" si="1022">BZU28*$C$28</f>
        <v>665314152.93263113</v>
      </c>
      <c r="BZY28" s="160">
        <f t="shared" ref="BZY28" si="1023">BZW28*$C$28</f>
        <v>671967294.46195745</v>
      </c>
      <c r="CAA28" s="160">
        <f t="shared" ref="CAA28" si="1024">BZY28*$C$28</f>
        <v>678686967.40657699</v>
      </c>
      <c r="CAC28" s="160">
        <f t="shared" ref="CAC28" si="1025">CAA28*$C$28</f>
        <v>685473837.08064282</v>
      </c>
      <c r="CAE28" s="160">
        <f t="shared" ref="CAE28" si="1026">CAC28*$C$28</f>
        <v>692328575.45144928</v>
      </c>
      <c r="CAG28" s="160">
        <f t="shared" ref="CAG28" si="1027">CAE28*$C$28</f>
        <v>699251861.20596373</v>
      </c>
      <c r="CAI28" s="160">
        <f t="shared" ref="CAI28" si="1028">CAG28*$C$28</f>
        <v>706244379.81802332</v>
      </c>
      <c r="CAK28" s="160">
        <f t="shared" ref="CAK28" si="1029">CAI28*$C$28</f>
        <v>713306823.61620355</v>
      </c>
      <c r="CAM28" s="160">
        <f t="shared" ref="CAM28" si="1030">CAK28*$C$28</f>
        <v>720439891.85236561</v>
      </c>
      <c r="CAO28" s="160">
        <f t="shared" ref="CAO28" si="1031">CAM28*$C$28</f>
        <v>727644290.77088928</v>
      </c>
      <c r="CAQ28" s="160">
        <f t="shared" ref="CAQ28" si="1032">CAO28*$C$28</f>
        <v>734920733.67859817</v>
      </c>
      <c r="CAS28" s="160">
        <f t="shared" ref="CAS28" si="1033">CAQ28*$C$28</f>
        <v>742269941.0153842</v>
      </c>
      <c r="CAU28" s="160">
        <f t="shared" ref="CAU28" si="1034">CAS28*$C$28</f>
        <v>749692640.42553806</v>
      </c>
      <c r="CAW28" s="160">
        <f t="shared" ref="CAW28" si="1035">CAU28*$C$28</f>
        <v>757189566.82979345</v>
      </c>
      <c r="CAY28" s="160">
        <f t="shared" ref="CAY28" si="1036">CAW28*$C$28</f>
        <v>764761462.49809134</v>
      </c>
      <c r="CBA28" s="160">
        <f t="shared" ref="CBA28" si="1037">CAY28*$C$28</f>
        <v>772409077.12307227</v>
      </c>
      <c r="CBC28" s="160">
        <f t="shared" ref="CBC28" si="1038">CBA28*$C$28</f>
        <v>780133167.89430296</v>
      </c>
      <c r="CBE28" s="160">
        <f t="shared" ref="CBE28" si="1039">CBC28*$C$28</f>
        <v>787934499.573246</v>
      </c>
      <c r="CBG28" s="160">
        <f t="shared" ref="CBG28" si="1040">CBE28*$C$28</f>
        <v>795813844.56897843</v>
      </c>
      <c r="CBI28" s="160">
        <f t="shared" ref="CBI28" si="1041">CBG28*$C$28</f>
        <v>803771983.01466823</v>
      </c>
      <c r="CBK28" s="160">
        <f t="shared" ref="CBK28" si="1042">CBI28*$C$28</f>
        <v>811809702.8448149</v>
      </c>
      <c r="CBM28" s="160">
        <f t="shared" ref="CBM28" si="1043">CBK28*$C$28</f>
        <v>819927799.873263</v>
      </c>
      <c r="CBO28" s="160">
        <f t="shared" ref="CBO28" si="1044">CBM28*$C$28</f>
        <v>828127077.87199569</v>
      </c>
      <c r="CBQ28" s="160">
        <f t="shared" ref="CBQ28" si="1045">CBO28*$C$28</f>
        <v>836408348.65071571</v>
      </c>
      <c r="CBS28" s="160">
        <f t="shared" ref="CBS28" si="1046">CBQ28*$C$28</f>
        <v>844772432.13722289</v>
      </c>
      <c r="CBU28" s="160">
        <f t="shared" ref="CBU28" si="1047">CBS28*$C$28</f>
        <v>853220156.45859516</v>
      </c>
      <c r="CBW28" s="160">
        <f t="shared" ref="CBW28" si="1048">CBU28*$C$28</f>
        <v>861752358.02318108</v>
      </c>
      <c r="CBY28" s="160">
        <f t="shared" ref="CBY28" si="1049">CBW28*$C$28</f>
        <v>870369881.60341287</v>
      </c>
      <c r="CCA28" s="160">
        <f t="shared" ref="CCA28" si="1050">CBY28*$C$28</f>
        <v>879073580.41944695</v>
      </c>
      <c r="CCC28" s="160">
        <f t="shared" ref="CCC28" si="1051">CCA28*$C$28</f>
        <v>887864316.2236414</v>
      </c>
      <c r="CCE28" s="160">
        <f t="shared" ref="CCE28" si="1052">CCC28*$C$28</f>
        <v>896742959.38587785</v>
      </c>
      <c r="CCG28" s="160">
        <f t="shared" ref="CCG28" si="1053">CCE28*$C$28</f>
        <v>905710388.97973669</v>
      </c>
      <c r="CCI28" s="160">
        <f t="shared" ref="CCI28" si="1054">CCG28*$C$28</f>
        <v>914767492.86953402</v>
      </c>
      <c r="CCK28" s="160">
        <f t="shared" ref="CCK28" si="1055">CCI28*$C$28</f>
        <v>923915167.79822934</v>
      </c>
      <c r="CCM28" s="160">
        <f t="shared" ref="CCM28" si="1056">CCK28*$C$28</f>
        <v>933154319.47621167</v>
      </c>
      <c r="CCO28" s="160">
        <f t="shared" ref="CCO28" si="1057">CCM28*$C$28</f>
        <v>942485862.67097378</v>
      </c>
      <c r="CCQ28" s="160">
        <f t="shared" ref="CCQ28" si="1058">CCO28*$C$28</f>
        <v>951910721.29768348</v>
      </c>
      <c r="CCS28" s="160">
        <f t="shared" ref="CCS28" si="1059">CCQ28*$C$28</f>
        <v>961429828.51066029</v>
      </c>
      <c r="CCU28" s="160">
        <f t="shared" ref="CCU28" si="1060">CCS28*$C$28</f>
        <v>971044126.79576695</v>
      </c>
      <c r="CCW28" s="160">
        <f t="shared" ref="CCW28" si="1061">CCU28*$C$28</f>
        <v>980754568.06372464</v>
      </c>
      <c r="CCY28" s="160">
        <f t="shared" ref="CCY28" si="1062">CCW28*$C$28</f>
        <v>990562113.74436188</v>
      </c>
      <c r="CDA28" s="160">
        <f t="shared" ref="CDA28" si="1063">CCY28*$C$28</f>
        <v>1000467734.8818055</v>
      </c>
      <c r="CDC28" s="160">
        <f t="shared" ref="CDC28" si="1064">CDA28*$C$28</f>
        <v>1010472412.2306236</v>
      </c>
      <c r="CDE28" s="160">
        <f t="shared" ref="CDE28" si="1065">CDC28*$C$28</f>
        <v>1020577136.3529298</v>
      </c>
      <c r="CDG28" s="160">
        <f t="shared" ref="CDG28" si="1066">CDE28*$C$28</f>
        <v>1030782907.7164592</v>
      </c>
      <c r="CDI28" s="160">
        <f t="shared" ref="CDI28" si="1067">CDG28*$C$28</f>
        <v>1041090736.7936238</v>
      </c>
      <c r="CDK28" s="160">
        <f t="shared" ref="CDK28" si="1068">CDI28*$C$28</f>
        <v>1051501644.1615601</v>
      </c>
      <c r="CDM28" s="160">
        <f t="shared" ref="CDM28" si="1069">CDK28*$C$28</f>
        <v>1062016660.6031756</v>
      </c>
      <c r="CDO28" s="160">
        <f t="shared" ref="CDO28" si="1070">CDM28*$C$28</f>
        <v>1072636827.2092074</v>
      </c>
      <c r="CDQ28" s="160">
        <f t="shared" ref="CDQ28" si="1071">CDO28*$C$28</f>
        <v>1083363195.4812994</v>
      </c>
      <c r="CDS28" s="160">
        <f t="shared" ref="CDS28" si="1072">CDQ28*$C$28</f>
        <v>1094196827.4361124</v>
      </c>
      <c r="CDU28" s="160">
        <f t="shared" ref="CDU28" si="1073">CDS28*$C$28</f>
        <v>1105138795.7104735</v>
      </c>
      <c r="CDW28" s="160">
        <f t="shared" ref="CDW28" si="1074">CDU28*$C$28</f>
        <v>1116190183.6675782</v>
      </c>
      <c r="CDY28" s="160">
        <f t="shared" ref="CDY28" si="1075">CDW28*$C$28</f>
        <v>1127352085.5042541</v>
      </c>
      <c r="CEA28" s="160">
        <f t="shared" ref="CEA28" si="1076">CDY28*$C$28</f>
        <v>1138625606.3592966</v>
      </c>
      <c r="CEC28" s="160">
        <f t="shared" ref="CEC28" si="1077">CEA28*$C$28</f>
        <v>1150011862.4228895</v>
      </c>
      <c r="CEE28" s="160">
        <f t="shared" ref="CEE28" si="1078">CEC28*$C$28</f>
        <v>1161511981.0471184</v>
      </c>
      <c r="CEG28" s="160">
        <f t="shared" ref="CEG28" si="1079">CEE28*$C$28</f>
        <v>1173127100.8575897</v>
      </c>
      <c r="CEI28" s="160">
        <f t="shared" ref="CEI28" si="1080">CEG28*$C$28</f>
        <v>1184858371.8661656</v>
      </c>
      <c r="CEK28" s="160">
        <f t="shared" ref="CEK28" si="1081">CEI28*$C$28</f>
        <v>1196706955.5848274</v>
      </c>
      <c r="CEM28" s="160">
        <f t="shared" ref="CEM28" si="1082">CEK28*$C$28</f>
        <v>1208674025.1406758</v>
      </c>
      <c r="CEO28" s="160">
        <f t="shared" ref="CEO28" si="1083">CEM28*$C$28</f>
        <v>1220760765.3920825</v>
      </c>
      <c r="CEQ28" s="160">
        <f t="shared" ref="CEQ28" si="1084">CEO28*$C$28</f>
        <v>1232968373.0460033</v>
      </c>
      <c r="CES28" s="160">
        <f t="shared" ref="CES28" si="1085">CEQ28*$C$28</f>
        <v>1245298056.7764633</v>
      </c>
      <c r="CEU28" s="160">
        <f t="shared" ref="CEU28" si="1086">CES28*$C$28</f>
        <v>1257751037.344228</v>
      </c>
      <c r="CEW28" s="160">
        <f t="shared" ref="CEW28" si="1087">CEU28*$C$28</f>
        <v>1270328547.7176702</v>
      </c>
      <c r="CEY28" s="160">
        <f t="shared" ref="CEY28" si="1088">CEW28*$C$28</f>
        <v>1283031833.1948469</v>
      </c>
      <c r="CFA28" s="160">
        <f t="shared" ref="CFA28" si="1089">CEY28*$C$28</f>
        <v>1295862151.5267954</v>
      </c>
      <c r="CFC28" s="160">
        <f t="shared" ref="CFC28" si="1090">CFA28*$C$28</f>
        <v>1308820773.0420632</v>
      </c>
      <c r="CFE28" s="160">
        <f t="shared" ref="CFE28" si="1091">CFC28*$C$28</f>
        <v>1321908980.7724838</v>
      </c>
      <c r="CFG28" s="160">
        <f t="shared" ref="CFG28" si="1092">CFE28*$C$28</f>
        <v>1335128070.5802088</v>
      </c>
      <c r="CFI28" s="160">
        <f t="shared" ref="CFI28" si="1093">CFG28*$C$28</f>
        <v>1348479351.286011</v>
      </c>
      <c r="CFK28" s="160">
        <f t="shared" ref="CFK28" si="1094">CFI28*$C$28</f>
        <v>1361964144.798871</v>
      </c>
      <c r="CFM28" s="160">
        <f t="shared" ref="CFM28" si="1095">CFK28*$C$28</f>
        <v>1375583786.2468598</v>
      </c>
      <c r="CFO28" s="160">
        <f t="shared" ref="CFO28" si="1096">CFM28*$C$28</f>
        <v>1389339624.1093285</v>
      </c>
      <c r="CFQ28" s="160">
        <f t="shared" ref="CFQ28" si="1097">CFO28*$C$28</f>
        <v>1403233020.3504219</v>
      </c>
      <c r="CFS28" s="160">
        <f t="shared" ref="CFS28" si="1098">CFQ28*$C$28</f>
        <v>1417265350.5539262</v>
      </c>
      <c r="CFU28" s="160">
        <f t="shared" ref="CFU28" si="1099">CFS28*$C$28</f>
        <v>1431438004.0594654</v>
      </c>
      <c r="CFW28" s="160">
        <f t="shared" ref="CFW28" si="1100">CFU28*$C$28</f>
        <v>1445752384.10006</v>
      </c>
      <c r="CFY28" s="160">
        <f t="shared" ref="CFY28" si="1101">CFW28*$C$28</f>
        <v>1460209907.9410605</v>
      </c>
      <c r="CGA28" s="160">
        <f t="shared" ref="CGA28" si="1102">CFY28*$C$28</f>
        <v>1474812007.0204711</v>
      </c>
      <c r="CGC28" s="160">
        <f t="shared" ref="CGC28" si="1103">CGA28*$C$28</f>
        <v>1489560127.0906758</v>
      </c>
      <c r="CGE28" s="160">
        <f t="shared" ref="CGE28" si="1104">CGC28*$C$28</f>
        <v>1504455728.3615825</v>
      </c>
      <c r="CGG28" s="160">
        <f t="shared" ref="CGG28" si="1105">CGE28*$C$28</f>
        <v>1519500285.6451983</v>
      </c>
      <c r="CGI28" s="160">
        <f t="shared" ref="CGI28" si="1106">CGG28*$C$28</f>
        <v>1534695288.5016503</v>
      </c>
      <c r="CGK28" s="160">
        <f t="shared" ref="CGK28" si="1107">CGI28*$C$28</f>
        <v>1550042241.3866668</v>
      </c>
      <c r="CGM28" s="160">
        <f t="shared" ref="CGM28" si="1108">CGK28*$C$28</f>
        <v>1565542663.8005335</v>
      </c>
      <c r="CGO28" s="160">
        <f t="shared" ref="CGO28" si="1109">CGM28*$C$28</f>
        <v>1581198090.4385388</v>
      </c>
      <c r="CGQ28" s="160">
        <f t="shared" ref="CGQ28" si="1110">CGO28*$C$28</f>
        <v>1597010071.3429241</v>
      </c>
      <c r="CGS28" s="160">
        <f t="shared" ref="CGS28" si="1111">CGQ28*$C$28</f>
        <v>1612980172.0563533</v>
      </c>
      <c r="CGU28" s="160">
        <f t="shared" ref="CGU28" si="1112">CGS28*$C$28</f>
        <v>1629109973.776917</v>
      </c>
      <c r="CGW28" s="160">
        <f t="shared" ref="CGW28" si="1113">CGU28*$C$28</f>
        <v>1645401073.5146861</v>
      </c>
      <c r="CGY28" s="160">
        <f t="shared" ref="CGY28" si="1114">CGW28*$C$28</f>
        <v>1661855084.2498329</v>
      </c>
      <c r="CHA28" s="160">
        <f t="shared" ref="CHA28" si="1115">CGY28*$C$28</f>
        <v>1678473635.0923312</v>
      </c>
      <c r="CHC28" s="160">
        <f t="shared" ref="CHC28" si="1116">CHA28*$C$28</f>
        <v>1695258371.4432545</v>
      </c>
      <c r="CHE28" s="160">
        <f t="shared" ref="CHE28" si="1117">CHC28*$C$28</f>
        <v>1712210955.1576869</v>
      </c>
      <c r="CHG28" s="160">
        <f t="shared" ref="CHG28" si="1118">CHE28*$C$28</f>
        <v>1729333064.7092638</v>
      </c>
      <c r="CHI28" s="160">
        <f t="shared" ref="CHI28" si="1119">CHG28*$C$28</f>
        <v>1746626395.3563564</v>
      </c>
      <c r="CHK28" s="160">
        <f t="shared" ref="CHK28" si="1120">CHI28*$C$28</f>
        <v>1764092659.3099201</v>
      </c>
      <c r="CHM28" s="160">
        <f t="shared" ref="CHM28" si="1121">CHK28*$C$28</f>
        <v>1781733585.9030192</v>
      </c>
      <c r="CHO28" s="160">
        <f t="shared" ref="CHO28" si="1122">CHM28*$C$28</f>
        <v>1799550921.7620494</v>
      </c>
      <c r="CHQ28" s="160">
        <f t="shared" ref="CHQ28" si="1123">CHO28*$C$28</f>
        <v>1817546430.97967</v>
      </c>
      <c r="CHS28" s="160">
        <f t="shared" ref="CHS28" si="1124">CHQ28*$C$28</f>
        <v>1835721895.2894669</v>
      </c>
      <c r="CHU28" s="160">
        <f t="shared" ref="CHU28" si="1125">CHS28*$C$28</f>
        <v>1854079114.2423615</v>
      </c>
      <c r="CHW28" s="160">
        <f t="shared" ref="CHW28" si="1126">CHU28*$C$28</f>
        <v>1872619905.3847852</v>
      </c>
      <c r="CHY28" s="160">
        <f t="shared" ref="CHY28" si="1127">CHW28*$C$28</f>
        <v>1891346104.438633</v>
      </c>
      <c r="CIA28" s="160">
        <f t="shared" ref="CIA28" si="1128">CHY28*$C$28</f>
        <v>1910259565.4830194</v>
      </c>
      <c r="CIC28" s="160">
        <f t="shared" ref="CIC28" si="1129">CIA28*$C$28</f>
        <v>1929362161.1378496</v>
      </c>
      <c r="CIE28" s="160">
        <f t="shared" ref="CIE28" si="1130">CIC28*$C$28</f>
        <v>1948655782.749228</v>
      </c>
      <c r="CIG28" s="160">
        <f t="shared" ref="CIG28" si="1131">CIE28*$C$28</f>
        <v>1968142340.5767202</v>
      </c>
      <c r="CII28" s="160">
        <f t="shared" ref="CII28" si="1132">CIG28*$C$28</f>
        <v>1987823763.9824874</v>
      </c>
      <c r="CIK28" s="160">
        <f t="shared" ref="CIK28" si="1133">CII28*$C$28</f>
        <v>2007702001.6223123</v>
      </c>
      <c r="CIM28" s="160">
        <f t="shared" ref="CIM28" si="1134">CIK28*$C$28</f>
        <v>2027779021.6385355</v>
      </c>
      <c r="CIO28" s="160">
        <f t="shared" ref="CIO28" si="1135">CIM28*$C$28</f>
        <v>2048056811.8549209</v>
      </c>
      <c r="CIQ28" s="160">
        <f t="shared" ref="CIQ28" si="1136">CIO28*$C$28</f>
        <v>2068537379.97347</v>
      </c>
      <c r="CIS28" s="160">
        <f t="shared" ref="CIS28" si="1137">CIQ28*$C$28</f>
        <v>2089222753.7732048</v>
      </c>
      <c r="CIU28" s="160">
        <f t="shared" ref="CIU28" si="1138">CIS28*$C$28</f>
        <v>2110114981.3109369</v>
      </c>
      <c r="CIW28" s="160">
        <f t="shared" ref="CIW28" si="1139">CIU28*$C$28</f>
        <v>2131216131.1240463</v>
      </c>
      <c r="CIY28" s="160">
        <f t="shared" ref="CIY28" si="1140">CIW28*$C$28</f>
        <v>2152528292.435287</v>
      </c>
      <c r="CJA28" s="160">
        <f t="shared" ref="CJA28" si="1141">CIY28*$C$28</f>
        <v>2174053575.3596401</v>
      </c>
      <c r="CJC28" s="160">
        <f t="shared" ref="CJC28" si="1142">CJA28*$C$28</f>
        <v>2195794111.1132364</v>
      </c>
      <c r="CJE28" s="160">
        <f t="shared" ref="CJE28" si="1143">CJC28*$C$28</f>
        <v>2217752052.224369</v>
      </c>
      <c r="CJG28" s="160">
        <f t="shared" ref="CJG28" si="1144">CJE28*$C$28</f>
        <v>2239929572.7466125</v>
      </c>
      <c r="CJI28" s="160">
        <f t="shared" ref="CJI28" si="1145">CJG28*$C$28</f>
        <v>2262328868.4740787</v>
      </c>
      <c r="CJK28" s="160">
        <f t="shared" ref="CJK28" si="1146">CJI28*$C$28</f>
        <v>2284952157.1588197</v>
      </c>
      <c r="CJM28" s="160">
        <f t="shared" ref="CJM28" si="1147">CJK28*$C$28</f>
        <v>2307801678.7304077</v>
      </c>
      <c r="CJO28" s="160">
        <f t="shared" ref="CJO28" si="1148">CJM28*$C$28</f>
        <v>2330879695.5177116</v>
      </c>
      <c r="CJQ28" s="160">
        <f t="shared" ref="CJQ28" si="1149">CJO28*$C$28</f>
        <v>2354188492.4728889</v>
      </c>
      <c r="CJS28" s="160">
        <f t="shared" ref="CJS28" si="1150">CJQ28*$C$28</f>
        <v>2377730377.3976178</v>
      </c>
      <c r="CJU28" s="160">
        <f t="shared" ref="CJU28" si="1151">CJS28*$C$28</f>
        <v>2401507681.1715941</v>
      </c>
      <c r="CJW28" s="160">
        <f t="shared" ref="CJW28" si="1152">CJU28*$C$28</f>
        <v>2425522757.9833102</v>
      </c>
      <c r="CJY28" s="160">
        <f t="shared" ref="CJY28" si="1153">CJW28*$C$28</f>
        <v>2449777985.5631433</v>
      </c>
      <c r="CKA28" s="160">
        <f t="shared" ref="CKA28" si="1154">CJY28*$C$28</f>
        <v>2474275765.4187746</v>
      </c>
      <c r="CKC28" s="160">
        <f t="shared" ref="CKC28" si="1155">CKA28*$C$28</f>
        <v>2499018523.0729623</v>
      </c>
      <c r="CKE28" s="160">
        <f t="shared" ref="CKE28" si="1156">CKC28*$C$28</f>
        <v>2524008708.3036919</v>
      </c>
      <c r="CKG28" s="160">
        <f t="shared" ref="CKG28" si="1157">CKE28*$C$28</f>
        <v>2549248795.3867288</v>
      </c>
      <c r="CKI28" s="160">
        <f t="shared" ref="CKI28" si="1158">CKG28*$C$28</f>
        <v>2574741283.3405962</v>
      </c>
      <c r="CKK28" s="160">
        <f t="shared" ref="CKK28" si="1159">CKI28*$C$28</f>
        <v>2600488696.1740022</v>
      </c>
      <c r="CKM28" s="160">
        <f t="shared" ref="CKM28" si="1160">CKK28*$C$28</f>
        <v>2626493583.1357422</v>
      </c>
      <c r="CKO28" s="160">
        <f t="shared" ref="CKO28" si="1161">CKM28*$C$28</f>
        <v>2652758518.9670997</v>
      </c>
      <c r="CKQ28" s="160">
        <f t="shared" ref="CKQ28" si="1162">CKO28*$C$28</f>
        <v>2679286104.1567707</v>
      </c>
      <c r="CKS28" s="160">
        <f t="shared" ref="CKS28" si="1163">CKQ28*$C$28</f>
        <v>2706078965.1983385</v>
      </c>
      <c r="CKU28" s="160">
        <f t="shared" ref="CKU28" si="1164">CKS28*$C$28</f>
        <v>2733139754.8503218</v>
      </c>
      <c r="CKW28" s="160">
        <f t="shared" ref="CKW28" si="1165">CKU28*$C$28</f>
        <v>2760471152.3988252</v>
      </c>
      <c r="CKY28" s="160">
        <f t="shared" ref="CKY28" si="1166">CKW28*$C$28</f>
        <v>2788075863.9228134</v>
      </c>
      <c r="CLA28" s="160">
        <f t="shared" ref="CLA28" si="1167">CKY28*$C$28</f>
        <v>2815956622.5620418</v>
      </c>
      <c r="CLC28" s="160">
        <f t="shared" ref="CLC28" si="1168">CLA28*$C$28</f>
        <v>2844116188.787662</v>
      </c>
      <c r="CLE28" s="160">
        <f t="shared" ref="CLE28" si="1169">CLC28*$C$28</f>
        <v>2872557350.6755385</v>
      </c>
      <c r="CLG28" s="160">
        <f t="shared" ref="CLG28" si="1170">CLE28*$C$28</f>
        <v>2901282924.1822939</v>
      </c>
      <c r="CLI28" s="160">
        <f t="shared" ref="CLI28" si="1171">CLG28*$C$28</f>
        <v>2930295753.4241171</v>
      </c>
      <c r="CLK28" s="160">
        <f t="shared" ref="CLK28" si="1172">CLI28*$C$28</f>
        <v>2959598710.9583583</v>
      </c>
      <c r="CLM28" s="160">
        <f t="shared" ref="CLM28" si="1173">CLK28*$C$28</f>
        <v>2989194698.0679417</v>
      </c>
      <c r="CLO28" s="160">
        <f t="shared" ref="CLO28" si="1174">CLM28*$C$28</f>
        <v>3019086645.0486212</v>
      </c>
      <c r="CLQ28" s="160">
        <f t="shared" ref="CLQ28" si="1175">CLO28*$C$28</f>
        <v>3049277511.4991074</v>
      </c>
      <c r="CLS28" s="160">
        <f t="shared" ref="CLS28" si="1176">CLQ28*$C$28</f>
        <v>3079770286.6140985</v>
      </c>
      <c r="CLU28" s="160">
        <f t="shared" ref="CLU28" si="1177">CLS28*$C$28</f>
        <v>3110567989.4802394</v>
      </c>
      <c r="CLW28" s="160">
        <f t="shared" ref="CLW28" si="1178">CLU28*$C$28</f>
        <v>3141673669.375042</v>
      </c>
      <c r="CLY28" s="160">
        <f t="shared" ref="CLY28" si="1179">CLW28*$C$28</f>
        <v>3173090406.0687923</v>
      </c>
      <c r="CMA28" s="160">
        <f t="shared" ref="CMA28" si="1180">CLY28*$C$28</f>
        <v>3204821310.1294804</v>
      </c>
      <c r="CMC28" s="160">
        <f t="shared" ref="CMC28" si="1181">CMA28*$C$28</f>
        <v>3236869523.2307754</v>
      </c>
      <c r="CME28" s="160">
        <f t="shared" ref="CME28" si="1182">CMC28*$C$28</f>
        <v>3269238218.4630833</v>
      </c>
      <c r="CMG28" s="160">
        <f t="shared" ref="CMG28" si="1183">CME28*$C$28</f>
        <v>3301930600.6477141</v>
      </c>
      <c r="CMI28" s="160">
        <f t="shared" ref="CMI28" si="1184">CMG28*$C$28</f>
        <v>3334949906.6541915</v>
      </c>
      <c r="CMK28" s="160">
        <f t="shared" ref="CMK28" si="1185">CMI28*$C$28</f>
        <v>3368299405.7207336</v>
      </c>
      <c r="CMM28" s="160">
        <f t="shared" ref="CMM28" si="1186">CMK28*$C$28</f>
        <v>3401982399.7779412</v>
      </c>
      <c r="CMO28" s="160">
        <f t="shared" ref="CMO28" si="1187">CMM28*$C$28</f>
        <v>3436002223.7757206</v>
      </c>
      <c r="CMQ28" s="160">
        <f t="shared" ref="CMQ28" si="1188">CMO28*$C$28</f>
        <v>3470362246.0134778</v>
      </c>
      <c r="CMS28" s="160">
        <f t="shared" ref="CMS28" si="1189">CMQ28*$C$28</f>
        <v>3505065868.4736128</v>
      </c>
      <c r="CMU28" s="160">
        <f t="shared" ref="CMU28" si="1190">CMS28*$C$28</f>
        <v>3540116527.158349</v>
      </c>
      <c r="CMW28" s="160">
        <f t="shared" ref="CMW28" si="1191">CMU28*$C$28</f>
        <v>3575517692.4299326</v>
      </c>
      <c r="CMY28" s="160">
        <f t="shared" ref="CMY28" si="1192">CMW28*$C$28</f>
        <v>3611272869.3542318</v>
      </c>
      <c r="CNA28" s="160">
        <f t="shared" ref="CNA28" si="1193">CMY28*$C$28</f>
        <v>3647385598.0477743</v>
      </c>
      <c r="CNC28" s="160">
        <f t="shared" ref="CNC28" si="1194">CNA28*$C$28</f>
        <v>3683859454.0282521</v>
      </c>
      <c r="CNE28" s="160">
        <f t="shared" ref="CNE28" si="1195">CNC28*$C$28</f>
        <v>3720698048.5685349</v>
      </c>
      <c r="CNG28" s="160">
        <f t="shared" ref="CNG28" si="1196">CNE28*$C$28</f>
        <v>3757905029.0542202</v>
      </c>
      <c r="CNI28" s="160">
        <f t="shared" ref="CNI28" si="1197">CNG28*$C$28</f>
        <v>3795484079.3447623</v>
      </c>
      <c r="CNK28" s="160">
        <f t="shared" ref="CNK28" si="1198">CNI28*$C$28</f>
        <v>3833438920.1382098</v>
      </c>
      <c r="CNM28" s="160">
        <f t="shared" ref="CNM28" si="1199">CNK28*$C$28</f>
        <v>3871773309.339592</v>
      </c>
      <c r="CNO28" s="160">
        <f t="shared" ref="CNO28" si="1200">CNM28*$C$28</f>
        <v>3910491042.4329882</v>
      </c>
      <c r="CNQ28" s="160">
        <f t="shared" ref="CNQ28" si="1201">CNO28*$C$28</f>
        <v>3949595952.8573179</v>
      </c>
      <c r="CNS28" s="160">
        <f t="shared" ref="CNS28" si="1202">CNQ28*$C$28</f>
        <v>3989091912.385891</v>
      </c>
      <c r="CNU28" s="160">
        <f t="shared" ref="CNU28" si="1203">CNS28*$C$28</f>
        <v>4028982831.5097499</v>
      </c>
      <c r="CNW28" s="160">
        <f t="shared" ref="CNW28" si="1204">CNU28*$C$28</f>
        <v>4069272659.8248472</v>
      </c>
      <c r="CNY28" s="160">
        <f t="shared" ref="CNY28" si="1205">CNW28*$C$28</f>
        <v>4109965386.4230957</v>
      </c>
      <c r="COA28" s="160">
        <f t="shared" ref="COA28" si="1206">CNY28*$C$28</f>
        <v>4151065040.2873268</v>
      </c>
      <c r="COC28" s="160">
        <f t="shared" ref="COC28" si="1207">COA28*$C$28</f>
        <v>4192575690.6902003</v>
      </c>
      <c r="COE28" s="160">
        <f t="shared" ref="COE28" si="1208">COC28*$C$28</f>
        <v>4234501447.5971022</v>
      </c>
      <c r="COG28" s="160">
        <f t="shared" ref="COG28" si="1209">COE28*$C$28</f>
        <v>4276846462.0730734</v>
      </c>
      <c r="COI28" s="160">
        <f t="shared" ref="COI28" si="1210">COG28*$C$28</f>
        <v>4319614926.6938038</v>
      </c>
      <c r="COK28" s="160">
        <f t="shared" ref="COK28" si="1211">COI28*$C$28</f>
        <v>4362811075.960742</v>
      </c>
      <c r="COM28" s="160">
        <f t="shared" ref="COM28" si="1212">COK28*$C$28</f>
        <v>4406439186.7203493</v>
      </c>
      <c r="COO28" s="160">
        <f t="shared" ref="COO28" si="1213">COM28*$C$28</f>
        <v>4450503578.587553</v>
      </c>
      <c r="COQ28" s="160">
        <f t="shared" ref="COQ28" si="1214">COO28*$C$28</f>
        <v>4495008614.3734283</v>
      </c>
      <c r="COS28" s="160">
        <f t="shared" ref="COS28" si="1215">COQ28*$C$28</f>
        <v>4539958700.5171623</v>
      </c>
      <c r="COU28" s="160">
        <f t="shared" ref="COU28" si="1216">COS28*$C$28</f>
        <v>4585358287.5223341</v>
      </c>
      <c r="COW28" s="160">
        <f t="shared" ref="COW28" si="1217">COU28*$C$28</f>
        <v>4631211870.3975573</v>
      </c>
      <c r="COY28" s="160">
        <f t="shared" ref="COY28" si="1218">COW28*$C$28</f>
        <v>4677523989.1015329</v>
      </c>
      <c r="CPA28" s="160">
        <f t="shared" ref="CPA28" si="1219">COY28*$C$28</f>
        <v>4724299228.992548</v>
      </c>
      <c r="CPC28" s="160">
        <f t="shared" ref="CPC28" si="1220">CPA28*$C$28</f>
        <v>4771542221.2824736</v>
      </c>
      <c r="CPE28" s="160">
        <f t="shared" ref="CPE28" si="1221">CPC28*$C$28</f>
        <v>4819257643.4952984</v>
      </c>
      <c r="CPG28" s="160">
        <f t="shared" ref="CPG28" si="1222">CPE28*$C$28</f>
        <v>4867450219.9302511</v>
      </c>
      <c r="CPI28" s="160">
        <f t="shared" ref="CPI28" si="1223">CPG28*$C$28</f>
        <v>4916124722.1295538</v>
      </c>
      <c r="CPK28" s="160">
        <f t="shared" ref="CPK28" si="1224">CPI28*$C$28</f>
        <v>4965285969.3508492</v>
      </c>
      <c r="CPM28" s="160">
        <f t="shared" ref="CPM28" si="1225">CPK28*$C$28</f>
        <v>5014938829.0443573</v>
      </c>
      <c r="CPO28" s="160">
        <f t="shared" ref="CPO28" si="1226">CPM28*$C$28</f>
        <v>5065088217.3348007</v>
      </c>
      <c r="CPQ28" s="160">
        <f t="shared" ref="CPQ28" si="1227">CPO28*$C$28</f>
        <v>5115739099.5081491</v>
      </c>
      <c r="CPS28" s="160">
        <f t="shared" ref="CPS28" si="1228">CPQ28*$C$28</f>
        <v>5166896490.503231</v>
      </c>
      <c r="CPU28" s="160">
        <f t="shared" ref="CPU28" si="1229">CPS28*$C$28</f>
        <v>5218565455.4082632</v>
      </c>
      <c r="CPW28" s="160">
        <f t="shared" ref="CPW28" si="1230">CPU28*$C$28</f>
        <v>5270751109.9623461</v>
      </c>
      <c r="CPY28" s="160">
        <f t="shared" ref="CPY28" si="1231">CPW28*$C$28</f>
        <v>5323458621.0619698</v>
      </c>
      <c r="CQA28" s="160">
        <f t="shared" ref="CQA28" si="1232">CPY28*$C$28</f>
        <v>5376693207.2725897</v>
      </c>
      <c r="CQC28" s="160">
        <f t="shared" ref="CQC28" si="1233">CQA28*$C$28</f>
        <v>5430460139.3453159</v>
      </c>
      <c r="CQE28" s="160">
        <f t="shared" ref="CQE28" si="1234">CQC28*$C$28</f>
        <v>5484764740.7387695</v>
      </c>
      <c r="CQG28" s="160">
        <f t="shared" ref="CQG28" si="1235">CQE28*$C$28</f>
        <v>5539612388.1461573</v>
      </c>
      <c r="CQI28" s="160">
        <f t="shared" ref="CQI28" si="1236">CQG28*$C$28</f>
        <v>5595008512.0276194</v>
      </c>
      <c r="CQK28" s="160">
        <f t="shared" ref="CQK28" si="1237">CQI28*$C$28</f>
        <v>5650958597.1478958</v>
      </c>
      <c r="CQM28" s="160">
        <f t="shared" ref="CQM28" si="1238">CQK28*$C$28</f>
        <v>5707468183.1193752</v>
      </c>
      <c r="CQO28" s="160">
        <f t="shared" ref="CQO28" si="1239">CQM28*$C$28</f>
        <v>5764542864.9505692</v>
      </c>
      <c r="CQQ28" s="160">
        <f t="shared" ref="CQQ28" si="1240">CQO28*$C$28</f>
        <v>5822188293.6000748</v>
      </c>
      <c r="CQS28" s="160">
        <f t="shared" ref="CQS28" si="1241">CQQ28*$C$28</f>
        <v>5880410176.5360756</v>
      </c>
      <c r="CQU28" s="160">
        <f t="shared" ref="CQU28" si="1242">CQS28*$C$28</f>
        <v>5939214278.3014364</v>
      </c>
      <c r="CQW28" s="160">
        <f t="shared" ref="CQW28" si="1243">CQU28*$C$28</f>
        <v>5998606421.0844507</v>
      </c>
      <c r="CQY28" s="160">
        <f t="shared" ref="CQY28" si="1244">CQW28*$C$28</f>
        <v>6058592485.2952957</v>
      </c>
      <c r="CRA28" s="160">
        <f t="shared" ref="CRA28" si="1245">CQY28*$C$28</f>
        <v>6119178410.1482487</v>
      </c>
      <c r="CRC28" s="160">
        <f t="shared" ref="CRC28" si="1246">CRA28*$C$28</f>
        <v>6180370194.2497311</v>
      </c>
      <c r="CRE28" s="160">
        <f t="shared" ref="CRE28" si="1247">CRC28*$C$28</f>
        <v>6242173896.1922283</v>
      </c>
      <c r="CRG28" s="160">
        <f t="shared" ref="CRG28" si="1248">CRE28*$C$28</f>
        <v>6304595635.154151</v>
      </c>
      <c r="CRI28" s="160">
        <f t="shared" ref="CRI28" si="1249">CRG28*$C$28</f>
        <v>6367641591.5056925</v>
      </c>
      <c r="CRK28" s="160">
        <f t="shared" ref="CRK28" si="1250">CRI28*$C$28</f>
        <v>6431318007.4207497</v>
      </c>
      <c r="CRM28" s="160">
        <f t="shared" ref="CRM28" si="1251">CRK28*$C$28</f>
        <v>6495631187.494957</v>
      </c>
      <c r="CRO28" s="160">
        <f t="shared" ref="CRO28" si="1252">CRM28*$C$28</f>
        <v>6560587499.3699064</v>
      </c>
      <c r="CRQ28" s="160">
        <f t="shared" ref="CRQ28" si="1253">CRO28*$C$28</f>
        <v>6626193374.3636055</v>
      </c>
      <c r="CRS28" s="160">
        <f t="shared" ref="CRS28" si="1254">CRQ28*$C$28</f>
        <v>6692455308.1072416</v>
      </c>
      <c r="CRU28" s="160">
        <f t="shared" ref="CRU28" si="1255">CRS28*$C$28</f>
        <v>6759379861.1883144</v>
      </c>
      <c r="CRW28" s="160">
        <f t="shared" ref="CRW28" si="1256">CRU28*$C$28</f>
        <v>6826973659.8001976</v>
      </c>
      <c r="CRY28" s="160">
        <f t="shared" ref="CRY28" si="1257">CRW28*$C$28</f>
        <v>6895243396.3982</v>
      </c>
      <c r="CSA28" s="160">
        <f t="shared" ref="CSA28" si="1258">CRY28*$C$28</f>
        <v>6964195830.3621817</v>
      </c>
      <c r="CSC28" s="160">
        <f t="shared" ref="CSC28" si="1259">CSA28*$C$28</f>
        <v>7033837788.6658039</v>
      </c>
      <c r="CSE28" s="160">
        <f t="shared" ref="CSE28" si="1260">CSC28*$C$28</f>
        <v>7104176166.5524616</v>
      </c>
      <c r="CSG28" s="160">
        <f t="shared" ref="CSG28" si="1261">CSE28*$C$28</f>
        <v>7175217928.2179861</v>
      </c>
      <c r="CSI28" s="160">
        <f t="shared" ref="CSI28" si="1262">CSG28*$C$28</f>
        <v>7246970107.5001659</v>
      </c>
      <c r="CSK28" s="160">
        <f t="shared" ref="CSK28" si="1263">CSI28*$C$28</f>
        <v>7319439808.5751677</v>
      </c>
      <c r="CSM28" s="160">
        <f t="shared" ref="CSM28" si="1264">CSK28*$C$28</f>
        <v>7392634206.6609192</v>
      </c>
      <c r="CSO28" s="160">
        <f t="shared" ref="CSO28" si="1265">CSM28*$C$28</f>
        <v>7466560548.7275286</v>
      </c>
      <c r="CSQ28" s="160">
        <f t="shared" ref="CSQ28" si="1266">CSO28*$C$28</f>
        <v>7541226154.2148037</v>
      </c>
      <c r="CSS28" s="160">
        <f t="shared" ref="CSS28" si="1267">CSQ28*$C$28</f>
        <v>7616638415.7569513</v>
      </c>
      <c r="CSU28" s="160">
        <f t="shared" ref="CSU28" si="1268">CSS28*$C$28</f>
        <v>7692804799.9145212</v>
      </c>
      <c r="CSW28" s="160">
        <f t="shared" ref="CSW28" si="1269">CSU28*$C$28</f>
        <v>7769732847.9136667</v>
      </c>
      <c r="CSY28" s="160">
        <f t="shared" ref="CSY28" si="1270">CSW28*$C$28</f>
        <v>7847430176.3928032</v>
      </c>
      <c r="CTA28" s="160">
        <f t="shared" ref="CTA28" si="1271">CSY28*$C$28</f>
        <v>7925904478.1567316</v>
      </c>
      <c r="CTC28" s="160">
        <f t="shared" ref="CTC28" si="1272">CTA28*$C$28</f>
        <v>8005163522.9382992</v>
      </c>
      <c r="CTE28" s="160">
        <f t="shared" ref="CTE28" si="1273">CTC28*$C$28</f>
        <v>8085215158.1676826</v>
      </c>
      <c r="CTG28" s="160">
        <f t="shared" ref="CTG28" si="1274">CTE28*$C$28</f>
        <v>8166067309.7493591</v>
      </c>
      <c r="CTI28" s="160">
        <f t="shared" ref="CTI28" si="1275">CTG28*$C$28</f>
        <v>8247727982.8468533</v>
      </c>
      <c r="CTK28" s="160">
        <f t="shared" ref="CTK28" si="1276">CTI28*$C$28</f>
        <v>8330205262.6753216</v>
      </c>
      <c r="CTM28" s="160">
        <f t="shared" ref="CTM28" si="1277">CTK28*$C$28</f>
        <v>8413507315.3020744</v>
      </c>
      <c r="CTO28" s="160">
        <f t="shared" ref="CTO28" si="1278">CTM28*$C$28</f>
        <v>8497642388.4550953</v>
      </c>
      <c r="CTQ28" s="160">
        <f t="shared" ref="CTQ28" si="1279">CTO28*$C$28</f>
        <v>8582618812.3396463</v>
      </c>
      <c r="CTS28" s="160">
        <f t="shared" ref="CTS28" si="1280">CTQ28*$C$28</f>
        <v>8668445000.4630432</v>
      </c>
      <c r="CTU28" s="160">
        <f t="shared" ref="CTU28" si="1281">CTS28*$C$28</f>
        <v>8755129450.4676743</v>
      </c>
      <c r="CTW28" s="160">
        <f t="shared" ref="CTW28" si="1282">CTU28*$C$28</f>
        <v>8842680744.9723511</v>
      </c>
      <c r="CTY28" s="160">
        <f t="shared" ref="CTY28" si="1283">CTW28*$C$28</f>
        <v>8931107552.4220753</v>
      </c>
      <c r="CUA28" s="160">
        <f t="shared" ref="CUA28" si="1284">CTY28*$C$28</f>
        <v>9020418627.9462967</v>
      </c>
      <c r="CUC28" s="160">
        <f t="shared" ref="CUC28" si="1285">CUA28*$C$28</f>
        <v>9110622814.2257595</v>
      </c>
      <c r="CUE28" s="160">
        <f t="shared" ref="CUE28" si="1286">CUC28*$C$28</f>
        <v>9201729042.3680172</v>
      </c>
      <c r="CUG28" s="160">
        <f t="shared" ref="CUG28" si="1287">CUE28*$C$28</f>
        <v>9293746332.7916965</v>
      </c>
      <c r="CUI28" s="160">
        <f t="shared" ref="CUI28" si="1288">CUG28*$C$28</f>
        <v>9386683796.1196136</v>
      </c>
      <c r="CUK28" s="160">
        <f t="shared" ref="CUK28" si="1289">CUI28*$C$28</f>
        <v>9480550634.0808105</v>
      </c>
      <c r="CUM28" s="160">
        <f t="shared" ref="CUM28" si="1290">CUK28*$C$28</f>
        <v>9575356140.4216194</v>
      </c>
      <c r="CUO28" s="160">
        <f t="shared" ref="CUO28" si="1291">CUM28*$C$28</f>
        <v>9671109701.8258362</v>
      </c>
      <c r="CUQ28" s="160">
        <f t="shared" ref="CUQ28" si="1292">CUO28*$C$28</f>
        <v>9767820798.8440952</v>
      </c>
      <c r="CUS28" s="160">
        <f t="shared" ref="CUS28" si="1293">CUQ28*$C$28</f>
        <v>9865499006.8325367</v>
      </c>
      <c r="CUU28" s="160">
        <f t="shared" ref="CUU28" si="1294">CUS28*$C$28</f>
        <v>9964153996.9008617</v>
      </c>
      <c r="CUW28" s="160">
        <f t="shared" ref="CUW28" si="1295">CUU28*$C$28</f>
        <v>10063795536.869871</v>
      </c>
      <c r="CUY28" s="160">
        <f t="shared" ref="CUY28" si="1296">CUW28*$C$28</f>
        <v>10164433492.238569</v>
      </c>
      <c r="CVA28" s="160">
        <f t="shared" ref="CVA28" si="1297">CUY28*$C$28</f>
        <v>10266077827.160955</v>
      </c>
      <c r="CVC28" s="160">
        <f t="shared" ref="CVC28" si="1298">CVA28*$C$28</f>
        <v>10368738605.432566</v>
      </c>
      <c r="CVE28" s="160">
        <f t="shared" ref="CVE28" si="1299">CVC28*$C$28</f>
        <v>10472425991.486891</v>
      </c>
      <c r="CVG28" s="160">
        <f t="shared" ref="CVG28" si="1300">CVE28*$C$28</f>
        <v>10577150251.40176</v>
      </c>
      <c r="CVI28" s="160">
        <f t="shared" ref="CVI28" si="1301">CVG28*$C$28</f>
        <v>10682921753.915777</v>
      </c>
      <c r="CVK28" s="160">
        <f t="shared" ref="CVK28" si="1302">CVI28*$C$28</f>
        <v>10789750971.454935</v>
      </c>
      <c r="CVM28" s="160">
        <f t="shared" ref="CVM28" si="1303">CVK28*$C$28</f>
        <v>10897648481.169485</v>
      </c>
      <c r="CVO28" s="160">
        <f t="shared" ref="CVO28" si="1304">CVM28*$C$28</f>
        <v>11006624965.98118</v>
      </c>
      <c r="CVQ28" s="160">
        <f t="shared" ref="CVQ28" si="1305">CVO28*$C$28</f>
        <v>11116691215.640991</v>
      </c>
      <c r="CVS28" s="160">
        <f t="shared" ref="CVS28" si="1306">CVQ28*$C$28</f>
        <v>11227858127.797401</v>
      </c>
      <c r="CVU28" s="160">
        <f t="shared" ref="CVU28" si="1307">CVS28*$C$28</f>
        <v>11340136709.075375</v>
      </c>
      <c r="CVW28" s="160">
        <f t="shared" ref="CVW28" si="1308">CVU28*$C$28</f>
        <v>11453538076.166128</v>
      </c>
      <c r="CVY28" s="160">
        <f t="shared" ref="CVY28" si="1309">CVW28*$C$28</f>
        <v>11568073456.92779</v>
      </c>
      <c r="CWA28" s="160">
        <f t="shared" ref="CWA28" si="1310">CVY28*$C$28</f>
        <v>11683754191.497068</v>
      </c>
      <c r="CWC28" s="160">
        <f t="shared" ref="CWC28" si="1311">CWA28*$C$28</f>
        <v>11800591733.412039</v>
      </c>
      <c r="CWE28" s="160">
        <f t="shared" ref="CWE28" si="1312">CWC28*$C$28</f>
        <v>11918597650.746159</v>
      </c>
      <c r="CWG28" s="160">
        <f t="shared" ref="CWG28" si="1313">CWE28*$C$28</f>
        <v>12037783627.25362</v>
      </c>
      <c r="CWI28" s="160">
        <f t="shared" ref="CWI28" si="1314">CWG28*$C$28</f>
        <v>12158161463.526157</v>
      </c>
      <c r="CWK28" s="160">
        <f t="shared" ref="CWK28" si="1315">CWI28*$C$28</f>
        <v>12279743078.161419</v>
      </c>
      <c r="CWM28" s="160">
        <f t="shared" ref="CWM28" si="1316">CWK28*$C$28</f>
        <v>12402540508.943033</v>
      </c>
      <c r="CWO28" s="160">
        <f t="shared" ref="CWO28" si="1317">CWM28*$C$28</f>
        <v>12526565914.032463</v>
      </c>
      <c r="CWQ28" s="160">
        <f t="shared" ref="CWQ28" si="1318">CWO28*$C$28</f>
        <v>12651831573.172789</v>
      </c>
      <c r="CWS28" s="160">
        <f t="shared" ref="CWS28" si="1319">CWQ28*$C$28</f>
        <v>12778349888.904516</v>
      </c>
      <c r="CWU28" s="160">
        <f t="shared" ref="CWU28" si="1320">CWS28*$C$28</f>
        <v>12906133387.793562</v>
      </c>
      <c r="CWW28" s="160">
        <f t="shared" ref="CWW28" si="1321">CWU28*$C$28</f>
        <v>13035194721.671497</v>
      </c>
      <c r="CWY28" s="160">
        <f t="shared" ref="CWY28" si="1322">CWW28*$C$28</f>
        <v>13165546668.888212</v>
      </c>
      <c r="CXA28" s="160">
        <f t="shared" ref="CXA28" si="1323">CWY28*$C$28</f>
        <v>13297202135.577095</v>
      </c>
      <c r="CXC28" s="160">
        <f t="shared" ref="CXC28" si="1324">CXA28*$C$28</f>
        <v>13430174156.932867</v>
      </c>
      <c r="CXE28" s="160">
        <f t="shared" ref="CXE28" si="1325">CXC28*$C$28</f>
        <v>13564475898.502195</v>
      </c>
      <c r="CXG28" s="160">
        <f t="shared" ref="CXG28" si="1326">CXE28*$C$28</f>
        <v>13700120657.487217</v>
      </c>
      <c r="CXI28" s="160">
        <f t="shared" ref="CXI28" si="1327">CXG28*$C$28</f>
        <v>13837121864.06209</v>
      </c>
      <c r="CXK28" s="160">
        <f t="shared" ref="CXK28" si="1328">CXI28*$C$28</f>
        <v>13975493082.702711</v>
      </c>
      <c r="CXM28" s="160">
        <f t="shared" ref="CXM28" si="1329">CXK28*$C$28</f>
        <v>14115248013.529737</v>
      </c>
      <c r="CXO28" s="160">
        <f t="shared" ref="CXO28" si="1330">CXM28*$C$28</f>
        <v>14256400493.665035</v>
      </c>
      <c r="CXQ28" s="160">
        <f t="shared" ref="CXQ28" si="1331">CXO28*$C$28</f>
        <v>14398964498.601686</v>
      </c>
      <c r="CXS28" s="160">
        <f t="shared" ref="CXS28" si="1332">CXQ28*$C$28</f>
        <v>14542954143.587704</v>
      </c>
      <c r="CXU28" s="160">
        <f t="shared" ref="CXU28" si="1333">CXS28*$C$28</f>
        <v>14688383685.023581</v>
      </c>
      <c r="CXW28" s="160">
        <f t="shared" ref="CXW28" si="1334">CXU28*$C$28</f>
        <v>14835267521.873816</v>
      </c>
      <c r="CXY28" s="160">
        <f t="shared" ref="CXY28" si="1335">CXW28*$C$28</f>
        <v>14983620197.092554</v>
      </c>
      <c r="CYA28" s="160">
        <f t="shared" ref="CYA28" si="1336">CXY28*$C$28</f>
        <v>15133456399.06348</v>
      </c>
      <c r="CYC28" s="160">
        <f t="shared" ref="CYC28" si="1337">CYA28*$C$28</f>
        <v>15284790963.054115</v>
      </c>
      <c r="CYE28" s="160">
        <f t="shared" ref="CYE28" si="1338">CYC28*$C$28</f>
        <v>15437638872.684656</v>
      </c>
      <c r="CYG28" s="160">
        <f t="shared" ref="CYG28" si="1339">CYE28*$C$28</f>
        <v>15592015261.411503</v>
      </c>
      <c r="CYI28" s="160">
        <f t="shared" ref="CYI28" si="1340">CYG28*$C$28</f>
        <v>15747935414.025618</v>
      </c>
      <c r="CYK28" s="160">
        <f t="shared" ref="CYK28" si="1341">CYI28*$C$28</f>
        <v>15905414768.165874</v>
      </c>
      <c r="CYM28" s="160">
        <f t="shared" ref="CYM28" si="1342">CYK28*$C$28</f>
        <v>16064468915.847534</v>
      </c>
      <c r="CYO28" s="160">
        <f t="shared" ref="CYO28" si="1343">CYM28*$C$28</f>
        <v>16225113605.00601</v>
      </c>
      <c r="CYQ28" s="160">
        <f t="shared" ref="CYQ28" si="1344">CYO28*$C$28</f>
        <v>16387364741.05607</v>
      </c>
      <c r="CYS28" s="160">
        <f t="shared" ref="CYS28" si="1345">CYQ28*$C$28</f>
        <v>16551238388.466631</v>
      </c>
      <c r="CYU28" s="160">
        <f t="shared" ref="CYU28" si="1346">CYS28*$C$28</f>
        <v>16716750772.351297</v>
      </c>
      <c r="CYW28" s="160">
        <f t="shared" ref="CYW28" si="1347">CYU28*$C$28</f>
        <v>16883918280.07481</v>
      </c>
      <c r="CYY28" s="160">
        <f t="shared" ref="CYY28" si="1348">CYW28*$C$28</f>
        <v>17052757462.875559</v>
      </c>
      <c r="CZA28" s="160">
        <f t="shared" ref="CZA28" si="1349">CYY28*$C$28</f>
        <v>17223285037.504314</v>
      </c>
      <c r="CZC28" s="160">
        <f t="shared" ref="CZC28" si="1350">CZA28*$C$28</f>
        <v>17395517887.879356</v>
      </c>
      <c r="CZE28" s="160">
        <f t="shared" ref="CZE28" si="1351">CZC28*$C$28</f>
        <v>17569473066.758152</v>
      </c>
      <c r="CZG28" s="160">
        <f t="shared" ref="CZG28" si="1352">CZE28*$C$28</f>
        <v>17745167797.425735</v>
      </c>
      <c r="CZI28" s="160">
        <f t="shared" ref="CZI28" si="1353">CZG28*$C$28</f>
        <v>17922619475.399994</v>
      </c>
      <c r="CZK28" s="160">
        <f t="shared" ref="CZK28" si="1354">CZI28*$C$28</f>
        <v>18101845670.153996</v>
      </c>
      <c r="CZM28" s="160">
        <f t="shared" ref="CZM28" si="1355">CZK28*$C$28</f>
        <v>18282864126.855537</v>
      </c>
      <c r="CZO28" s="160">
        <f t="shared" ref="CZO28" si="1356">CZM28*$C$28</f>
        <v>18465692768.124092</v>
      </c>
      <c r="CZQ28" s="160">
        <f t="shared" ref="CZQ28" si="1357">CZO28*$C$28</f>
        <v>18650349695.805332</v>
      </c>
      <c r="CZS28" s="160">
        <f t="shared" ref="CZS28" si="1358">CZQ28*$C$28</f>
        <v>18836853192.763386</v>
      </c>
      <c r="CZU28" s="160">
        <f t="shared" ref="CZU28" si="1359">CZS28*$C$28</f>
        <v>19025221724.691021</v>
      </c>
      <c r="CZW28" s="160">
        <f t="shared" ref="CZW28" si="1360">CZU28*$C$28</f>
        <v>19215473941.937931</v>
      </c>
      <c r="CZY28" s="160">
        <f t="shared" ref="CZY28" si="1361">CZW28*$C$28</f>
        <v>19407628681.357311</v>
      </c>
      <c r="DAA28" s="160">
        <f t="shared" ref="DAA28" si="1362">CZY28*$C$28</f>
        <v>19601704968.170883</v>
      </c>
      <c r="DAC28" s="160">
        <f t="shared" ref="DAC28" si="1363">DAA28*$C$28</f>
        <v>19797722017.852592</v>
      </c>
      <c r="DAE28" s="160">
        <f t="shared" ref="DAE28" si="1364">DAC28*$C$28</f>
        <v>19995699238.03112</v>
      </c>
      <c r="DAG28" s="160">
        <f t="shared" ref="DAG28" si="1365">DAE28*$C$28</f>
        <v>20195656230.41143</v>
      </c>
      <c r="DAI28" s="160">
        <f t="shared" ref="DAI28" si="1366">DAG28*$C$28</f>
        <v>20397612792.715546</v>
      </c>
      <c r="DAK28" s="160">
        <f t="shared" ref="DAK28" si="1367">DAI28*$C$28</f>
        <v>20601588920.6427</v>
      </c>
      <c r="DAM28" s="160">
        <f t="shared" ref="DAM28" si="1368">DAK28*$C$28</f>
        <v>20807604809.849129</v>
      </c>
      <c r="DAO28" s="160">
        <f t="shared" ref="DAO28" si="1369">DAM28*$C$28</f>
        <v>21015680857.94762</v>
      </c>
      <c r="DAQ28" s="160">
        <f t="shared" ref="DAQ28" si="1370">DAO28*$C$28</f>
        <v>21225837666.527096</v>
      </c>
      <c r="DAS28" s="160">
        <f t="shared" ref="DAS28" si="1371">DAQ28*$C$28</f>
        <v>21438096043.192368</v>
      </c>
      <c r="DAU28" s="160">
        <f t="shared" ref="DAU28" si="1372">DAS28*$C$28</f>
        <v>21652477003.62429</v>
      </c>
      <c r="DAW28" s="160">
        <f t="shared" ref="DAW28" si="1373">DAU28*$C$28</f>
        <v>21869001773.660534</v>
      </c>
      <c r="DAY28" s="160">
        <f t="shared" ref="DAY28" si="1374">DAW28*$C$28</f>
        <v>22087691791.397141</v>
      </c>
      <c r="DBA28" s="160">
        <f t="shared" ref="DBA28" si="1375">DAY28*$C$28</f>
        <v>22308568709.311111</v>
      </c>
      <c r="DBC28" s="160">
        <f t="shared" ref="DBC28" si="1376">DBA28*$C$28</f>
        <v>22531654396.404224</v>
      </c>
      <c r="DBE28" s="160">
        <f t="shared" ref="DBE28" si="1377">DBC28*$C$28</f>
        <v>22756970940.368267</v>
      </c>
      <c r="DBG28" s="160">
        <f t="shared" ref="DBG28" si="1378">DBE28*$C$28</f>
        <v>22984540649.77195</v>
      </c>
      <c r="DBI28" s="160">
        <f t="shared" ref="DBI28" si="1379">DBG28*$C$28</f>
        <v>23214386056.269669</v>
      </c>
      <c r="DBK28" s="160">
        <f t="shared" ref="DBK28" si="1380">DBI28*$C$28</f>
        <v>23446529916.832367</v>
      </c>
      <c r="DBM28" s="160">
        <f t="shared" ref="DBM28" si="1381">DBK28*$C$28</f>
        <v>23680995216.00069</v>
      </c>
      <c r="DBO28" s="160">
        <f t="shared" ref="DBO28" si="1382">DBM28*$C$28</f>
        <v>23917805168.160698</v>
      </c>
      <c r="DBQ28" s="160">
        <f t="shared" ref="DBQ28" si="1383">DBO28*$C$28</f>
        <v>24156983219.842304</v>
      </c>
      <c r="DBS28" s="160">
        <f t="shared" ref="DBS28" si="1384">DBQ28*$C$28</f>
        <v>24398553052.040726</v>
      </c>
      <c r="DBU28" s="160">
        <f t="shared" ref="DBU28" si="1385">DBS28*$C$28</f>
        <v>24642538582.561134</v>
      </c>
      <c r="DBW28" s="160">
        <f t="shared" ref="DBW28" si="1386">DBU28*$C$28</f>
        <v>24888963968.386745</v>
      </c>
      <c r="DBY28" s="160">
        <f t="shared" ref="DBY28" si="1387">DBW28*$C$28</f>
        <v>25137853608.070614</v>
      </c>
      <c r="DCA28" s="160">
        <f t="shared" ref="DCA28" si="1388">DBY28*$C$28</f>
        <v>25389232144.151321</v>
      </c>
      <c r="DCC28" s="160">
        <f t="shared" ref="DCC28" si="1389">DCA28*$C$28</f>
        <v>25643124465.592834</v>
      </c>
      <c r="DCE28" s="160">
        <f t="shared" ref="DCE28" si="1390">DCC28*$C$28</f>
        <v>25899555710.248764</v>
      </c>
      <c r="DCG28" s="160">
        <f t="shared" ref="DCG28" si="1391">DCE28*$C$28</f>
        <v>26158551267.351254</v>
      </c>
      <c r="DCI28" s="160">
        <f t="shared" ref="DCI28" si="1392">DCG28*$C$28</f>
        <v>26420136780.024765</v>
      </c>
      <c r="DCK28" s="160">
        <f t="shared" ref="DCK28" si="1393">DCI28*$C$28</f>
        <v>26684338147.825012</v>
      </c>
      <c r="DCM28" s="160">
        <f t="shared" ref="DCM28" si="1394">DCK28*$C$28</f>
        <v>26951181529.303261</v>
      </c>
      <c r="DCO28" s="160">
        <f t="shared" ref="DCO28" si="1395">DCM28*$C$28</f>
        <v>27220693344.596294</v>
      </c>
      <c r="DCQ28" s="160">
        <f t="shared" ref="DCQ28" si="1396">DCO28*$C$28</f>
        <v>27492900278.042259</v>
      </c>
      <c r="DCS28" s="160">
        <f t="shared" ref="DCS28" si="1397">DCQ28*$C$28</f>
        <v>27767829280.822681</v>
      </c>
      <c r="DCU28" s="160">
        <f t="shared" ref="DCU28" si="1398">DCS28*$C$28</f>
        <v>28045507573.630909</v>
      </c>
      <c r="DCW28" s="160">
        <f t="shared" ref="DCW28" si="1399">DCU28*$C$28</f>
        <v>28325962649.367218</v>
      </c>
      <c r="DCY28" s="160">
        <f t="shared" ref="DCY28" si="1400">DCW28*$C$28</f>
        <v>28609222275.860889</v>
      </c>
      <c r="DDA28" s="160">
        <f t="shared" ref="DDA28" si="1401">DCY28*$C$28</f>
        <v>28895314498.619499</v>
      </c>
      <c r="DDC28" s="160">
        <f t="shared" ref="DDC28" si="1402">DDA28*$C$28</f>
        <v>29184267643.605694</v>
      </c>
      <c r="DDE28" s="160">
        <f t="shared" ref="DDE28" si="1403">DDC28*$C$28</f>
        <v>29476110320.041752</v>
      </c>
      <c r="DDG28" s="160">
        <f t="shared" ref="DDG28" si="1404">DDE28*$C$28</f>
        <v>29770871423.242168</v>
      </c>
      <c r="DDI28" s="160">
        <f t="shared" ref="DDI28" si="1405">DDG28*$C$28</f>
        <v>30068580137.47459</v>
      </c>
      <c r="DDK28" s="160">
        <f t="shared" ref="DDK28" si="1406">DDI28*$C$28</f>
        <v>30369265938.849335</v>
      </c>
      <c r="DDM28" s="160">
        <f t="shared" ref="DDM28" si="1407">DDK28*$C$28</f>
        <v>30672958598.237827</v>
      </c>
      <c r="DDO28" s="160">
        <f t="shared" ref="DDO28" si="1408">DDM28*$C$28</f>
        <v>30979688184.220207</v>
      </c>
      <c r="DDQ28" s="160">
        <f t="shared" ref="DDQ28" si="1409">DDO28*$C$28</f>
        <v>31289485066.062408</v>
      </c>
      <c r="DDS28" s="160">
        <f t="shared" ref="DDS28" si="1410">DDQ28*$C$28</f>
        <v>31602379916.723034</v>
      </c>
      <c r="DDU28" s="160">
        <f t="shared" ref="DDU28" si="1411">DDS28*$C$28</f>
        <v>31918403715.890266</v>
      </c>
      <c r="DDW28" s="160">
        <f t="shared" ref="DDW28" si="1412">DDU28*$C$28</f>
        <v>32237587753.049168</v>
      </c>
      <c r="DDY28" s="160">
        <f t="shared" ref="DDY28" si="1413">DDW28*$C$28</f>
        <v>32559963630.579659</v>
      </c>
      <c r="DEA28" s="160">
        <f t="shared" ref="DEA28" si="1414">DDY28*$C$28</f>
        <v>32885563266.885456</v>
      </c>
      <c r="DEC28" s="160">
        <f t="shared" ref="DEC28" si="1415">DEA28*$C$28</f>
        <v>33214418899.55431</v>
      </c>
      <c r="DEE28" s="160">
        <f t="shared" ref="DEE28" si="1416">DEC28*$C$28</f>
        <v>33546563088.549854</v>
      </c>
      <c r="DEG28" s="160">
        <f t="shared" ref="DEG28" si="1417">DEE28*$C$28</f>
        <v>33882028719.435352</v>
      </c>
      <c r="DEI28" s="160">
        <f t="shared" ref="DEI28" si="1418">DEG28*$C$28</f>
        <v>34220849006.629707</v>
      </c>
      <c r="DEK28" s="160">
        <f t="shared" ref="DEK28" si="1419">DEI28*$C$28</f>
        <v>34563057496.696007</v>
      </c>
      <c r="DEM28" s="160">
        <f t="shared" ref="DEM28" si="1420">DEK28*$C$28</f>
        <v>34908688071.662964</v>
      </c>
      <c r="DEO28" s="160">
        <f t="shared" ref="DEO28" si="1421">DEM28*$C$28</f>
        <v>35257774952.379593</v>
      </c>
      <c r="DEQ28" s="160">
        <f t="shared" ref="DEQ28" si="1422">DEO28*$C$28</f>
        <v>35610352701.903389</v>
      </c>
      <c r="DES28" s="160">
        <f t="shared" ref="DES28" si="1423">DEQ28*$C$28</f>
        <v>35966456228.922424</v>
      </c>
      <c r="DEU28" s="160">
        <f t="shared" ref="DEU28" si="1424">DES28*$C$28</f>
        <v>36326120791.211647</v>
      </c>
      <c r="DEW28" s="160">
        <f t="shared" ref="DEW28" si="1425">DEU28*$C$28</f>
        <v>36689381999.123764</v>
      </c>
      <c r="DEY28" s="160">
        <f t="shared" ref="DEY28" si="1426">DEW28*$C$28</f>
        <v>37056275819.115005</v>
      </c>
      <c r="DFA28" s="160">
        <f t="shared" ref="DFA28" si="1427">DEY28*$C$28</f>
        <v>37426838577.306152</v>
      </c>
      <c r="DFC28" s="160">
        <f t="shared" ref="DFC28" si="1428">DFA28*$C$28</f>
        <v>37801106963.079216</v>
      </c>
      <c r="DFE28" s="160">
        <f t="shared" ref="DFE28" si="1429">DFC28*$C$28</f>
        <v>38179118032.710007</v>
      </c>
      <c r="DFG28" s="160">
        <f t="shared" ref="DFG28" si="1430">DFE28*$C$28</f>
        <v>38560909213.037109</v>
      </c>
      <c r="DFI28" s="160">
        <f t="shared" ref="DFI28" si="1431">DFG28*$C$28</f>
        <v>38946518305.16748</v>
      </c>
      <c r="DFK28" s="160">
        <f t="shared" ref="DFK28" si="1432">DFI28*$C$28</f>
        <v>39335983488.219154</v>
      </c>
      <c r="DFM28" s="160">
        <f t="shared" ref="DFM28" si="1433">DFK28*$C$28</f>
        <v>39729343323.101349</v>
      </c>
      <c r="DFO28" s="160">
        <f t="shared" ref="DFO28" si="1434">DFM28*$C$28</f>
        <v>40126636756.332359</v>
      </c>
      <c r="DFQ28" s="160">
        <f t="shared" ref="DFQ28" si="1435">DFO28*$C$28</f>
        <v>40527903123.895683</v>
      </c>
      <c r="DFS28" s="160">
        <f t="shared" ref="DFS28" si="1436">DFQ28*$C$28</f>
        <v>40933182155.134644</v>
      </c>
      <c r="DFU28" s="160">
        <f t="shared" ref="DFU28" si="1437">DFS28*$C$28</f>
        <v>41342513976.685989</v>
      </c>
      <c r="DFW28" s="160">
        <f t="shared" ref="DFW28" si="1438">DFU28*$C$28</f>
        <v>41755939116.45285</v>
      </c>
      <c r="DFY28" s="160">
        <f t="shared" ref="DFY28" si="1439">DFW28*$C$28</f>
        <v>42173498507.617378</v>
      </c>
      <c r="DGA28" s="160">
        <f t="shared" ref="DGA28" si="1440">DFY28*$C$28</f>
        <v>42595233492.69355</v>
      </c>
      <c r="DGC28" s="160">
        <f t="shared" ref="DGC28" si="1441">DGA28*$C$28</f>
        <v>43021185827.620483</v>
      </c>
      <c r="DGE28" s="160">
        <f t="shared" ref="DGE28" si="1442">DGC28*$C$28</f>
        <v>43451397685.89669</v>
      </c>
      <c r="DGG28" s="160">
        <f t="shared" ref="DGG28" si="1443">DGE28*$C$28</f>
        <v>43885911662.755661</v>
      </c>
      <c r="DGI28" s="160">
        <f t="shared" ref="DGI28" si="1444">DGG28*$C$28</f>
        <v>44324770779.383217</v>
      </c>
      <c r="DGK28" s="160">
        <f t="shared" ref="DGK28" si="1445">DGI28*$C$28</f>
        <v>44768018487.177048</v>
      </c>
      <c r="DGM28" s="160">
        <f t="shared" ref="DGM28" si="1446">DGK28*$C$28</f>
        <v>45215698672.04882</v>
      </c>
      <c r="DGO28" s="160">
        <f t="shared" ref="DGO28" si="1447">DGM28*$C$28</f>
        <v>45667855658.76931</v>
      </c>
      <c r="DGQ28" s="160">
        <f t="shared" ref="DGQ28" si="1448">DGO28*$C$28</f>
        <v>46124534215.357002</v>
      </c>
      <c r="DGS28" s="160">
        <f t="shared" ref="DGS28" si="1449">DGQ28*$C$28</f>
        <v>46585779557.510574</v>
      </c>
      <c r="DGU28" s="160">
        <f t="shared" ref="DGU28" si="1450">DGS28*$C$28</f>
        <v>47051637353.085678</v>
      </c>
      <c r="DGW28" s="160">
        <f t="shared" ref="DGW28" si="1451">DGU28*$C$28</f>
        <v>47522153726.616539</v>
      </c>
      <c r="DGY28" s="160">
        <f t="shared" ref="DGY28" si="1452">DGW28*$C$28</f>
        <v>47997375263.882706</v>
      </c>
      <c r="DHA28" s="160">
        <f t="shared" ref="DHA28" si="1453">DGY28*$C$28</f>
        <v>48477349016.52153</v>
      </c>
      <c r="DHC28" s="160">
        <f t="shared" ref="DHC28" si="1454">DHA28*$C$28</f>
        <v>48962122506.686745</v>
      </c>
      <c r="DHE28" s="160">
        <f t="shared" ref="DHE28" si="1455">DHC28*$C$28</f>
        <v>49451743731.753616</v>
      </c>
      <c r="DHG28" s="160">
        <f t="shared" ref="DHG28" si="1456">DHE28*$C$28</f>
        <v>49946261169.071152</v>
      </c>
      <c r="DHI28" s="160">
        <f t="shared" ref="DHI28" si="1457">DHG28*$C$28</f>
        <v>50445723780.761864</v>
      </c>
      <c r="DHK28" s="160">
        <f t="shared" ref="DHK28" si="1458">DHI28*$C$28</f>
        <v>50950181018.569481</v>
      </c>
      <c r="DHM28" s="160">
        <f t="shared" ref="DHM28" si="1459">DHK28*$C$28</f>
        <v>51459682828.755173</v>
      </c>
      <c r="DHO28" s="160">
        <f t="shared" ref="DHO28" si="1460">DHM28*$C$28</f>
        <v>51974279657.042725</v>
      </c>
      <c r="DHQ28" s="160">
        <f t="shared" ref="DHQ28" si="1461">DHO28*$C$28</f>
        <v>52494022453.613152</v>
      </c>
      <c r="DHS28" s="160">
        <f t="shared" ref="DHS28" si="1462">DHQ28*$C$28</f>
        <v>53018962678.149284</v>
      </c>
      <c r="DHU28" s="160">
        <f t="shared" ref="DHU28" si="1463">DHS28*$C$28</f>
        <v>53549152304.930779</v>
      </c>
      <c r="DHW28" s="160">
        <f t="shared" ref="DHW28" si="1464">DHU28*$C$28</f>
        <v>54084643827.980087</v>
      </c>
      <c r="DHY28" s="160">
        <f t="shared" ref="DHY28" si="1465">DHW28*$C$28</f>
        <v>54625490266.259888</v>
      </c>
      <c r="DIA28" s="160">
        <f t="shared" ref="DIA28" si="1466">DHY28*$C$28</f>
        <v>55171745168.922485</v>
      </c>
      <c r="DIC28" s="160">
        <f t="shared" ref="DIC28" si="1467">DIA28*$C$28</f>
        <v>55723462620.61171</v>
      </c>
      <c r="DIE28" s="160">
        <f t="shared" ref="DIE28" si="1468">DIC28*$C$28</f>
        <v>56280697246.817825</v>
      </c>
      <c r="DIG28" s="160">
        <f t="shared" ref="DIG28" si="1469">DIE28*$C$28</f>
        <v>56843504219.286003</v>
      </c>
      <c r="DII28" s="160">
        <f t="shared" ref="DII28" si="1470">DIG28*$C$28</f>
        <v>57411939261.478867</v>
      </c>
      <c r="DIK28" s="160">
        <f t="shared" ref="DIK28" si="1471">DII28*$C$28</f>
        <v>57986058654.093658</v>
      </c>
      <c r="DIM28" s="160">
        <f t="shared" ref="DIM28" si="1472">DIK28*$C$28</f>
        <v>58565919240.634598</v>
      </c>
      <c r="DIO28" s="160">
        <f t="shared" ref="DIO28" si="1473">DIM28*$C$28</f>
        <v>59151578433.040947</v>
      </c>
      <c r="DIQ28" s="160">
        <f t="shared" ref="DIQ28" si="1474">DIO28*$C$28</f>
        <v>59743094217.371353</v>
      </c>
      <c r="DIS28" s="160">
        <f t="shared" ref="DIS28" si="1475">DIQ28*$C$28</f>
        <v>60340525159.545067</v>
      </c>
      <c r="DIU28" s="160">
        <f t="shared" ref="DIU28" si="1476">DIS28*$C$28</f>
        <v>60943930411.140518</v>
      </c>
      <c r="DIW28" s="160">
        <f t="shared" ref="DIW28" si="1477">DIU28*$C$28</f>
        <v>61553369715.251923</v>
      </c>
      <c r="DIY28" s="160">
        <f t="shared" ref="DIY28" si="1478">DIW28*$C$28</f>
        <v>62168903412.404442</v>
      </c>
      <c r="DJA28" s="160">
        <f t="shared" ref="DJA28" si="1479">DIY28*$C$28</f>
        <v>62790592446.528488</v>
      </c>
      <c r="DJC28" s="160">
        <f t="shared" ref="DJC28" si="1480">DJA28*$C$28</f>
        <v>63418498370.993774</v>
      </c>
      <c r="DJE28" s="160">
        <f t="shared" ref="DJE28" si="1481">DJC28*$C$28</f>
        <v>64052683354.703712</v>
      </c>
      <c r="DJG28" s="160">
        <f t="shared" ref="DJG28" si="1482">DJE28*$C$28</f>
        <v>64693210188.250748</v>
      </c>
      <c r="DJI28" s="160">
        <f t="shared" ref="DJI28" si="1483">DJG28*$C$28</f>
        <v>65340142290.133255</v>
      </c>
      <c r="DJK28" s="160">
        <f t="shared" ref="DJK28" si="1484">DJI28*$C$28</f>
        <v>65993543713.034592</v>
      </c>
      <c r="DJM28" s="160">
        <f t="shared" ref="DJM28" si="1485">DJK28*$C$28</f>
        <v>66653479150.16494</v>
      </c>
      <c r="DJO28" s="160">
        <f t="shared" ref="DJO28" si="1486">DJM28*$C$28</f>
        <v>67320013941.666588</v>
      </c>
      <c r="DJQ28" s="160">
        <f t="shared" ref="DJQ28" si="1487">DJO28*$C$28</f>
        <v>67993214081.083252</v>
      </c>
      <c r="DJS28" s="160">
        <f t="shared" ref="DJS28" si="1488">DJQ28*$C$28</f>
        <v>68673146221.894089</v>
      </c>
      <c r="DJU28" s="160">
        <f t="shared" ref="DJU28" si="1489">DJS28*$C$28</f>
        <v>69359877684.113037</v>
      </c>
      <c r="DJW28" s="160">
        <f t="shared" ref="DJW28" si="1490">DJU28*$C$28</f>
        <v>70053476460.954163</v>
      </c>
      <c r="DJY28" s="160">
        <f t="shared" ref="DJY28" si="1491">DJW28*$C$28</f>
        <v>70754011225.563705</v>
      </c>
      <c r="DKA28" s="160">
        <f t="shared" ref="DKA28" si="1492">DJY28*$C$28</f>
        <v>71461551337.819336</v>
      </c>
      <c r="DKC28" s="160">
        <f t="shared" ref="DKC28" si="1493">DKA28*$C$28</f>
        <v>72176166851.197525</v>
      </c>
      <c r="DKE28" s="160">
        <f t="shared" ref="DKE28" si="1494">DKC28*$C$28</f>
        <v>72897928519.709503</v>
      </c>
      <c r="DKG28" s="160">
        <f t="shared" ref="DKG28" si="1495">DKE28*$C$28</f>
        <v>73626907804.906601</v>
      </c>
      <c r="DKI28" s="160">
        <f t="shared" ref="DKI28" si="1496">DKG28*$C$28</f>
        <v>74363176882.955673</v>
      </c>
      <c r="DKK28" s="160">
        <f t="shared" ref="DKK28" si="1497">DKI28*$C$28</f>
        <v>75106808651.785233</v>
      </c>
      <c r="DKM28" s="160">
        <f t="shared" ref="DKM28" si="1498">DKK28*$C$28</f>
        <v>75857876738.303085</v>
      </c>
      <c r="DKO28" s="160">
        <f t="shared" ref="DKO28" si="1499">DKM28*$C$28</f>
        <v>76616455505.686111</v>
      </c>
      <c r="DKQ28" s="160">
        <f t="shared" ref="DKQ28" si="1500">DKO28*$C$28</f>
        <v>77382620060.742966</v>
      </c>
      <c r="DKS28" s="160">
        <f t="shared" ref="DKS28" si="1501">DKQ28*$C$28</f>
        <v>78156446261.350403</v>
      </c>
      <c r="DKU28" s="160">
        <f t="shared" ref="DKU28" si="1502">DKS28*$C$28</f>
        <v>78938010723.963913</v>
      </c>
      <c r="DKW28" s="160">
        <f t="shared" ref="DKW28" si="1503">DKU28*$C$28</f>
        <v>79727390831.203552</v>
      </c>
      <c r="DKY28" s="160">
        <f t="shared" ref="DKY28" si="1504">DKW28*$C$28</f>
        <v>80524664739.515594</v>
      </c>
      <c r="DLA28" s="160">
        <f t="shared" ref="DLA28" si="1505">DKY28*$C$28</f>
        <v>81329911386.910751</v>
      </c>
      <c r="DLC28" s="160">
        <f t="shared" ref="DLC28" si="1506">DLA28*$C$28</f>
        <v>82143210500.779861</v>
      </c>
      <c r="DLE28" s="160">
        <f t="shared" ref="DLE28" si="1507">DLC28*$C$28</f>
        <v>82964642605.787659</v>
      </c>
      <c r="DLG28" s="160">
        <f t="shared" ref="DLG28" si="1508">DLE28*$C$28</f>
        <v>83794289031.845535</v>
      </c>
      <c r="DLI28" s="160">
        <f t="shared" ref="DLI28" si="1509">DLG28*$C$28</f>
        <v>84632231922.163986</v>
      </c>
      <c r="DLK28" s="160">
        <f t="shared" ref="DLK28" si="1510">DLI28*$C$28</f>
        <v>85478554241.38562</v>
      </c>
      <c r="DLM28" s="160">
        <f t="shared" ref="DLM28" si="1511">DLK28*$C$28</f>
        <v>86333339783.799484</v>
      </c>
      <c r="DLO28" s="160">
        <f t="shared" ref="DLO28" si="1512">DLM28*$C$28</f>
        <v>87196673181.637482</v>
      </c>
      <c r="DLQ28" s="160">
        <f t="shared" ref="DLQ28" si="1513">DLO28*$C$28</f>
        <v>88068639913.453857</v>
      </c>
      <c r="DLS28" s="160">
        <f t="shared" ref="DLS28" si="1514">DLQ28*$C$28</f>
        <v>88949326312.588394</v>
      </c>
      <c r="DLU28" s="160">
        <f t="shared" ref="DLU28" si="1515">DLS28*$C$28</f>
        <v>89838819575.714279</v>
      </c>
      <c r="DLW28" s="160">
        <f t="shared" ref="DLW28" si="1516">DLU28*$C$28</f>
        <v>90737207771.47142</v>
      </c>
      <c r="DLY28" s="160">
        <f t="shared" ref="DLY28" si="1517">DLW28*$C$28</f>
        <v>91644579849.186142</v>
      </c>
      <c r="DMA28" s="160">
        <f t="shared" ref="DMA28" si="1518">DLY28*$C$28</f>
        <v>92561025647.678009</v>
      </c>
      <c r="DMC28" s="160">
        <f t="shared" ref="DMC28" si="1519">DMA28*$C$28</f>
        <v>93486635904.154785</v>
      </c>
      <c r="DME28" s="160">
        <f t="shared" ref="DME28" si="1520">DMC28*$C$28</f>
        <v>94421502263.196335</v>
      </c>
      <c r="DMG28" s="160">
        <f t="shared" ref="DMG28" si="1521">DME28*$C$28</f>
        <v>95365717285.828293</v>
      </c>
      <c r="DMI28" s="160">
        <f t="shared" ref="DMI28" si="1522">DMG28*$C$28</f>
        <v>96319374458.686569</v>
      </c>
      <c r="DMK28" s="160">
        <f t="shared" ref="DMK28" si="1523">DMI28*$C$28</f>
        <v>97282568203.273438</v>
      </c>
      <c r="DMM28" s="160">
        <f t="shared" ref="DMM28" si="1524">DMK28*$C$28</f>
        <v>98255393885.306168</v>
      </c>
      <c r="DMO28" s="160">
        <f t="shared" ref="DMO28" si="1525">DMM28*$C$28</f>
        <v>99237947824.159225</v>
      </c>
      <c r="DMQ28" s="160">
        <f t="shared" ref="DMQ28" si="1526">DMO28*$C$28</f>
        <v>100230327302.40082</v>
      </c>
      <c r="DMS28" s="160">
        <f t="shared" ref="DMS28" si="1527">DMQ28*$C$28</f>
        <v>101232630575.42482</v>
      </c>
      <c r="DMU28" s="160">
        <f t="shared" ref="DMU28" si="1528">DMS28*$C$28</f>
        <v>102244956881.17906</v>
      </c>
      <c r="DMW28" s="160">
        <f t="shared" ref="DMW28" si="1529">DMU28*$C$28</f>
        <v>103267406449.99086</v>
      </c>
      <c r="DMY28" s="160">
        <f t="shared" ref="DMY28" si="1530">DMW28*$C$28</f>
        <v>104300080514.49077</v>
      </c>
      <c r="DNA28" s="160">
        <f t="shared" ref="DNA28" si="1531">DMY28*$C$28</f>
        <v>105343081319.63568</v>
      </c>
      <c r="DNC28" s="160">
        <f t="shared" ref="DNC28" si="1532">DNA28*$C$28</f>
        <v>106396512132.83205</v>
      </c>
      <c r="DNE28" s="160">
        <f t="shared" ref="DNE28" si="1533">DNC28*$C$28</f>
        <v>107460477254.16037</v>
      </c>
      <c r="DNG28" s="160">
        <f t="shared" ref="DNG28" si="1534">DNE28*$C$28</f>
        <v>108535082026.70198</v>
      </c>
      <c r="DNI28" s="160">
        <f t="shared" ref="DNI28" si="1535">DNG28*$C$28</f>
        <v>109620432846.96899</v>
      </c>
      <c r="DNK28" s="160">
        <f t="shared" ref="DNK28" si="1536">DNI28*$C$28</f>
        <v>110716637175.43869</v>
      </c>
      <c r="DNM28" s="160">
        <f t="shared" ref="DNM28" si="1537">DNK28*$C$28</f>
        <v>111823803547.19308</v>
      </c>
      <c r="DNO28" s="160">
        <f t="shared" ref="DNO28" si="1538">DNM28*$C$28</f>
        <v>112942041582.66502</v>
      </c>
      <c r="DNQ28" s="160">
        <f t="shared" ref="DNQ28" si="1539">DNO28*$C$28</f>
        <v>114071461998.49167</v>
      </c>
      <c r="DNS28" s="160">
        <f t="shared" ref="DNS28" si="1540">DNQ28*$C$28</f>
        <v>115212176618.47659</v>
      </c>
      <c r="DNU28" s="160">
        <f t="shared" ref="DNU28" si="1541">DNS28*$C$28</f>
        <v>116364298384.66136</v>
      </c>
      <c r="DNW28" s="160">
        <f t="shared" ref="DNW28" si="1542">DNU28*$C$28</f>
        <v>117527941368.50798</v>
      </c>
      <c r="DNY28" s="160">
        <f t="shared" ref="DNY28" si="1543">DNW28*$C$28</f>
        <v>118703220782.19305</v>
      </c>
      <c r="DOA28" s="160">
        <f t="shared" ref="DOA28" si="1544">DNY28*$C$28</f>
        <v>119890252990.01498</v>
      </c>
      <c r="DOC28" s="160">
        <f t="shared" ref="DOC28" si="1545">DOA28*$C$28</f>
        <v>121089155519.91513</v>
      </c>
      <c r="DOE28" s="160">
        <f t="shared" ref="DOE28" si="1546">DOC28*$C$28</f>
        <v>122300047075.11429</v>
      </c>
      <c r="DOG28" s="160">
        <f t="shared" ref="DOG28" si="1547">DOE28*$C$28</f>
        <v>123523047545.86543</v>
      </c>
      <c r="DOI28" s="160">
        <f t="shared" ref="DOI28" si="1548">DOG28*$C$28</f>
        <v>124758278021.32408</v>
      </c>
      <c r="DOK28" s="160">
        <f t="shared" ref="DOK28" si="1549">DOI28*$C$28</f>
        <v>126005860801.53732</v>
      </c>
      <c r="DOM28" s="160">
        <f t="shared" ref="DOM28" si="1550">DOK28*$C$28</f>
        <v>127265919409.5527</v>
      </c>
      <c r="DOO28" s="160">
        <f t="shared" ref="DOO28" si="1551">DOM28*$C$28</f>
        <v>128538578603.64824</v>
      </c>
      <c r="DOQ28" s="160">
        <f t="shared" ref="DOQ28" si="1552">DOO28*$C$28</f>
        <v>129823964389.68472</v>
      </c>
      <c r="DOS28" s="160">
        <f t="shared" ref="DOS28" si="1553">DOQ28*$C$28</f>
        <v>131122204033.58157</v>
      </c>
      <c r="DOU28" s="160">
        <f t="shared" ref="DOU28" si="1554">DOS28*$C$28</f>
        <v>132433426073.91739</v>
      </c>
      <c r="DOW28" s="160">
        <f t="shared" ref="DOW28" si="1555">DOU28*$C$28</f>
        <v>133757760334.65657</v>
      </c>
      <c r="DOY28" s="160">
        <f t="shared" ref="DOY28" si="1556">DOW28*$C$28</f>
        <v>135095337938.00314</v>
      </c>
      <c r="DPA28" s="160">
        <f t="shared" ref="DPA28" si="1557">DOY28*$C$28</f>
        <v>136446291317.38318</v>
      </c>
      <c r="DPC28" s="160">
        <f t="shared" ref="DPC28" si="1558">DPA28*$C$28</f>
        <v>137810754230.55701</v>
      </c>
      <c r="DPE28" s="160">
        <f t="shared" ref="DPE28" si="1559">DPC28*$C$28</f>
        <v>139188861772.86258</v>
      </c>
      <c r="DPG28" s="160">
        <f t="shared" ref="DPG28" si="1560">DPE28*$C$28</f>
        <v>140580750390.59122</v>
      </c>
      <c r="DPI28" s="160">
        <f t="shared" ref="DPI28" si="1561">DPG28*$C$28</f>
        <v>141986557894.49713</v>
      </c>
      <c r="DPK28" s="160">
        <f t="shared" ref="DPK28" si="1562">DPI28*$C$28</f>
        <v>143406423473.44211</v>
      </c>
      <c r="DPM28" s="160">
        <f t="shared" ref="DPM28" si="1563">DPK28*$C$28</f>
        <v>144840487708.17654</v>
      </c>
      <c r="DPO28" s="160">
        <f t="shared" ref="DPO28" si="1564">DPM28*$C$28</f>
        <v>146288892585.2583</v>
      </c>
      <c r="DPQ28" s="160">
        <f t="shared" ref="DPQ28" si="1565">DPO28*$C$28</f>
        <v>147751781511.11087</v>
      </c>
      <c r="DPS28" s="160">
        <f t="shared" ref="DPS28" si="1566">DPQ28*$C$28</f>
        <v>149229299326.22198</v>
      </c>
      <c r="DPU28" s="160">
        <f t="shared" ref="DPU28" si="1567">DPS28*$C$28</f>
        <v>150721592319.48419</v>
      </c>
      <c r="DPW28" s="160">
        <f t="shared" ref="DPW28" si="1568">DPU28*$C$28</f>
        <v>152228808242.67905</v>
      </c>
      <c r="DPY28" s="160">
        <f t="shared" ref="DPY28" si="1569">DPW28*$C$28</f>
        <v>153751096325.10583</v>
      </c>
      <c r="DQA28" s="160">
        <f t="shared" ref="DQA28" si="1570">DPY28*$C$28</f>
        <v>155288607288.3569</v>
      </c>
      <c r="DQC28" s="160">
        <f t="shared" ref="DQC28" si="1571">DQA28*$C$28</f>
        <v>156841493361.24048</v>
      </c>
      <c r="DQE28" s="160">
        <f t="shared" ref="DQE28" si="1572">DQC28*$C$28</f>
        <v>158409908294.85287</v>
      </c>
      <c r="DQG28" s="160">
        <f t="shared" ref="DQG28" si="1573">DQE28*$C$28</f>
        <v>159994007377.80139</v>
      </c>
      <c r="DQI28" s="160">
        <f t="shared" ref="DQI28" si="1574">DQG28*$C$28</f>
        <v>161593947451.57941</v>
      </c>
      <c r="DQK28" s="160">
        <f t="shared" ref="DQK28" si="1575">DQI28*$C$28</f>
        <v>163209886926.09521</v>
      </c>
      <c r="DQM28" s="160">
        <f t="shared" ref="DQM28" si="1576">DQK28*$C$28</f>
        <v>164841985795.35617</v>
      </c>
      <c r="DQO28" s="160">
        <f t="shared" ref="DQO28" si="1577">DQM28*$C$28</f>
        <v>166490405653.30972</v>
      </c>
      <c r="DQQ28" s="160">
        <f t="shared" ref="DQQ28" si="1578">DQO28*$C$28</f>
        <v>168155309709.84283</v>
      </c>
      <c r="DQS28" s="160">
        <f t="shared" ref="DQS28" si="1579">DQQ28*$C$28</f>
        <v>169836862806.94125</v>
      </c>
      <c r="DQU28" s="160">
        <f t="shared" ref="DQU28" si="1580">DQS28*$C$28</f>
        <v>171535231435.01068</v>
      </c>
      <c r="DQW28" s="160">
        <f t="shared" ref="DQW28" si="1581">DQU28*$C$28</f>
        <v>173250583749.36078</v>
      </c>
      <c r="DQY28" s="160">
        <f t="shared" ref="DQY28" si="1582">DQW28*$C$28</f>
        <v>174983089586.8544</v>
      </c>
      <c r="DRA28" s="160">
        <f t="shared" ref="DRA28" si="1583">DQY28*$C$28</f>
        <v>176732920482.72296</v>
      </c>
      <c r="DRC28" s="160">
        <f t="shared" ref="DRC28" si="1584">DRA28*$C$28</f>
        <v>178500249687.5502</v>
      </c>
      <c r="DRE28" s="160">
        <f t="shared" ref="DRE28" si="1585">DRC28*$C$28</f>
        <v>180285252184.42572</v>
      </c>
      <c r="DRG28" s="160">
        <f t="shared" ref="DRG28" si="1586">DRE28*$C$28</f>
        <v>182088104706.26999</v>
      </c>
      <c r="DRI28" s="160">
        <f t="shared" ref="DRI28" si="1587">DRG28*$C$28</f>
        <v>183908985753.3327</v>
      </c>
      <c r="DRK28" s="160">
        <f t="shared" ref="DRK28" si="1588">DRI28*$C$28</f>
        <v>185748075610.86603</v>
      </c>
      <c r="DRM28" s="160">
        <f t="shared" ref="DRM28" si="1589">DRK28*$C$28</f>
        <v>187605556366.9747</v>
      </c>
      <c r="DRO28" s="160">
        <f t="shared" ref="DRO28" si="1590">DRM28*$C$28</f>
        <v>189481611930.64444</v>
      </c>
      <c r="DRQ28" s="160">
        <f t="shared" ref="DRQ28" si="1591">DRO28*$C$28</f>
        <v>191376428049.9509</v>
      </c>
      <c r="DRS28" s="160">
        <f t="shared" ref="DRS28" si="1592">DRQ28*$C$28</f>
        <v>193290192330.45041</v>
      </c>
      <c r="DRU28" s="160">
        <f t="shared" ref="DRU28" si="1593">DRS28*$C$28</f>
        <v>195223094253.75491</v>
      </c>
      <c r="DRW28" s="160">
        <f t="shared" ref="DRW28" si="1594">DRU28*$C$28</f>
        <v>197175325196.29245</v>
      </c>
      <c r="DRY28" s="160">
        <f t="shared" ref="DRY28" si="1595">DRW28*$C$28</f>
        <v>199147078448.25537</v>
      </c>
      <c r="DSA28" s="160">
        <f t="shared" ref="DSA28" si="1596">DRY28*$C$28</f>
        <v>201138549232.73792</v>
      </c>
      <c r="DSC28" s="160">
        <f t="shared" ref="DSC28" si="1597">DSA28*$C$28</f>
        <v>203149934725.06531</v>
      </c>
      <c r="DSE28" s="160">
        <f t="shared" ref="DSE28" si="1598">DSC28*$C$28</f>
        <v>205181434072.31595</v>
      </c>
      <c r="DSG28" s="160">
        <f t="shared" ref="DSG28" si="1599">DSE28*$C$28</f>
        <v>207233248413.03912</v>
      </c>
      <c r="DSI28" s="160">
        <f t="shared" ref="DSI28" si="1600">DSG28*$C$28</f>
        <v>209305580897.16953</v>
      </c>
      <c r="DSK28" s="160">
        <f t="shared" ref="DSK28" si="1601">DSI28*$C$28</f>
        <v>211398636706.14124</v>
      </c>
      <c r="DSM28" s="160">
        <f t="shared" ref="DSM28" si="1602">DSK28*$C$28</f>
        <v>213512623073.20264</v>
      </c>
      <c r="DSO28" s="160">
        <f t="shared" ref="DSO28" si="1603">DSM28*$C$28</f>
        <v>215647749303.93466</v>
      </c>
      <c r="DSQ28" s="160">
        <f t="shared" ref="DSQ28" si="1604">DSO28*$C$28</f>
        <v>217804226796.974</v>
      </c>
      <c r="DSS28" s="160">
        <f t="shared" ref="DSS28" si="1605">DSQ28*$C$28</f>
        <v>219982269064.94376</v>
      </c>
      <c r="DSU28" s="160">
        <f t="shared" ref="DSU28" si="1606">DSS28*$C$28</f>
        <v>222182091755.5932</v>
      </c>
      <c r="DSW28" s="160">
        <f t="shared" ref="DSW28" si="1607">DSU28*$C$28</f>
        <v>224403912673.14914</v>
      </c>
      <c r="DSY28" s="160">
        <f t="shared" ref="DSY28" si="1608">DSW28*$C$28</f>
        <v>226647951799.88065</v>
      </c>
      <c r="DTA28" s="160">
        <f t="shared" ref="DTA28" si="1609">DSY28*$C$28</f>
        <v>228914431317.87946</v>
      </c>
      <c r="DTC28" s="160">
        <f t="shared" ref="DTC28" si="1610">DTA28*$C$28</f>
        <v>231203575631.05826</v>
      </c>
      <c r="DTE28" s="160">
        <f t="shared" ref="DTE28" si="1611">DTC28*$C$28</f>
        <v>233515611387.36884</v>
      </c>
      <c r="DTG28" s="160">
        <f t="shared" ref="DTG28" si="1612">DTE28*$C$28</f>
        <v>235850767501.24252</v>
      </c>
      <c r="DTI28" s="160">
        <f t="shared" ref="DTI28" si="1613">DTG28*$C$28</f>
        <v>238209275176.25494</v>
      </c>
      <c r="DTK28" s="160">
        <f t="shared" ref="DTK28" si="1614">DTI28*$C$28</f>
        <v>240591367928.01749</v>
      </c>
      <c r="DTM28" s="160">
        <f t="shared" ref="DTM28" si="1615">DTK28*$C$28</f>
        <v>242997281607.29767</v>
      </c>
      <c r="DTO28" s="160">
        <f t="shared" ref="DTO28" si="1616">DTM28*$C$28</f>
        <v>245427254423.37064</v>
      </c>
      <c r="DTQ28" s="160">
        <f t="shared" ref="DTQ28" si="1617">DTO28*$C$28</f>
        <v>247881526967.60434</v>
      </c>
      <c r="DTS28" s="160">
        <f t="shared" ref="DTS28" si="1618">DTQ28*$C$28</f>
        <v>250360342237.2804</v>
      </c>
      <c r="DTU28" s="160">
        <f t="shared" ref="DTU28" si="1619">DTS28*$C$28</f>
        <v>252863945659.6532</v>
      </c>
      <c r="DTW28" s="160">
        <f t="shared" ref="DTW28" si="1620">DTU28*$C$28</f>
        <v>255392585116.24973</v>
      </c>
      <c r="DTY28" s="160">
        <f t="shared" ref="DTY28" si="1621">DTW28*$C$28</f>
        <v>257946510967.41223</v>
      </c>
      <c r="DUA28" s="160">
        <f t="shared" ref="DUA28" si="1622">DTY28*$C$28</f>
        <v>260525976077.08636</v>
      </c>
      <c r="DUC28" s="160">
        <f t="shared" ref="DUC28" si="1623">DUA28*$C$28</f>
        <v>263131235837.85724</v>
      </c>
      <c r="DUE28" s="160">
        <f t="shared" ref="DUE28" si="1624">DUC28*$C$28</f>
        <v>265762548196.23581</v>
      </c>
      <c r="DUG28" s="160">
        <f t="shared" ref="DUG28" si="1625">DUE28*$C$28</f>
        <v>268420173678.19818</v>
      </c>
      <c r="DUI28" s="160">
        <f t="shared" ref="DUI28" si="1626">DUG28*$C$28</f>
        <v>271104375414.98016</v>
      </c>
      <c r="DUK28" s="160">
        <f t="shared" ref="DUK28" si="1627">DUI28*$C$28</f>
        <v>273815419169.12997</v>
      </c>
      <c r="DUM28" s="160">
        <f t="shared" ref="DUM28" si="1628">DUK28*$C$28</f>
        <v>276553573360.82129</v>
      </c>
      <c r="DUO28" s="160">
        <f t="shared" ref="DUO28" si="1629">DUM28*$C$28</f>
        <v>279319109094.4295</v>
      </c>
      <c r="DUQ28" s="160">
        <f t="shared" ref="DUQ28" si="1630">DUO28*$C$28</f>
        <v>282112300185.37378</v>
      </c>
      <c r="DUS28" s="160">
        <f t="shared" ref="DUS28" si="1631">DUQ28*$C$28</f>
        <v>284933423187.22754</v>
      </c>
      <c r="DUU28" s="160">
        <f t="shared" ref="DUU28" si="1632">DUS28*$C$28</f>
        <v>287782757419.09979</v>
      </c>
      <c r="DUW28" s="160">
        <f t="shared" ref="DUW28" si="1633">DUU28*$C$28</f>
        <v>290660584993.29077</v>
      </c>
      <c r="DUY28" s="160">
        <f t="shared" ref="DUY28" si="1634">DUW28*$C$28</f>
        <v>293567190843.22369</v>
      </c>
      <c r="DVA28" s="160">
        <f t="shared" ref="DVA28" si="1635">DUY28*$C$28</f>
        <v>296502862751.65594</v>
      </c>
      <c r="DVC28" s="160">
        <f t="shared" ref="DVC28" si="1636">DVA28*$C$28</f>
        <v>299467891379.17249</v>
      </c>
      <c r="DVE28" s="160">
        <f t="shared" ref="DVE28" si="1637">DVC28*$C$28</f>
        <v>302462570292.96423</v>
      </c>
      <c r="DVG28" s="160">
        <f t="shared" ref="DVG28" si="1638">DVE28*$C$28</f>
        <v>305487195995.89386</v>
      </c>
      <c r="DVI28" s="160">
        <f t="shared" ref="DVI28" si="1639">DVG28*$C$28</f>
        <v>308542067955.85278</v>
      </c>
      <c r="DVK28" s="160">
        <f t="shared" ref="DVK28" si="1640">DVI28*$C$28</f>
        <v>311627488635.41132</v>
      </c>
      <c r="DVM28" s="160">
        <f t="shared" ref="DVM28" si="1641">DVK28*$C$28</f>
        <v>314743763521.76544</v>
      </c>
      <c r="DVO28" s="160">
        <f t="shared" ref="DVO28" si="1642">DVM28*$C$28</f>
        <v>317891201156.98309</v>
      </c>
      <c r="DVQ28" s="160">
        <f t="shared" ref="DVQ28" si="1643">DVO28*$C$28</f>
        <v>321070113168.55292</v>
      </c>
      <c r="DVS28" s="160">
        <f t="shared" ref="DVS28" si="1644">DVQ28*$C$28</f>
        <v>324280814300.23846</v>
      </c>
      <c r="DVU28" s="160">
        <f t="shared" ref="DVU28" si="1645">DVS28*$C$28</f>
        <v>327523622443.24084</v>
      </c>
      <c r="DVW28" s="160">
        <f t="shared" ref="DVW28" si="1646">DVU28*$C$28</f>
        <v>330798858667.67328</v>
      </c>
      <c r="DVY28" s="160">
        <f t="shared" ref="DVY28" si="1647">DVW28*$C$28</f>
        <v>334106847254.35004</v>
      </c>
      <c r="DWA28" s="160">
        <f t="shared" ref="DWA28" si="1648">DVY28*$C$28</f>
        <v>337447915726.89355</v>
      </c>
      <c r="DWC28" s="160">
        <f t="shared" ref="DWC28" si="1649">DWA28*$C$28</f>
        <v>340822394884.16248</v>
      </c>
      <c r="DWE28" s="160">
        <f t="shared" ref="DWE28" si="1650">DWC28*$C$28</f>
        <v>344230618833.00409</v>
      </c>
      <c r="DWG28" s="160">
        <f t="shared" ref="DWG28" si="1651">DWE28*$C$28</f>
        <v>347672925021.33411</v>
      </c>
      <c r="DWI28" s="160">
        <f t="shared" ref="DWI28" si="1652">DWG28*$C$28</f>
        <v>351149654271.54742</v>
      </c>
      <c r="DWK28" s="160">
        <f t="shared" ref="DWK28" si="1653">DWI28*$C$28</f>
        <v>354661150814.26288</v>
      </c>
      <c r="DWM28" s="160">
        <f t="shared" ref="DWM28" si="1654">DWK28*$C$28</f>
        <v>358207762322.40552</v>
      </c>
      <c r="DWO28" s="160">
        <f t="shared" ref="DWO28" si="1655">DWM28*$C$28</f>
        <v>361789839945.62958</v>
      </c>
      <c r="DWQ28" s="160">
        <f t="shared" ref="DWQ28" si="1656">DWO28*$C$28</f>
        <v>365407738345.08588</v>
      </c>
      <c r="DWS28" s="160">
        <f t="shared" ref="DWS28" si="1657">DWQ28*$C$28</f>
        <v>369061815728.53674</v>
      </c>
      <c r="DWU28" s="160">
        <f t="shared" ref="DWU28" si="1658">DWS28*$C$28</f>
        <v>372752433885.82214</v>
      </c>
      <c r="DWW28" s="160">
        <f t="shared" ref="DWW28" si="1659">DWU28*$C$28</f>
        <v>376479958224.68036</v>
      </c>
      <c r="DWY28" s="160">
        <f t="shared" ref="DWY28" si="1660">DWW28*$C$28</f>
        <v>380244757806.92719</v>
      </c>
      <c r="DXA28" s="160">
        <f t="shared" ref="DXA28" si="1661">DWY28*$C$28</f>
        <v>384047205384.99646</v>
      </c>
      <c r="DXC28" s="160">
        <f t="shared" ref="DXC28" si="1662">DXA28*$C$28</f>
        <v>387887677438.84644</v>
      </c>
      <c r="DXE28" s="160">
        <f t="shared" ref="DXE28" si="1663">DXC28*$C$28</f>
        <v>391766554213.23492</v>
      </c>
      <c r="DXG28" s="160">
        <f t="shared" ref="DXG28" si="1664">DXE28*$C$28</f>
        <v>395684219755.36725</v>
      </c>
      <c r="DXI28" s="160">
        <f t="shared" ref="DXI28" si="1665">DXG28*$C$28</f>
        <v>399641061952.9209</v>
      </c>
      <c r="DXK28" s="160">
        <f t="shared" ref="DXK28" si="1666">DXI28*$C$28</f>
        <v>403637472572.45013</v>
      </c>
      <c r="DXM28" s="160">
        <f t="shared" ref="DXM28" si="1667">DXK28*$C$28</f>
        <v>407673847298.17462</v>
      </c>
      <c r="DXO28" s="160">
        <f t="shared" ref="DXO28" si="1668">DXM28*$C$28</f>
        <v>411750585771.15637</v>
      </c>
      <c r="DXQ28" s="160">
        <f t="shared" ref="DXQ28" si="1669">DXO28*$C$28</f>
        <v>415868091628.86792</v>
      </c>
      <c r="DXS28" s="160">
        <f t="shared" ref="DXS28" si="1670">DXQ28*$C$28</f>
        <v>420026772545.15662</v>
      </c>
      <c r="DXU28" s="160">
        <f t="shared" ref="DXU28" si="1671">DXS28*$C$28</f>
        <v>424227040270.60822</v>
      </c>
      <c r="DXW28" s="160">
        <f t="shared" ref="DXW28" si="1672">DXU28*$C$28</f>
        <v>428469310673.31433</v>
      </c>
      <c r="DXY28" s="160">
        <f t="shared" ref="DXY28" si="1673">DXW28*$C$28</f>
        <v>432754003780.04749</v>
      </c>
      <c r="DYA28" s="160">
        <f t="shared" ref="DYA28" si="1674">DXY28*$C$28</f>
        <v>437081543817.84796</v>
      </c>
      <c r="DYC28" s="160">
        <f t="shared" ref="DYC28" si="1675">DYA28*$C$28</f>
        <v>441452359256.02643</v>
      </c>
      <c r="DYE28" s="160">
        <f t="shared" ref="DYE28" si="1676">DYC28*$C$28</f>
        <v>445866882848.58667</v>
      </c>
      <c r="DYG28" s="160">
        <f t="shared" ref="DYG28" si="1677">DYE28*$C$28</f>
        <v>450325551677.07257</v>
      </c>
      <c r="DYI28" s="160">
        <f t="shared" ref="DYI28" si="1678">DYG28*$C$28</f>
        <v>454828807193.84332</v>
      </c>
      <c r="DYK28" s="160">
        <f t="shared" ref="DYK28" si="1679">DYI28*$C$28</f>
        <v>459377095265.78174</v>
      </c>
      <c r="DYM28" s="160">
        <f t="shared" ref="DYM28" si="1680">DYK28*$C$28</f>
        <v>463970866218.43958</v>
      </c>
      <c r="DYO28" s="160">
        <f t="shared" ref="DYO28" si="1681">DYM28*$C$28</f>
        <v>468610574880.62396</v>
      </c>
      <c r="DYQ28" s="160">
        <f t="shared" ref="DYQ28" si="1682">DYO28*$C$28</f>
        <v>473296680629.43018</v>
      </c>
      <c r="DYS28" s="160">
        <f t="shared" ref="DYS28" si="1683">DYQ28*$C$28</f>
        <v>478029647435.72449</v>
      </c>
      <c r="DYU28" s="160">
        <f t="shared" ref="DYU28" si="1684">DYS28*$C$28</f>
        <v>482809943910.08173</v>
      </c>
      <c r="DYW28" s="160">
        <f t="shared" ref="DYW28" si="1685">DYU28*$C$28</f>
        <v>487638043349.18256</v>
      </c>
      <c r="DYY28" s="160">
        <f t="shared" ref="DYY28" si="1686">DYW28*$C$28</f>
        <v>492514423782.67438</v>
      </c>
      <c r="DZA28" s="160">
        <f t="shared" ref="DZA28" si="1687">DYY28*$C$28</f>
        <v>497439568020.5011</v>
      </c>
      <c r="DZC28" s="160">
        <f t="shared" ref="DZC28" si="1688">DZA28*$C$28</f>
        <v>502413963700.70612</v>
      </c>
      <c r="DZE28" s="160">
        <f t="shared" ref="DZE28" si="1689">DZC28*$C$28</f>
        <v>507438103337.7132</v>
      </c>
      <c r="DZG28" s="160">
        <f t="shared" ref="DZG28" si="1690">DZE28*$C$28</f>
        <v>512512484371.09033</v>
      </c>
      <c r="DZI28" s="160">
        <f t="shared" ref="DZI28" si="1691">DZG28*$C$28</f>
        <v>517637609214.80127</v>
      </c>
      <c r="DZK28" s="160">
        <f t="shared" ref="DZK28" si="1692">DZI28*$C$28</f>
        <v>522813985306.94928</v>
      </c>
      <c r="DZM28" s="160">
        <f t="shared" ref="DZM28" si="1693">DZK28*$C$28</f>
        <v>528042125160.0188</v>
      </c>
      <c r="DZO28" s="160">
        <f t="shared" ref="DZO28" si="1694">DZM28*$C$28</f>
        <v>533322546411.61902</v>
      </c>
      <c r="DZQ28" s="160">
        <f t="shared" ref="DZQ28" si="1695">DZO28*$C$28</f>
        <v>538655771875.73523</v>
      </c>
      <c r="DZS28" s="160">
        <f t="shared" ref="DZS28" si="1696">DZQ28*$C$28</f>
        <v>544042329594.49261</v>
      </c>
      <c r="DZU28" s="160">
        <f t="shared" ref="DZU28" si="1697">DZS28*$C$28</f>
        <v>549482752890.43756</v>
      </c>
      <c r="DZW28" s="160">
        <f t="shared" ref="DZW28" si="1698">DZU28*$C$28</f>
        <v>554977580419.34192</v>
      </c>
      <c r="DZY28" s="160">
        <f t="shared" ref="DZY28" si="1699">DZW28*$C$28</f>
        <v>560527356223.5354</v>
      </c>
      <c r="EAA28" s="160">
        <f t="shared" ref="EAA28" si="1700">DZY28*$C$28</f>
        <v>566132629785.77075</v>
      </c>
      <c r="EAC28" s="160">
        <f t="shared" ref="EAC28" si="1701">EAA28*$C$28</f>
        <v>571793956083.62842</v>
      </c>
      <c r="EAE28" s="160">
        <f t="shared" ref="EAE28" si="1702">EAC28*$C$28</f>
        <v>577511895644.46472</v>
      </c>
      <c r="EAG28" s="160">
        <f t="shared" ref="EAG28" si="1703">EAE28*$C$28</f>
        <v>583287014600.90942</v>
      </c>
      <c r="EAI28" s="160">
        <f t="shared" ref="EAI28" si="1704">EAG28*$C$28</f>
        <v>589119884746.91858</v>
      </c>
      <c r="EAK28" s="160">
        <f t="shared" ref="EAK28" si="1705">EAI28*$C$28</f>
        <v>595011083594.38782</v>
      </c>
      <c r="EAM28" s="160">
        <f t="shared" ref="EAM28" si="1706">EAK28*$C$28</f>
        <v>600961194430.33167</v>
      </c>
      <c r="EAO28" s="160">
        <f t="shared" ref="EAO28" si="1707">EAM28*$C$28</f>
        <v>606970806374.63501</v>
      </c>
      <c r="EAQ28" s="160">
        <f t="shared" ref="EAQ28" si="1708">EAO28*$C$28</f>
        <v>613040514438.38135</v>
      </c>
      <c r="EAS28" s="160">
        <f t="shared" ref="EAS28" si="1709">EAQ28*$C$28</f>
        <v>619170919582.76514</v>
      </c>
      <c r="EAU28" s="160">
        <f t="shared" ref="EAU28" si="1710">EAS28*$C$28</f>
        <v>625362628778.59277</v>
      </c>
      <c r="EAW28" s="160">
        <f t="shared" ref="EAW28" si="1711">EAU28*$C$28</f>
        <v>631616255066.37866</v>
      </c>
      <c r="EAY28" s="160">
        <f t="shared" ref="EAY28" si="1712">EAW28*$C$28</f>
        <v>637932417617.04248</v>
      </c>
      <c r="EBA28" s="160">
        <f t="shared" ref="EBA28" si="1713">EAY28*$C$28</f>
        <v>644311741793.21289</v>
      </c>
      <c r="EBC28" s="160">
        <f t="shared" ref="EBC28" si="1714">EBA28*$C$28</f>
        <v>650754859211.14502</v>
      </c>
      <c r="EBE28" s="160">
        <f t="shared" ref="EBE28" si="1715">EBC28*$C$28</f>
        <v>657262407803.25647</v>
      </c>
      <c r="EBG28" s="160">
        <f t="shared" ref="EBG28" si="1716">EBE28*$C$28</f>
        <v>663835031881.28906</v>
      </c>
      <c r="EBI28" s="160">
        <f t="shared" ref="EBI28" si="1717">EBG28*$C$28</f>
        <v>670473382200.10193</v>
      </c>
      <c r="EBK28" s="160">
        <f t="shared" ref="EBK28" si="1718">EBI28*$C$28</f>
        <v>677178116022.10291</v>
      </c>
      <c r="EBM28" s="160">
        <f t="shared" ref="EBM28" si="1719">EBK28*$C$28</f>
        <v>683949897182.32397</v>
      </c>
      <c r="EBO28" s="160">
        <f t="shared" ref="EBO28" si="1720">EBM28*$C$28</f>
        <v>690789396154.14722</v>
      </c>
      <c r="EBQ28" s="160">
        <f t="shared" ref="EBQ28" si="1721">EBO28*$C$28</f>
        <v>697697290115.68872</v>
      </c>
      <c r="EBS28" s="160">
        <f t="shared" ref="EBS28" si="1722">EBQ28*$C$28</f>
        <v>704674263016.84558</v>
      </c>
      <c r="EBU28" s="160">
        <f t="shared" ref="EBU28" si="1723">EBS28*$C$28</f>
        <v>711721005647.01404</v>
      </c>
      <c r="EBW28" s="160">
        <f t="shared" ref="EBW28" si="1724">EBU28*$C$28</f>
        <v>718838215703.48413</v>
      </c>
      <c r="EBY28" s="160">
        <f t="shared" ref="EBY28" si="1725">EBW28*$C$28</f>
        <v>726026597860.51892</v>
      </c>
      <c r="ECA28" s="160">
        <f t="shared" ref="ECA28" si="1726">EBY28*$C$28</f>
        <v>733286863839.12415</v>
      </c>
      <c r="ECC28" s="160">
        <f t="shared" ref="ECC28" si="1727">ECA28*$C$28</f>
        <v>740619732477.51538</v>
      </c>
      <c r="ECE28" s="160">
        <f t="shared" ref="ECE28" si="1728">ECC28*$C$28</f>
        <v>748025929802.29053</v>
      </c>
      <c r="ECG28" s="160">
        <f t="shared" ref="ECG28" si="1729">ECE28*$C$28</f>
        <v>755506189100.31348</v>
      </c>
      <c r="ECI28" s="160">
        <f t="shared" ref="ECI28" si="1730">ECG28*$C$28</f>
        <v>763061250991.31665</v>
      </c>
      <c r="ECK28" s="160">
        <f t="shared" ref="ECK28" si="1731">ECI28*$C$28</f>
        <v>770691863501.22986</v>
      </c>
      <c r="ECM28" s="160">
        <f t="shared" ref="ECM28" si="1732">ECK28*$C$28</f>
        <v>778398782136.24219</v>
      </c>
      <c r="ECO28" s="160">
        <f t="shared" ref="ECO28" si="1733">ECM28*$C$28</f>
        <v>786182769957.60461</v>
      </c>
      <c r="ECQ28" s="160">
        <f t="shared" ref="ECQ28" si="1734">ECO28*$C$28</f>
        <v>794044597657.18066</v>
      </c>
      <c r="ECS28" s="160">
        <f t="shared" ref="ECS28" si="1735">ECQ28*$C$28</f>
        <v>801985043633.75244</v>
      </c>
      <c r="ECU28" s="160">
        <f t="shared" ref="ECU28" si="1736">ECS28*$C$28</f>
        <v>810004894070.08997</v>
      </c>
      <c r="ECW28" s="160">
        <f t="shared" ref="ECW28" si="1737">ECU28*$C$28</f>
        <v>818104943010.79089</v>
      </c>
      <c r="ECY28" s="160">
        <f t="shared" ref="ECY28" si="1738">ECW28*$C$28</f>
        <v>826285992440.8988</v>
      </c>
      <c r="EDA28" s="160">
        <f t="shared" ref="EDA28" si="1739">ECY28*$C$28</f>
        <v>834548852365.30774</v>
      </c>
      <c r="EDC28" s="160">
        <f t="shared" ref="EDC28" si="1740">EDA28*$C$28</f>
        <v>842894340888.96082</v>
      </c>
      <c r="EDE28" s="160">
        <f t="shared" ref="EDE28" si="1741">EDC28*$C$28</f>
        <v>851323284297.85046</v>
      </c>
      <c r="EDG28" s="160">
        <f t="shared" ref="EDG28" si="1742">EDE28*$C$28</f>
        <v>859836517140.82898</v>
      </c>
      <c r="EDI28" s="160">
        <f t="shared" ref="EDI28" si="1743">EDG28*$C$28</f>
        <v>868434882312.2373</v>
      </c>
      <c r="EDK28" s="160">
        <f t="shared" ref="EDK28" si="1744">EDI28*$C$28</f>
        <v>877119231135.35974</v>
      </c>
      <c r="EDM28" s="160">
        <f t="shared" ref="EDM28" si="1745">EDK28*$C$28</f>
        <v>885890423446.71338</v>
      </c>
      <c r="EDO28" s="160">
        <f t="shared" ref="EDO28" si="1746">EDM28*$C$28</f>
        <v>894749327681.18054</v>
      </c>
      <c r="EDQ28" s="160">
        <f t="shared" ref="EDQ28" si="1747">EDO28*$C$28</f>
        <v>903696820957.99231</v>
      </c>
      <c r="EDS28" s="160">
        <f t="shared" ref="EDS28" si="1748">EDQ28*$C$28</f>
        <v>912733789167.57227</v>
      </c>
      <c r="EDU28" s="160">
        <f t="shared" ref="EDU28" si="1749">EDS28*$C$28</f>
        <v>921861127059.24805</v>
      </c>
      <c r="EDW28" s="160">
        <f t="shared" ref="EDW28" si="1750">EDU28*$C$28</f>
        <v>931079738329.84058</v>
      </c>
      <c r="EDY28" s="160">
        <f t="shared" ref="EDY28" si="1751">EDW28*$C$28</f>
        <v>940390535713.13904</v>
      </c>
      <c r="EEA28" s="160">
        <f t="shared" ref="EEA28" si="1752">EDY28*$C$28</f>
        <v>949794441070.27039</v>
      </c>
      <c r="EEC28" s="160">
        <f t="shared" ref="EEC28" si="1753">EEA28*$C$28</f>
        <v>959292385480.97314</v>
      </c>
      <c r="EEE28" s="160">
        <f t="shared" ref="EEE28" si="1754">EEC28*$C$28</f>
        <v>968885309335.78284</v>
      </c>
      <c r="EEG28" s="160">
        <f t="shared" ref="EEG28" si="1755">EEE28*$C$28</f>
        <v>978574162429.14063</v>
      </c>
      <c r="EEI28" s="160">
        <f t="shared" ref="EEI28" si="1756">EEG28*$C$28</f>
        <v>988359904053.43201</v>
      </c>
      <c r="EEK28" s="160">
        <f t="shared" ref="EEK28" si="1757">EEI28*$C$28</f>
        <v>998243503093.96631</v>
      </c>
      <c r="EEM28" s="160">
        <f t="shared" ref="EEM28" si="1758">EEK28*$C$28</f>
        <v>1008225938124.906</v>
      </c>
      <c r="EEO28" s="160">
        <f t="shared" ref="EEO28" si="1759">EEM28*$C$28</f>
        <v>1018308197506.155</v>
      </c>
      <c r="EEQ28" s="160">
        <f t="shared" ref="EEQ28" si="1760">EEO28*$C$28</f>
        <v>1028491279481.2166</v>
      </c>
      <c r="EES28" s="160">
        <f t="shared" ref="EES28" si="1761">EEQ28*$C$28</f>
        <v>1038776192276.0287</v>
      </c>
      <c r="EEU28" s="160">
        <f t="shared" ref="EEU28" si="1762">EES28*$C$28</f>
        <v>1049163954198.7889</v>
      </c>
      <c r="EEW28" s="160">
        <f t="shared" ref="EEW28" si="1763">EEU28*$C$28</f>
        <v>1059655593740.7769</v>
      </c>
      <c r="EEY28" s="160">
        <f t="shared" ref="EEY28" si="1764">EEW28*$C$28</f>
        <v>1070252149678.1847</v>
      </c>
      <c r="EFA28" s="160">
        <f t="shared" ref="EFA28" si="1765">EEY28*$C$28</f>
        <v>1080954671174.9666</v>
      </c>
      <c r="EFC28" s="160">
        <f t="shared" ref="EFC28" si="1766">EFA28*$C$28</f>
        <v>1091764217886.7162</v>
      </c>
      <c r="EFE28" s="160">
        <f t="shared" ref="EFE28" si="1767">EFC28*$C$28</f>
        <v>1102681860065.5833</v>
      </c>
      <c r="EFG28" s="160">
        <f t="shared" ref="EFG28" si="1768">EFE28*$C$28</f>
        <v>1113708678666.239</v>
      </c>
      <c r="EFI28" s="160">
        <f t="shared" ref="EFI28" si="1769">EFG28*$C$28</f>
        <v>1124845765452.9014</v>
      </c>
      <c r="EFK28" s="160">
        <f t="shared" ref="EFK28" si="1770">EFI28*$C$28</f>
        <v>1136094223107.4304</v>
      </c>
      <c r="EFM28" s="160">
        <f t="shared" ref="EFM28" si="1771">EFK28*$C$28</f>
        <v>1147455165338.5046</v>
      </c>
      <c r="EFO28" s="160">
        <f t="shared" ref="EFO28" si="1772">EFM28*$C$28</f>
        <v>1158929716991.8896</v>
      </c>
      <c r="EFQ28" s="160">
        <f t="shared" ref="EFQ28" si="1773">EFO28*$C$28</f>
        <v>1170519014161.8086</v>
      </c>
      <c r="EFS28" s="160">
        <f t="shared" ref="EFS28" si="1774">EFQ28*$C$28</f>
        <v>1182224204303.4268</v>
      </c>
      <c r="EFU28" s="160">
        <f t="shared" ref="EFU28" si="1775">EFS28*$C$28</f>
        <v>1194046446346.4609</v>
      </c>
      <c r="EFW28" s="160">
        <f t="shared" ref="EFW28" si="1776">EFU28*$C$28</f>
        <v>1205986910809.9255</v>
      </c>
      <c r="EFY28" s="160">
        <f t="shared" ref="EFY28" si="1777">EFW28*$C$28</f>
        <v>1218046779918.0249</v>
      </c>
      <c r="EGA28" s="160">
        <f t="shared" ref="EGA28" si="1778">EFY28*$C$28</f>
        <v>1230227247717.2051</v>
      </c>
      <c r="EGC28" s="160">
        <f t="shared" ref="EGC28" si="1779">EGA28*$C$28</f>
        <v>1242529520194.3772</v>
      </c>
      <c r="EGE28" s="160">
        <f t="shared" ref="EGE28" si="1780">EGC28*$C$28</f>
        <v>1254954815396.321</v>
      </c>
      <c r="EGG28" s="160">
        <f t="shared" ref="EGG28" si="1781">EGE28*$C$28</f>
        <v>1267504363550.2842</v>
      </c>
      <c r="EGI28" s="160">
        <f t="shared" ref="EGI28" si="1782">EGG28*$C$28</f>
        <v>1280179407185.7871</v>
      </c>
      <c r="EGK28" s="160">
        <f t="shared" ref="EGK28" si="1783">EGI28*$C$28</f>
        <v>1292981201257.645</v>
      </c>
      <c r="EGM28" s="160">
        <f t="shared" ref="EGM28" si="1784">EGK28*$C$28</f>
        <v>1305911013270.2214</v>
      </c>
      <c r="EGO28" s="160">
        <f t="shared" ref="EGO28" si="1785">EGM28*$C$28</f>
        <v>1318970123402.9236</v>
      </c>
      <c r="EGQ28" s="160">
        <f t="shared" ref="EGQ28" si="1786">EGO28*$C$28</f>
        <v>1332159824636.9529</v>
      </c>
      <c r="EGS28" s="160">
        <f t="shared" ref="EGS28" si="1787">EGQ28*$C$28</f>
        <v>1345481422883.3225</v>
      </c>
      <c r="EGU28" s="160">
        <f t="shared" ref="EGU28" si="1788">EGS28*$C$28</f>
        <v>1358936237112.1558</v>
      </c>
      <c r="EGW28" s="160">
        <f t="shared" ref="EGW28" si="1789">EGU28*$C$28</f>
        <v>1372525599483.2773</v>
      </c>
      <c r="EGY28" s="160">
        <f t="shared" ref="EGY28" si="1790">EGW28*$C$28</f>
        <v>1386250855478.1101</v>
      </c>
      <c r="EHA28" s="160">
        <f t="shared" ref="EHA28" si="1791">EGY28*$C$28</f>
        <v>1400113364032.8911</v>
      </c>
      <c r="EHC28" s="160">
        <f t="shared" ref="EHC28" si="1792">EHA28*$C$28</f>
        <v>1414114497673.22</v>
      </c>
      <c r="EHE28" s="160">
        <f t="shared" ref="EHE28" si="1793">EHC28*$C$28</f>
        <v>1428255642649.9521</v>
      </c>
      <c r="EHG28" s="160">
        <f t="shared" ref="EHG28" si="1794">EHE28*$C$28</f>
        <v>1442538199076.4517</v>
      </c>
      <c r="EHI28" s="160">
        <f t="shared" ref="EHI28" si="1795">EHG28*$C$28</f>
        <v>1456963581067.2163</v>
      </c>
      <c r="EHK28" s="160">
        <f t="shared" ref="EHK28" si="1796">EHI28*$C$28</f>
        <v>1471533216877.8884</v>
      </c>
      <c r="EHM28" s="160">
        <f t="shared" ref="EHM28" si="1797">EHK28*$C$28</f>
        <v>1486248549046.6672</v>
      </c>
      <c r="EHO28" s="160">
        <f t="shared" ref="EHO28" si="1798">EHM28*$C$28</f>
        <v>1501111034537.134</v>
      </c>
      <c r="EHQ28" s="160">
        <f t="shared" ref="EHQ28" si="1799">EHO28*$C$28</f>
        <v>1516122144882.5054</v>
      </c>
      <c r="EHS28" s="160">
        <f t="shared" ref="EHS28" si="1800">EHQ28*$C$28</f>
        <v>1531283366331.3303</v>
      </c>
      <c r="EHU28" s="160">
        <f t="shared" ref="EHU28" si="1801">EHS28*$C$28</f>
        <v>1546596199994.6436</v>
      </c>
      <c r="EHW28" s="160">
        <f t="shared" ref="EHW28" si="1802">EHU28*$C$28</f>
        <v>1562062161994.5901</v>
      </c>
      <c r="EHY28" s="160">
        <f t="shared" ref="EHY28" si="1803">EHW28*$C$28</f>
        <v>1577682783614.5359</v>
      </c>
      <c r="EIA28" s="160">
        <f t="shared" ref="EIA28" si="1804">EHY28*$C$28</f>
        <v>1593459611450.6812</v>
      </c>
      <c r="EIC28" s="160">
        <f t="shared" ref="EIC28" si="1805">EIA28*$C$28</f>
        <v>1609394207565.188</v>
      </c>
      <c r="EIE28" s="160">
        <f t="shared" ref="EIE28" si="1806">EIC28*$C$28</f>
        <v>1625488149640.8398</v>
      </c>
      <c r="EIG28" s="160">
        <f t="shared" ref="EIG28" si="1807">EIE28*$C$28</f>
        <v>1641743031137.2483</v>
      </c>
      <c r="EII28" s="160">
        <f t="shared" ref="EII28" si="1808">EIG28*$C$28</f>
        <v>1658160461448.6208</v>
      </c>
      <c r="EIK28" s="160">
        <f t="shared" ref="EIK28" si="1809">EII28*$C$28</f>
        <v>1674742066063.1072</v>
      </c>
      <c r="EIM28" s="160">
        <f t="shared" ref="EIM28" si="1810">EIK28*$C$28</f>
        <v>1691489486723.7383</v>
      </c>
      <c r="EIO28" s="160">
        <f t="shared" ref="EIO28" si="1811">EIM28*$C$28</f>
        <v>1708404381590.9756</v>
      </c>
      <c r="EIQ28" s="160">
        <f t="shared" ref="EIQ28" si="1812">EIO28*$C$28</f>
        <v>1725488425406.8853</v>
      </c>
      <c r="EIS28" s="160">
        <f t="shared" ref="EIS28" si="1813">EIQ28*$C$28</f>
        <v>1742743309660.9541</v>
      </c>
      <c r="EIU28" s="160">
        <f t="shared" ref="EIU28" si="1814">EIS28*$C$28</f>
        <v>1760170742757.5637</v>
      </c>
      <c r="EIW28" s="160">
        <f t="shared" ref="EIW28" si="1815">EIU28*$C$28</f>
        <v>1777772450185.1394</v>
      </c>
      <c r="EIY28" s="160">
        <f t="shared" ref="EIY28" si="1816">EIW28*$C$28</f>
        <v>1795550174686.9907</v>
      </c>
      <c r="EJA28" s="160">
        <f t="shared" ref="EJA28" si="1817">EIY28*$C$28</f>
        <v>1813505676433.8606</v>
      </c>
      <c r="EJC28" s="160">
        <f t="shared" ref="EJC28" si="1818">EJA28*$C$28</f>
        <v>1831640733198.1992</v>
      </c>
      <c r="EJE28" s="160">
        <f t="shared" ref="EJE28" si="1819">EJC28*$C$28</f>
        <v>1849957140530.1812</v>
      </c>
      <c r="EJG28" s="160">
        <f t="shared" ref="EJG28" si="1820">EJE28*$C$28</f>
        <v>1868456711935.4829</v>
      </c>
      <c r="EJI28" s="160">
        <f t="shared" ref="EJI28" si="1821">EJG28*$C$28</f>
        <v>1887141279054.8376</v>
      </c>
      <c r="EJK28" s="160">
        <f t="shared" ref="EJK28" si="1822">EJI28*$C$28</f>
        <v>1906012691845.386</v>
      </c>
      <c r="EJM28" s="160">
        <f t="shared" ref="EJM28" si="1823">EJK28*$C$28</f>
        <v>1925072818763.8398</v>
      </c>
      <c r="EJO28" s="160">
        <f t="shared" ref="EJO28" si="1824">EJM28*$C$28</f>
        <v>1944323546951.4783</v>
      </c>
      <c r="EJQ28" s="160">
        <f t="shared" ref="EJQ28" si="1825">EJO28*$C$28</f>
        <v>1963766782420.9932</v>
      </c>
      <c r="EJS28" s="160">
        <f t="shared" ref="EJS28" si="1826">EJQ28*$C$28</f>
        <v>1983404450245.2031</v>
      </c>
      <c r="EJU28" s="160">
        <f t="shared" ref="EJU28" si="1827">EJS28*$C$28</f>
        <v>2003238494747.6553</v>
      </c>
      <c r="EJW28" s="160">
        <f t="shared" ref="EJW28" si="1828">EJU28*$C$28</f>
        <v>2023270879695.1318</v>
      </c>
      <c r="EJY28" s="160">
        <f t="shared" ref="EJY28" si="1829">EJW28*$C$28</f>
        <v>2043503588492.0833</v>
      </c>
      <c r="EKA28" s="160">
        <f t="shared" ref="EKA28" si="1830">EJY28*$C$28</f>
        <v>2063938624377.0042</v>
      </c>
      <c r="EKC28" s="160">
        <f t="shared" ref="EKC28" si="1831">EKA28*$C$28</f>
        <v>2084578010620.7742</v>
      </c>
      <c r="EKE28" s="160">
        <f t="shared" ref="EKE28" si="1832">EKC28*$C$28</f>
        <v>2105423790726.9819</v>
      </c>
      <c r="EKG28" s="160">
        <f t="shared" ref="EKG28" si="1833">EKE28*$C$28</f>
        <v>2126478028634.2517</v>
      </c>
      <c r="EKI28" s="160">
        <f t="shared" ref="EKI28" si="1834">EKG28*$C$28</f>
        <v>2147742808920.5942</v>
      </c>
      <c r="EKK28" s="160">
        <f t="shared" ref="EKK28" si="1835">EKI28*$C$28</f>
        <v>2169220237009.8003</v>
      </c>
      <c r="EKM28" s="160">
        <f t="shared" ref="EKM28" si="1836">EKK28*$C$28</f>
        <v>2190912439379.8982</v>
      </c>
      <c r="EKO28" s="160">
        <f t="shared" ref="EKO28" si="1837">EKM28*$C$28</f>
        <v>2212821563773.6973</v>
      </c>
      <c r="EKQ28" s="160">
        <f t="shared" ref="EKQ28" si="1838">EKO28*$C$28</f>
        <v>2234949779411.4341</v>
      </c>
      <c r="EKS28" s="160">
        <f t="shared" ref="EKS28" si="1839">EKQ28*$C$28</f>
        <v>2257299277205.5483</v>
      </c>
      <c r="EKU28" s="160">
        <f t="shared" ref="EKU28" si="1840">EKS28*$C$28</f>
        <v>2279872269977.604</v>
      </c>
      <c r="EKW28" s="160">
        <f t="shared" ref="EKW28" si="1841">EKU28*$C$28</f>
        <v>2302670992677.3799</v>
      </c>
      <c r="EKY28" s="160">
        <f t="shared" ref="EKY28" si="1842">EKW28*$C$28</f>
        <v>2325697702604.1538</v>
      </c>
      <c r="ELA28" s="160">
        <f t="shared" ref="ELA28" si="1843">EKY28*$C$28</f>
        <v>2348954679630.1953</v>
      </c>
      <c r="ELC28" s="160">
        <f t="shared" ref="ELC28" si="1844">ELA28*$C$28</f>
        <v>2372444226426.4971</v>
      </c>
      <c r="ELE28" s="160">
        <f t="shared" ref="ELE28" si="1845">ELC28*$C$28</f>
        <v>2396168668690.7622</v>
      </c>
      <c r="ELG28" s="160">
        <f t="shared" ref="ELG28" si="1846">ELE28*$C$28</f>
        <v>2420130355377.6699</v>
      </c>
      <c r="ELI28" s="160">
        <f t="shared" ref="ELI28" si="1847">ELG28*$C$28</f>
        <v>2444331658931.4468</v>
      </c>
      <c r="ELK28" s="160">
        <f t="shared" ref="ELK28" si="1848">ELI28*$C$28</f>
        <v>2468774975520.7612</v>
      </c>
      <c r="ELM28" s="160">
        <f t="shared" ref="ELM28" si="1849">ELK28*$C$28</f>
        <v>2493462725275.9688</v>
      </c>
      <c r="ELO28" s="160">
        <f t="shared" ref="ELO28" si="1850">ELM28*$C$28</f>
        <v>2518397352528.7285</v>
      </c>
      <c r="ELQ28" s="160">
        <f t="shared" ref="ELQ28" si="1851">ELO28*$C$28</f>
        <v>2543581326054.0156</v>
      </c>
      <c r="ELS28" s="160">
        <f t="shared" ref="ELS28" si="1852">ELQ28*$C$28</f>
        <v>2569017139314.5557</v>
      </c>
      <c r="ELU28" s="160">
        <f t="shared" ref="ELU28" si="1853">ELS28*$C$28</f>
        <v>2594707310707.7012</v>
      </c>
      <c r="ELW28" s="160">
        <f t="shared" ref="ELW28" si="1854">ELU28*$C$28</f>
        <v>2620654383814.7783</v>
      </c>
      <c r="ELY28" s="160">
        <f t="shared" ref="ELY28" si="1855">ELW28*$C$28</f>
        <v>2646860927652.9263</v>
      </c>
      <c r="EMA28" s="160">
        <f t="shared" ref="EMA28" si="1856">ELY28*$C$28</f>
        <v>2673329536929.4556</v>
      </c>
      <c r="EMC28" s="160">
        <f t="shared" ref="EMC28" si="1857">EMA28*$C$28</f>
        <v>2700062832298.75</v>
      </c>
      <c r="EME28" s="160">
        <f t="shared" ref="EME28" si="1858">EMC28*$C$28</f>
        <v>2727063460621.7373</v>
      </c>
      <c r="EMG28" s="160">
        <f t="shared" ref="EMG28" si="1859">EME28*$C$28</f>
        <v>2754334095227.9546</v>
      </c>
      <c r="EMI28" s="160">
        <f t="shared" ref="EMI28" si="1860">EMG28*$C$28</f>
        <v>2781877436180.2344</v>
      </c>
      <c r="EMK28" s="160">
        <f t="shared" ref="EMK28" si="1861">EMI28*$C$28</f>
        <v>2809696210542.0366</v>
      </c>
      <c r="EMM28" s="160">
        <f t="shared" ref="EMM28" si="1862">EMK28*$C$28</f>
        <v>2837793172647.457</v>
      </c>
      <c r="EMO28" s="160">
        <f t="shared" ref="EMO28" si="1863">EMM28*$C$28</f>
        <v>2866171104373.9316</v>
      </c>
      <c r="EMQ28" s="160">
        <f t="shared" ref="EMQ28" si="1864">EMO28*$C$28</f>
        <v>2894832815417.6709</v>
      </c>
      <c r="EMS28" s="160">
        <f t="shared" ref="EMS28" si="1865">EMQ28*$C$28</f>
        <v>2923781143571.8477</v>
      </c>
      <c r="EMU28" s="160">
        <f t="shared" ref="EMU28" si="1866">EMS28*$C$28</f>
        <v>2953018955007.5659</v>
      </c>
      <c r="EMW28" s="160">
        <f t="shared" ref="EMW28" si="1867">EMU28*$C$28</f>
        <v>2982549144557.6416</v>
      </c>
      <c r="EMY28" s="160">
        <f t="shared" ref="EMY28" si="1868">EMW28*$C$28</f>
        <v>3012374636003.2183</v>
      </c>
      <c r="ENA28" s="160">
        <f t="shared" ref="ENA28" si="1869">EMY28*$C$28</f>
        <v>3042498382363.2505</v>
      </c>
      <c r="ENC28" s="160">
        <f t="shared" ref="ENC28" si="1870">ENA28*$C$28</f>
        <v>3072923366186.8828</v>
      </c>
      <c r="ENE28" s="160">
        <f t="shared" ref="ENE28" si="1871">ENC28*$C$28</f>
        <v>3103652599848.7515</v>
      </c>
      <c r="ENG28" s="160">
        <f t="shared" ref="ENG28" si="1872">ENE28*$C$28</f>
        <v>3134689125847.2388</v>
      </c>
      <c r="ENI28" s="160">
        <f t="shared" ref="ENI28" si="1873">ENG28*$C$28</f>
        <v>3166036017105.7114</v>
      </c>
      <c r="ENK28" s="160">
        <f t="shared" ref="ENK28" si="1874">ENI28*$C$28</f>
        <v>3197696377276.7686</v>
      </c>
      <c r="ENM28" s="160">
        <f t="shared" ref="ENM28" si="1875">ENK28*$C$28</f>
        <v>3229673341049.5361</v>
      </c>
      <c r="ENO28" s="160">
        <f t="shared" ref="ENO28" si="1876">ENM28*$C$28</f>
        <v>3261970074460.0317</v>
      </c>
      <c r="ENQ28" s="160">
        <f t="shared" ref="ENQ28" si="1877">ENO28*$C$28</f>
        <v>3294589775204.6323</v>
      </c>
      <c r="ENS28" s="160">
        <f t="shared" ref="ENS28" si="1878">ENQ28*$C$28</f>
        <v>3327535672956.6787</v>
      </c>
      <c r="ENU28" s="160">
        <f t="shared" ref="ENU28" si="1879">ENS28*$C$28</f>
        <v>3360811029686.2456</v>
      </c>
      <c r="ENW28" s="160">
        <f t="shared" ref="ENW28" si="1880">ENU28*$C$28</f>
        <v>3394419139983.1079</v>
      </c>
      <c r="ENY28" s="160">
        <f t="shared" ref="ENY28" si="1881">ENW28*$C$28</f>
        <v>3428363331382.939</v>
      </c>
      <c r="EOA28" s="160">
        <f t="shared" ref="EOA28" si="1882">ENY28*$C$28</f>
        <v>3462646964696.7686</v>
      </c>
      <c r="EOC28" s="160">
        <f t="shared" ref="EOC28" si="1883">EOA28*$C$28</f>
        <v>3497273434343.7363</v>
      </c>
      <c r="EOE28" s="160">
        <f t="shared" ref="EOE28" si="1884">EOC28*$C$28</f>
        <v>3532246168687.1738</v>
      </c>
      <c r="EOG28" s="160">
        <f t="shared" ref="EOG28" si="1885">EOE28*$C$28</f>
        <v>3567568630374.0454</v>
      </c>
      <c r="EOI28" s="160">
        <f t="shared" ref="EOI28" si="1886">EOG28*$C$28</f>
        <v>3603244316677.7861</v>
      </c>
      <c r="EOK28" s="160">
        <f t="shared" ref="EOK28" si="1887">EOI28*$C$28</f>
        <v>3639276759844.564</v>
      </c>
      <c r="EOM28" s="160">
        <f t="shared" ref="EOM28" si="1888">EOK28*$C$28</f>
        <v>3675669527443.0098</v>
      </c>
      <c r="EOO28" s="160">
        <f t="shared" ref="EOO28" si="1889">EOM28*$C$28</f>
        <v>3712426222717.4399</v>
      </c>
      <c r="EOQ28" s="160">
        <f t="shared" ref="EOQ28" si="1890">EOO28*$C$28</f>
        <v>3749550484944.6143</v>
      </c>
      <c r="EOS28" s="160">
        <f t="shared" ref="EOS28" si="1891">EOQ28*$C$28</f>
        <v>3787045989794.0605</v>
      </c>
      <c r="EOU28" s="160">
        <f t="shared" ref="EOU28" si="1892">EOS28*$C$28</f>
        <v>3824916449692.001</v>
      </c>
      <c r="EOW28" s="160">
        <f t="shared" ref="EOW28" si="1893">EOU28*$C$28</f>
        <v>3863165614188.9209</v>
      </c>
      <c r="EOY28" s="160">
        <f t="shared" ref="EOY28" si="1894">EOW28*$C$28</f>
        <v>3901797270330.8101</v>
      </c>
      <c r="EPA28" s="160">
        <f t="shared" ref="EPA28" si="1895">EOY28*$C$28</f>
        <v>3940815243034.1182</v>
      </c>
      <c r="EPC28" s="160">
        <f t="shared" ref="EPC28" si="1896">EPA28*$C$28</f>
        <v>3980223395464.4595</v>
      </c>
      <c r="EPE28" s="160">
        <f t="shared" ref="EPE28" si="1897">EPC28*$C$28</f>
        <v>4020025629419.104</v>
      </c>
      <c r="EPG28" s="160">
        <f t="shared" ref="EPG28" si="1898">EPE28*$C$28</f>
        <v>4060225885713.2949</v>
      </c>
      <c r="EPI28" s="160">
        <f t="shared" ref="EPI28" si="1899">EPG28*$C$28</f>
        <v>4100828144570.4277</v>
      </c>
      <c r="EPK28" s="160">
        <f t="shared" ref="EPK28" si="1900">EPI28*$C$28</f>
        <v>4141836426016.1318</v>
      </c>
      <c r="EPM28" s="160">
        <f t="shared" ref="EPM28" si="1901">EPK28*$C$28</f>
        <v>4183254790276.293</v>
      </c>
      <c r="EPO28" s="160">
        <f t="shared" ref="EPO28" si="1902">EPM28*$C$28</f>
        <v>4225087338179.0562</v>
      </c>
      <c r="EPQ28" s="160">
        <f t="shared" ref="EPQ28" si="1903">EPO28*$C$28</f>
        <v>4267338211560.8467</v>
      </c>
      <c r="EPS28" s="160">
        <f t="shared" ref="EPS28" si="1904">EPQ28*$C$28</f>
        <v>4310011593676.4551</v>
      </c>
      <c r="EPU28" s="160">
        <f t="shared" ref="EPU28" si="1905">EPS28*$C$28</f>
        <v>4353111709613.2197</v>
      </c>
      <c r="EPW28" s="160">
        <f t="shared" ref="EPW28" si="1906">EPU28*$C$28</f>
        <v>4396642826709.3521</v>
      </c>
      <c r="EPY28" s="160">
        <f t="shared" ref="EPY28" si="1907">EPW28*$C$28</f>
        <v>4440609254976.4453</v>
      </c>
      <c r="EQA28" s="160">
        <f t="shared" ref="EQA28" si="1908">EPY28*$C$28</f>
        <v>4485015347526.21</v>
      </c>
      <c r="EQC28" s="160">
        <f t="shared" ref="EQC28" si="1909">EQA28*$C$28</f>
        <v>4529865501001.4717</v>
      </c>
      <c r="EQE28" s="160">
        <f t="shared" ref="EQE28" si="1910">EQC28*$C$28</f>
        <v>4575164156011.4863</v>
      </c>
      <c r="EQG28" s="160">
        <f t="shared" ref="EQG28" si="1911">EQE28*$C$28</f>
        <v>4620915797571.6016</v>
      </c>
      <c r="EQI28" s="160">
        <f t="shared" ref="EQI28" si="1912">EQG28*$C$28</f>
        <v>4667124955547.3174</v>
      </c>
      <c r="EQK28" s="160">
        <f t="shared" ref="EQK28" si="1913">EQI28*$C$28</f>
        <v>4713796205102.791</v>
      </c>
      <c r="EQM28" s="160">
        <f t="shared" ref="EQM28" si="1914">EQK28*$C$28</f>
        <v>4760934167153.8193</v>
      </c>
      <c r="EQO28" s="160">
        <f t="shared" ref="EQO28" si="1915">EQM28*$C$28</f>
        <v>4808543508825.3574</v>
      </c>
      <c r="EQQ28" s="160">
        <f t="shared" ref="EQQ28" si="1916">EQO28*$C$28</f>
        <v>4856628943913.6113</v>
      </c>
      <c r="EQS28" s="160">
        <f t="shared" ref="EQS28" si="1917">EQQ28*$C$28</f>
        <v>4905195233352.7471</v>
      </c>
      <c r="EQU28" s="160">
        <f t="shared" ref="EQU28" si="1918">EQS28*$C$28</f>
        <v>4954247185686.2744</v>
      </c>
      <c r="EQW28" s="160">
        <f t="shared" ref="EQW28" si="1919">EQU28*$C$28</f>
        <v>5003789657543.1367</v>
      </c>
      <c r="EQY28" s="160">
        <f t="shared" ref="EQY28" si="1920">EQW28*$C$28</f>
        <v>5053827554118.5684</v>
      </c>
      <c r="ERA28" s="160">
        <f t="shared" ref="ERA28" si="1921">EQY28*$C$28</f>
        <v>5104365829659.7539</v>
      </c>
      <c r="ERC28" s="160">
        <f t="shared" ref="ERC28" si="1922">ERA28*$C$28</f>
        <v>5155409487956.3516</v>
      </c>
      <c r="ERE28" s="160">
        <f t="shared" ref="ERE28" si="1923">ERC28*$C$28</f>
        <v>5206963582835.915</v>
      </c>
      <c r="ERG28" s="160">
        <f t="shared" ref="ERG28" si="1924">ERE28*$C$28</f>
        <v>5259033218664.2744</v>
      </c>
      <c r="ERI28" s="160">
        <f t="shared" ref="ERI28" si="1925">ERG28*$C$28</f>
        <v>5311623550850.917</v>
      </c>
      <c r="ERK28" s="160">
        <f t="shared" ref="ERK28" si="1926">ERI28*$C$28</f>
        <v>5364739786359.4258</v>
      </c>
      <c r="ERM28" s="160">
        <f t="shared" ref="ERM28" si="1927">ERK28*$C$28</f>
        <v>5418387184223.0205</v>
      </c>
      <c r="ERO28" s="160">
        <f t="shared" ref="ERO28" si="1928">ERM28*$C$28</f>
        <v>5472571056065.251</v>
      </c>
      <c r="ERQ28" s="160">
        <f t="shared" ref="ERQ28" si="1929">ERO28*$C$28</f>
        <v>5527296766625.9033</v>
      </c>
      <c r="ERS28" s="160">
        <f t="shared" ref="ERS28" si="1930">ERQ28*$C$28</f>
        <v>5582569734292.1621</v>
      </c>
      <c r="ERU28" s="160">
        <f t="shared" ref="ERU28" si="1931">ERS28*$C$28</f>
        <v>5638395431635.084</v>
      </c>
      <c r="ERW28" s="160">
        <f t="shared" ref="ERW28" si="1932">ERU28*$C$28</f>
        <v>5694779385951.4346</v>
      </c>
      <c r="ERY28" s="160">
        <f t="shared" ref="ERY28" si="1933">ERW28*$C$28</f>
        <v>5751727179810.9492</v>
      </c>
      <c r="ESA28" s="160">
        <f t="shared" ref="ESA28" si="1934">ERY28*$C$28</f>
        <v>5809244451609.0586</v>
      </c>
      <c r="ESC28" s="160">
        <f t="shared" ref="ESC28" si="1935">ESA28*$C$28</f>
        <v>5867336896125.1494</v>
      </c>
      <c r="ESE28" s="160">
        <f t="shared" ref="ESE28" si="1936">ESC28*$C$28</f>
        <v>5926010265086.4014</v>
      </c>
      <c r="ESG28" s="160">
        <f t="shared" ref="ESG28" si="1937">ESE28*$C$28</f>
        <v>5985270367737.2656</v>
      </c>
      <c r="ESI28" s="160">
        <f t="shared" ref="ESI28" si="1938">ESG28*$C$28</f>
        <v>6045123071414.6387</v>
      </c>
      <c r="ESK28" s="160">
        <f t="shared" ref="ESK28" si="1939">ESI28*$C$28</f>
        <v>6105574302128.7852</v>
      </c>
      <c r="ESM28" s="160">
        <f t="shared" ref="ESM28" si="1940">ESK28*$C$28</f>
        <v>6166630045150.0732</v>
      </c>
      <c r="ESO28" s="160">
        <f t="shared" ref="ESO28" si="1941">ESM28*$C$28</f>
        <v>6228296345601.5742</v>
      </c>
      <c r="ESQ28" s="160">
        <f t="shared" ref="ESQ28" si="1942">ESO28*$C$28</f>
        <v>6290579309057.5898</v>
      </c>
      <c r="ESS28" s="160">
        <f t="shared" ref="ESS28" si="1943">ESQ28*$C$28</f>
        <v>6353485102148.166</v>
      </c>
      <c r="ESU28" s="160">
        <f t="shared" ref="ESU28" si="1944">ESS28*$C$28</f>
        <v>6417019953169.6475</v>
      </c>
      <c r="ESW28" s="160">
        <f t="shared" ref="ESW28" si="1945">ESU28*$C$28</f>
        <v>6481190152701.3438</v>
      </c>
      <c r="ESY28" s="160">
        <f t="shared" ref="ESY28" si="1946">ESW28*$C$28</f>
        <v>6546002054228.3574</v>
      </c>
      <c r="ETA28" s="160">
        <f t="shared" ref="ETA28" si="1947">ESY28*$C$28</f>
        <v>6611462074770.6406</v>
      </c>
      <c r="ETC28" s="160">
        <f t="shared" ref="ETC28" si="1948">ETA28*$C$28</f>
        <v>6677576695518.3467</v>
      </c>
      <c r="ETE28" s="160">
        <f t="shared" ref="ETE28" si="1949">ETC28*$C$28</f>
        <v>6744352462473.5303</v>
      </c>
      <c r="ETG28" s="160">
        <f t="shared" ref="ETG28" si="1950">ETE28*$C$28</f>
        <v>6811795987098.2656</v>
      </c>
      <c r="ETI28" s="160">
        <f t="shared" ref="ETI28" si="1951">ETG28*$C$28</f>
        <v>6879913946969.248</v>
      </c>
      <c r="ETK28" s="160">
        <f t="shared" ref="ETK28" si="1952">ETI28*$C$28</f>
        <v>6948713086438.9404</v>
      </c>
      <c r="ETM28" s="160">
        <f t="shared" ref="ETM28" si="1953">ETK28*$C$28</f>
        <v>7018200217303.3301</v>
      </c>
      <c r="ETO28" s="160">
        <f t="shared" ref="ETO28" si="1954">ETM28*$C$28</f>
        <v>7088382219476.3633</v>
      </c>
      <c r="ETQ28" s="160">
        <f t="shared" ref="ETQ28" si="1955">ETO28*$C$28</f>
        <v>7159266041671.127</v>
      </c>
      <c r="ETS28" s="160">
        <f t="shared" ref="ETS28" si="1956">ETQ28*$C$28</f>
        <v>7230858702087.8379</v>
      </c>
      <c r="ETU28" s="160">
        <f t="shared" ref="ETU28" si="1957">ETS28*$C$28</f>
        <v>7303167289108.7168</v>
      </c>
      <c r="ETW28" s="160">
        <f t="shared" ref="ETW28" si="1958">ETU28*$C$28</f>
        <v>7376198961999.8037</v>
      </c>
      <c r="ETY28" s="160">
        <f t="shared" ref="ETY28" si="1959">ETW28*$C$28</f>
        <v>7449960951619.8018</v>
      </c>
      <c r="EUA28" s="160">
        <f t="shared" ref="EUA28" si="1960">ETY28*$C$28</f>
        <v>7524460561136</v>
      </c>
      <c r="EUC28" s="160">
        <f t="shared" ref="EUC28" si="1961">EUA28*$C$28</f>
        <v>7599705166747.3604</v>
      </c>
      <c r="EUE28" s="160">
        <f t="shared" ref="EUE28" si="1962">EUC28*$C$28</f>
        <v>7675702218414.834</v>
      </c>
      <c r="EUG28" s="160">
        <f t="shared" ref="EUG28" si="1963">EUE28*$C$28</f>
        <v>7752459240598.9824</v>
      </c>
      <c r="EUI28" s="160">
        <f t="shared" ref="EUI28" si="1964">EUG28*$C$28</f>
        <v>7829983833004.9727</v>
      </c>
      <c r="EUK28" s="160">
        <f t="shared" ref="EUK28" si="1965">EUI28*$C$28</f>
        <v>7908283671335.0225</v>
      </c>
      <c r="EUM28" s="160">
        <f t="shared" ref="EUM28" si="1966">EUK28*$C$28</f>
        <v>7987366508048.373</v>
      </c>
      <c r="EUO28" s="160">
        <f t="shared" ref="EUO28" si="1967">EUM28*$C$28</f>
        <v>8067240173128.8564</v>
      </c>
      <c r="EUQ28" s="160">
        <f t="shared" ref="EUQ28" si="1968">EUO28*$C$28</f>
        <v>8147912574860.1455</v>
      </c>
      <c r="EUS28" s="160">
        <f t="shared" ref="EUS28" si="1969">EUQ28*$C$28</f>
        <v>8229391700608.7471</v>
      </c>
      <c r="EUU28" s="160">
        <f t="shared" ref="EUU28" si="1970">EUS28*$C$28</f>
        <v>8311685617614.835</v>
      </c>
      <c r="EUW28" s="160">
        <f t="shared" ref="EUW28" si="1971">EUU28*$C$28</f>
        <v>8394802473790.9834</v>
      </c>
      <c r="EUY28" s="160">
        <f t="shared" ref="EUY28" si="1972">EUW28*$C$28</f>
        <v>8478750498528.8936</v>
      </c>
      <c r="EVA28" s="160">
        <f t="shared" ref="EVA28" si="1973">EUY28*$C$28</f>
        <v>8563538003514.1826</v>
      </c>
      <c r="EVC28" s="160">
        <f t="shared" ref="EVC28" si="1974">EVA28*$C$28</f>
        <v>8649173383549.3242</v>
      </c>
      <c r="EVE28" s="160">
        <f t="shared" ref="EVE28" si="1975">EVC28*$C$28</f>
        <v>8735665117384.8174</v>
      </c>
      <c r="EVG28" s="160">
        <f t="shared" ref="EVG28" si="1976">EVE28*$C$28</f>
        <v>8823021768558.666</v>
      </c>
      <c r="EVI28" s="160">
        <f t="shared" ref="EVI28" si="1977">EVG28*$C$28</f>
        <v>8911251986244.252</v>
      </c>
      <c r="EVK28" s="160">
        <f t="shared" ref="EVK28" si="1978">EVI28*$C$28</f>
        <v>9000364506106.6953</v>
      </c>
      <c r="EVM28" s="160">
        <f t="shared" ref="EVM28" si="1979">EVK28*$C$28</f>
        <v>9090368151167.7617</v>
      </c>
      <c r="EVO28" s="160">
        <f t="shared" ref="EVO28" si="1980">EVM28*$C$28</f>
        <v>9181271832679.4395</v>
      </c>
      <c r="EVQ28" s="160">
        <f t="shared" ref="EVQ28" si="1981">EVO28*$C$28</f>
        <v>9273084551006.2344</v>
      </c>
      <c r="EVS28" s="160">
        <f t="shared" ref="EVS28" si="1982">EVQ28*$C$28</f>
        <v>9365815396516.2969</v>
      </c>
      <c r="EVU28" s="160">
        <f t="shared" ref="EVU28" si="1983">EVS28*$C$28</f>
        <v>9459473550481.459</v>
      </c>
      <c r="EVW28" s="160">
        <f t="shared" ref="EVW28" si="1984">EVU28*$C$28</f>
        <v>9554068285986.2734</v>
      </c>
      <c r="EVY28" s="160">
        <f t="shared" ref="EVY28" si="1985">EVW28*$C$28</f>
        <v>9649608968846.1367</v>
      </c>
      <c r="EWA28" s="160">
        <f t="shared" ref="EWA28" si="1986">EVY28*$C$28</f>
        <v>9746105058534.5977</v>
      </c>
      <c r="EWC28" s="160">
        <f t="shared" ref="EWC28" si="1987">EWA28*$C$28</f>
        <v>9843566109119.9434</v>
      </c>
      <c r="EWE28" s="160">
        <f t="shared" ref="EWE28" si="1988">EWC28*$C$28</f>
        <v>9942001770211.1426</v>
      </c>
      <c r="EWG28" s="160">
        <f t="shared" ref="EWG28" si="1989">EWE28*$C$28</f>
        <v>10041421787913.254</v>
      </c>
      <c r="EWI28" s="160">
        <f t="shared" ref="EWI28" si="1990">EWG28*$C$28</f>
        <v>10141836005792.387</v>
      </c>
      <c r="EWK28" s="160">
        <f t="shared" ref="EWK28" si="1991">EWI28*$C$28</f>
        <v>10243254365850.311</v>
      </c>
      <c r="EWM28" s="160">
        <f t="shared" ref="EWM28" si="1992">EWK28*$C$28</f>
        <v>10345686909508.814</v>
      </c>
      <c r="EWO28" s="160">
        <f t="shared" ref="EWO28" si="1993">EWM28*$C$28</f>
        <v>10449143778603.902</v>
      </c>
      <c r="EWQ28" s="160">
        <f t="shared" ref="EWQ28" si="1994">EWO28*$C$28</f>
        <v>10553635216389.941</v>
      </c>
      <c r="EWS28" s="160">
        <f t="shared" ref="EWS28" si="1995">EWQ28*$C$28</f>
        <v>10659171568553.842</v>
      </c>
      <c r="EWU28" s="160">
        <f t="shared" ref="EWU28" si="1996">EWS28*$C$28</f>
        <v>10765763284239.381</v>
      </c>
      <c r="EWW28" s="160">
        <f t="shared" ref="EWW28" si="1997">EWU28*$C$28</f>
        <v>10873420917081.775</v>
      </c>
      <c r="EWY28" s="160">
        <f t="shared" ref="EWY28" si="1998">EWW28*$C$28</f>
        <v>10982155126252.594</v>
      </c>
      <c r="EXA28" s="160">
        <f t="shared" ref="EXA28" si="1999">EWY28*$C$28</f>
        <v>11091976677515.119</v>
      </c>
      <c r="EXC28" s="160">
        <f t="shared" ref="EXC28" si="2000">EXA28*$C$28</f>
        <v>11202896444290.27</v>
      </c>
      <c r="EXE28" s="160">
        <f t="shared" ref="EXE28" si="2001">EXC28*$C$28</f>
        <v>11314925408733.172</v>
      </c>
      <c r="EXG28" s="160">
        <f t="shared" ref="EXG28" si="2002">EXE28*$C$28</f>
        <v>11428074662820.504</v>
      </c>
      <c r="EXI28" s="160">
        <f t="shared" ref="EXI28" si="2003">EXG28*$C$28</f>
        <v>11542355409448.709</v>
      </c>
      <c r="EXK28" s="160">
        <f t="shared" ref="EXK28" si="2004">EXI28*$C$28</f>
        <v>11657778963543.195</v>
      </c>
      <c r="EXM28" s="160">
        <f t="shared" ref="EXM28" si="2005">EXK28*$C$28</f>
        <v>11774356753178.627</v>
      </c>
      <c r="EXO28" s="160">
        <f t="shared" ref="EXO28" si="2006">EXM28*$C$28</f>
        <v>11892100320710.414</v>
      </c>
      <c r="EXQ28" s="160">
        <f t="shared" ref="EXQ28" si="2007">EXO28*$C$28</f>
        <v>12011021323917.518</v>
      </c>
      <c r="EXS28" s="160">
        <f t="shared" ref="EXS28" si="2008">EXQ28*$C$28</f>
        <v>12131131537156.693</v>
      </c>
      <c r="EXU28" s="160">
        <f t="shared" ref="EXU28" si="2009">EXS28*$C$28</f>
        <v>12252442852528.26</v>
      </c>
      <c r="EXW28" s="160">
        <f t="shared" ref="EXW28" si="2010">EXU28*$C$28</f>
        <v>12374967281053.543</v>
      </c>
      <c r="EXY28" s="160">
        <f t="shared" ref="EXY28" si="2011">EXW28*$C$28</f>
        <v>12498716953864.078</v>
      </c>
      <c r="EYA28" s="160">
        <f t="shared" ref="EYA28" si="2012">EXY28*$C$28</f>
        <v>12623704123402.719</v>
      </c>
      <c r="EYC28" s="160">
        <f t="shared" ref="EYC28" si="2013">EYA28*$C$28</f>
        <v>12749941164636.746</v>
      </c>
      <c r="EYE28" s="160">
        <f t="shared" ref="EYE28" si="2014">EYC28*$C$28</f>
        <v>12877440576283.113</v>
      </c>
      <c r="EYG28" s="160">
        <f t="shared" ref="EYG28" si="2015">EYE28*$C$28</f>
        <v>13006214982045.945</v>
      </c>
      <c r="EYI28" s="160">
        <f t="shared" ref="EYI28" si="2016">EYG28*$C$28</f>
        <v>13136277131866.404</v>
      </c>
      <c r="EYK28" s="160">
        <f t="shared" ref="EYK28" si="2017">EYI28*$C$28</f>
        <v>13267639903185.068</v>
      </c>
      <c r="EYM28" s="160">
        <f t="shared" ref="EYM28" si="2018">EYK28*$C$28</f>
        <v>13400316302216.92</v>
      </c>
      <c r="EYO28" s="160">
        <f t="shared" ref="EYO28" si="2019">EYM28*$C$28</f>
        <v>13534319465239.09</v>
      </c>
      <c r="EYQ28" s="160">
        <f t="shared" ref="EYQ28" si="2020">EYO28*$C$28</f>
        <v>13669662659891.48</v>
      </c>
      <c r="EYS28" s="160">
        <f t="shared" ref="EYS28" si="2021">EYQ28*$C$28</f>
        <v>13806359286490.395</v>
      </c>
      <c r="EYU28" s="160">
        <f t="shared" ref="EYU28" si="2022">EYS28*$C$28</f>
        <v>13944422879355.299</v>
      </c>
      <c r="EYW28" s="160">
        <f t="shared" ref="EYW28" si="2023">EYU28*$C$28</f>
        <v>14083867108148.852</v>
      </c>
      <c r="EYY28" s="160">
        <f t="shared" ref="EYY28" si="2024">EYW28*$C$28</f>
        <v>14224705779230.34</v>
      </c>
      <c r="EZA28" s="160">
        <f t="shared" ref="EZA28" si="2025">EYY28*$C$28</f>
        <v>14366952837022.643</v>
      </c>
      <c r="EZC28" s="160">
        <f t="shared" ref="EZC28" si="2026">EZA28*$C$28</f>
        <v>14510622365392.869</v>
      </c>
      <c r="EZE28" s="160">
        <f t="shared" ref="EZE28" si="2027">EZC28*$C$28</f>
        <v>14655728589046.799</v>
      </c>
      <c r="EZG28" s="160">
        <f t="shared" ref="EZG28" si="2028">EZE28*$C$28</f>
        <v>14802285874937.268</v>
      </c>
      <c r="EZI28" s="160">
        <f t="shared" ref="EZI28" si="2029">EZG28*$C$28</f>
        <v>14950308733686.641</v>
      </c>
      <c r="EZK28" s="160">
        <f t="shared" ref="EZK28" si="2030">EZI28*$C$28</f>
        <v>15099811821023.508</v>
      </c>
      <c r="EZM28" s="160">
        <f t="shared" ref="EZM28" si="2031">EZK28*$C$28</f>
        <v>15250809939233.742</v>
      </c>
      <c r="EZO28" s="160">
        <f t="shared" ref="EZO28" si="2032">EZM28*$C$28</f>
        <v>15403318038626.08</v>
      </c>
      <c r="EZQ28" s="160">
        <f t="shared" ref="EZQ28" si="2033">EZO28*$C$28</f>
        <v>15557351219012.342</v>
      </c>
      <c r="EZS28" s="160">
        <f t="shared" ref="EZS28" si="2034">EZQ28*$C$28</f>
        <v>15712924731202.465</v>
      </c>
      <c r="EZU28" s="160">
        <f t="shared" ref="EZU28" si="2035">EZS28*$C$28</f>
        <v>15870053978514.49</v>
      </c>
      <c r="EZW28" s="160">
        <f t="shared" ref="EZW28" si="2036">EZU28*$C$28</f>
        <v>16028754518299.635</v>
      </c>
      <c r="EZY28" s="160">
        <f t="shared" ref="EZY28" si="2037">EZW28*$C$28</f>
        <v>16189042063482.631</v>
      </c>
      <c r="FAA28" s="160">
        <f t="shared" ref="FAA28" si="2038">EZY28*$C$28</f>
        <v>16350932484117.457</v>
      </c>
      <c r="FAC28" s="160">
        <f t="shared" ref="FAC28" si="2039">FAA28*$C$28</f>
        <v>16514441808958.631</v>
      </c>
      <c r="FAE28" s="160">
        <f t="shared" ref="FAE28" si="2040">FAC28*$C$28</f>
        <v>16679586227048.217</v>
      </c>
      <c r="FAG28" s="160">
        <f t="shared" ref="FAG28" si="2041">FAE28*$C$28</f>
        <v>16846382089318.699</v>
      </c>
      <c r="FAI28" s="160">
        <f t="shared" ref="FAI28" si="2042">FAG28*$C$28</f>
        <v>17014845910211.887</v>
      </c>
      <c r="FAK28" s="160">
        <f t="shared" ref="FAK28" si="2043">FAI28*$C$28</f>
        <v>17184994369314.006</v>
      </c>
      <c r="FAM28" s="160">
        <f t="shared" ref="FAM28" si="2044">FAK28*$C$28</f>
        <v>17356844313007.146</v>
      </c>
      <c r="FAO28" s="160">
        <f t="shared" ref="FAO28" si="2045">FAM28*$C$28</f>
        <v>17530412756137.219</v>
      </c>
      <c r="FAQ28" s="160">
        <f t="shared" ref="FAQ28" si="2046">FAO28*$C$28</f>
        <v>17705716883698.59</v>
      </c>
      <c r="FAS28" s="160">
        <f t="shared" ref="FAS28" si="2047">FAQ28*$C$28</f>
        <v>17882774052535.574</v>
      </c>
      <c r="FAU28" s="160">
        <f t="shared" ref="FAU28" si="2048">FAS28*$C$28</f>
        <v>18061601793060.93</v>
      </c>
      <c r="FAW28" s="160">
        <f t="shared" ref="FAW28" si="2049">FAU28*$C$28</f>
        <v>18242217810991.539</v>
      </c>
      <c r="FAY28" s="160">
        <f t="shared" ref="FAY28" si="2050">FAW28*$C$28</f>
        <v>18424639989101.453</v>
      </c>
      <c r="FBA28" s="160">
        <f t="shared" ref="FBA28" si="2051">FAY28*$C$28</f>
        <v>18608886388992.469</v>
      </c>
      <c r="FBC28" s="160">
        <f t="shared" ref="FBC28" si="2052">FBA28*$C$28</f>
        <v>18794975252882.395</v>
      </c>
      <c r="FBE28" s="160">
        <f t="shared" ref="FBE28" si="2053">FBC28*$C$28</f>
        <v>18982925005411.219</v>
      </c>
      <c r="FBG28" s="160">
        <f t="shared" ref="FBG28" si="2054">FBE28*$C$28</f>
        <v>19172754255465.332</v>
      </c>
      <c r="FBI28" s="160">
        <f t="shared" ref="FBI28" si="2055">FBG28*$C$28</f>
        <v>19364481798019.984</v>
      </c>
      <c r="FBK28" s="160">
        <f t="shared" ref="FBK28" si="2056">FBI28*$C$28</f>
        <v>19558126616000.184</v>
      </c>
      <c r="FBM28" s="160">
        <f t="shared" ref="FBM28" si="2057">FBK28*$C$28</f>
        <v>19753707882160.188</v>
      </c>
      <c r="FBO28" s="160">
        <f t="shared" ref="FBO28" si="2058">FBM28*$C$28</f>
        <v>19951244960981.789</v>
      </c>
      <c r="FBQ28" s="160">
        <f t="shared" ref="FBQ28" si="2059">FBO28*$C$28</f>
        <v>20150757410591.605</v>
      </c>
      <c r="FBS28" s="160">
        <f t="shared" ref="FBS28" si="2060">FBQ28*$C$28</f>
        <v>20352264984697.523</v>
      </c>
      <c r="FBU28" s="160">
        <f t="shared" ref="FBU28" si="2061">FBS28*$C$28</f>
        <v>20555787634544.5</v>
      </c>
      <c r="FBW28" s="160">
        <f t="shared" ref="FBW28" si="2062">FBU28*$C$28</f>
        <v>20761345510889.945</v>
      </c>
      <c r="FBY28" s="160">
        <f t="shared" ref="FBY28" si="2063">FBW28*$C$28</f>
        <v>20968958965998.844</v>
      </c>
      <c r="FCA28" s="160">
        <f t="shared" ref="FCA28" si="2064">FBY28*$C$28</f>
        <v>21178648555658.832</v>
      </c>
      <c r="FCC28" s="160">
        <f t="shared" ref="FCC28" si="2065">FCA28*$C$28</f>
        <v>21390435041215.422</v>
      </c>
      <c r="FCE28" s="160">
        <f t="shared" ref="FCE28" si="2066">FCC28*$C$28</f>
        <v>21604339391627.578</v>
      </c>
      <c r="FCG28" s="160">
        <f t="shared" ref="FCG28" si="2067">FCE28*$C$28</f>
        <v>21820382785543.855</v>
      </c>
      <c r="FCI28" s="160">
        <f t="shared" ref="FCI28" si="2068">FCG28*$C$28</f>
        <v>22038586613399.293</v>
      </c>
      <c r="FCK28" s="160">
        <f t="shared" ref="FCK28" si="2069">FCI28*$C$28</f>
        <v>22258972479533.285</v>
      </c>
      <c r="FCM28" s="160">
        <f t="shared" ref="FCM28" si="2070">FCK28*$C$28</f>
        <v>22481562204328.617</v>
      </c>
      <c r="FCO28" s="160">
        <f t="shared" ref="FCO28" si="2071">FCM28*$C$28</f>
        <v>22706377826371.902</v>
      </c>
      <c r="FCQ28" s="160">
        <f t="shared" ref="FCQ28" si="2072">FCO28*$C$28</f>
        <v>22933441604635.621</v>
      </c>
      <c r="FCS28" s="160">
        <f t="shared" ref="FCS28" si="2073">FCQ28*$C$28</f>
        <v>23162776020681.977</v>
      </c>
      <c r="FCU28" s="160">
        <f t="shared" ref="FCU28" si="2074">FCS28*$C$28</f>
        <v>23394403780888.797</v>
      </c>
      <c r="FCW28" s="160">
        <f t="shared" ref="FCW28" si="2075">FCU28*$C$28</f>
        <v>23628347818697.684</v>
      </c>
      <c r="FCY28" s="160">
        <f t="shared" ref="FCY28" si="2076">FCW28*$C$28</f>
        <v>23864631296884.66</v>
      </c>
      <c r="FDA28" s="160">
        <f t="shared" ref="FDA28" si="2077">FCY28*$C$28</f>
        <v>24103277609853.508</v>
      </c>
      <c r="FDC28" s="160">
        <f t="shared" ref="FDC28" si="2078">FDA28*$C$28</f>
        <v>24344310385952.043</v>
      </c>
      <c r="FDE28" s="160">
        <f t="shared" ref="FDE28" si="2079">FDC28*$C$28</f>
        <v>24587753489811.563</v>
      </c>
      <c r="FDG28" s="160">
        <f t="shared" ref="FDG28" si="2080">FDE28*$C$28</f>
        <v>24833631024709.68</v>
      </c>
      <c r="FDI28" s="160">
        <f t="shared" ref="FDI28" si="2081">FDG28*$C$28</f>
        <v>25081967334956.777</v>
      </c>
      <c r="FDK28" s="160">
        <f t="shared" ref="FDK28" si="2082">FDI28*$C$28</f>
        <v>25332787008306.344</v>
      </c>
      <c r="FDM28" s="160">
        <f t="shared" ref="FDM28" si="2083">FDK28*$C$28</f>
        <v>25586114878389.406</v>
      </c>
      <c r="FDO28" s="160">
        <f t="shared" ref="FDO28" si="2084">FDM28*$C$28</f>
        <v>25841976027173.301</v>
      </c>
      <c r="FDQ28" s="160">
        <f t="shared" ref="FDQ28" si="2085">FDO28*$C$28</f>
        <v>26100395787445.035</v>
      </c>
      <c r="FDS28" s="160">
        <f t="shared" ref="FDS28" si="2086">FDQ28*$C$28</f>
        <v>26361399745319.484</v>
      </c>
      <c r="FDU28" s="160">
        <f t="shared" ref="FDU28" si="2087">FDS28*$C$28</f>
        <v>26625013742772.68</v>
      </c>
      <c r="FDW28" s="160">
        <f t="shared" ref="FDW28" si="2088">FDU28*$C$28</f>
        <v>26891263880200.406</v>
      </c>
      <c r="FDY28" s="160">
        <f t="shared" ref="FDY28" si="2089">FDW28*$C$28</f>
        <v>27160176519002.41</v>
      </c>
      <c r="FEA28" s="160">
        <f t="shared" ref="FEA28" si="2090">FDY28*$C$28</f>
        <v>27431778284192.434</v>
      </c>
      <c r="FEC28" s="160">
        <f t="shared" ref="FEC28" si="2091">FEA28*$C$28</f>
        <v>27706096067034.359</v>
      </c>
      <c r="FEE28" s="160">
        <f t="shared" ref="FEE28" si="2092">FEC28*$C$28</f>
        <v>27983157027704.703</v>
      </c>
      <c r="FEG28" s="160">
        <f t="shared" ref="FEG28" si="2093">FEE28*$C$28</f>
        <v>28262988597981.75</v>
      </c>
      <c r="FEI28" s="160">
        <f t="shared" ref="FEI28" si="2094">FEG28*$C$28</f>
        <v>28545618483961.566</v>
      </c>
      <c r="FEK28" s="160">
        <f t="shared" ref="FEK28" si="2095">FEI28*$C$28</f>
        <v>28831074668801.184</v>
      </c>
      <c r="FEM28" s="160">
        <f t="shared" ref="FEM28" si="2096">FEK28*$C$28</f>
        <v>29119385415489.195</v>
      </c>
      <c r="FEO28" s="160">
        <f t="shared" ref="FEO28" si="2097">FEM28*$C$28</f>
        <v>29410579269644.086</v>
      </c>
      <c r="FEQ28" s="160">
        <f t="shared" ref="FEQ28" si="2098">FEO28*$C$28</f>
        <v>29704685062340.527</v>
      </c>
      <c r="FES28" s="160">
        <f t="shared" ref="FES28" si="2099">FEQ28*$C$28</f>
        <v>30001731912963.934</v>
      </c>
      <c r="FEU28" s="160">
        <f t="shared" ref="FEU28" si="2100">FES28*$C$28</f>
        <v>30301749232093.574</v>
      </c>
      <c r="FEW28" s="160">
        <f t="shared" ref="FEW28" si="2101">FEU28*$C$28</f>
        <v>30604766724414.512</v>
      </c>
      <c r="FEY28" s="160">
        <f t="shared" ref="FEY28" si="2102">FEW28*$C$28</f>
        <v>30910814391658.656</v>
      </c>
      <c r="FFA28" s="160">
        <f t="shared" ref="FFA28" si="2103">FEY28*$C$28</f>
        <v>31219922535575.242</v>
      </c>
      <c r="FFC28" s="160">
        <f t="shared" ref="FFC28" si="2104">FFA28*$C$28</f>
        <v>31532121760930.996</v>
      </c>
      <c r="FFE28" s="160">
        <f t="shared" ref="FFE28" si="2105">FFC28*$C$28</f>
        <v>31847442978540.305</v>
      </c>
      <c r="FFG28" s="160">
        <f t="shared" ref="FFG28" si="2106">FFE28*$C$28</f>
        <v>32165917408325.707</v>
      </c>
      <c r="FFI28" s="160">
        <f t="shared" ref="FFI28" si="2107">FFG28*$C$28</f>
        <v>32487576582408.965</v>
      </c>
      <c r="FFK28" s="160">
        <f t="shared" ref="FFK28" si="2108">FFI28*$C$28</f>
        <v>32812452348233.055</v>
      </c>
      <c r="FFM28" s="160">
        <f t="shared" ref="FFM28" si="2109">FFK28*$C$28</f>
        <v>33140576871715.387</v>
      </c>
      <c r="FFO28" s="160">
        <f t="shared" ref="FFO28" si="2110">FFM28*$C$28</f>
        <v>33471982640432.539</v>
      </c>
      <c r="FFQ28" s="160">
        <f t="shared" ref="FFQ28" si="2111">FFO28*$C$28</f>
        <v>33806702466836.863</v>
      </c>
      <c r="FFS28" s="160">
        <f t="shared" ref="FFS28" si="2112">FFQ28*$C$28</f>
        <v>34144769491505.23</v>
      </c>
      <c r="FFU28" s="160">
        <f t="shared" ref="FFU28" si="2113">FFS28*$C$28</f>
        <v>34486217186420.281</v>
      </c>
      <c r="FFW28" s="160">
        <f t="shared" ref="FFW28" si="2114">FFU28*$C$28</f>
        <v>34831079358284.484</v>
      </c>
      <c r="FFY28" s="160">
        <f t="shared" ref="FFY28" si="2115">FFW28*$C$28</f>
        <v>35179390151867.328</v>
      </c>
      <c r="FGA28" s="160">
        <f t="shared" ref="FGA28" si="2116">FFY28*$C$28</f>
        <v>35531184053386</v>
      </c>
      <c r="FGC28" s="160">
        <f t="shared" ref="FGC28" si="2117">FGA28*$C$28</f>
        <v>35886495893919.859</v>
      </c>
      <c r="FGE28" s="160">
        <f t="shared" ref="FGE28" si="2118">FGC28*$C$28</f>
        <v>36245360852859.055</v>
      </c>
      <c r="FGG28" s="160">
        <f t="shared" ref="FGG28" si="2119">FGE28*$C$28</f>
        <v>36607814461387.648</v>
      </c>
      <c r="FGI28" s="160">
        <f t="shared" ref="FGI28" si="2120">FGG28*$C$28</f>
        <v>36973892606001.523</v>
      </c>
      <c r="FGK28" s="160">
        <f t="shared" ref="FGK28" si="2121">FGI28*$C$28</f>
        <v>37343631532061.539</v>
      </c>
      <c r="FGM28" s="160">
        <f t="shared" ref="FGM28" si="2122">FGK28*$C$28</f>
        <v>37717067847382.156</v>
      </c>
      <c r="FGO28" s="160">
        <f t="shared" ref="FGO28" si="2123">FGM28*$C$28</f>
        <v>38094238525855.977</v>
      </c>
      <c r="FGQ28" s="160">
        <f t="shared" ref="FGQ28" si="2124">FGO28*$C$28</f>
        <v>38475180911114.539</v>
      </c>
      <c r="FGS28" s="160">
        <f t="shared" ref="FGS28" si="2125">FGQ28*$C$28</f>
        <v>38859932720225.688</v>
      </c>
      <c r="FGU28" s="160">
        <f t="shared" ref="FGU28" si="2126">FGS28*$C$28</f>
        <v>39248532047427.945</v>
      </c>
      <c r="FGW28" s="160">
        <f t="shared" ref="FGW28" si="2127">FGU28*$C$28</f>
        <v>39641017367902.227</v>
      </c>
      <c r="FGY28" s="160">
        <f t="shared" ref="FGY28" si="2128">FGW28*$C$28</f>
        <v>40037427541581.25</v>
      </c>
      <c r="FHA28" s="160">
        <f t="shared" ref="FHA28" si="2129">FGY28*$C$28</f>
        <v>40437801816997.063</v>
      </c>
      <c r="FHC28" s="160">
        <f t="shared" ref="FHC28" si="2130">FHA28*$C$28</f>
        <v>40842179835167.031</v>
      </c>
      <c r="FHE28" s="160">
        <f t="shared" ref="FHE28" si="2131">FHC28*$C$28</f>
        <v>41250601633518.703</v>
      </c>
      <c r="FHG28" s="160">
        <f t="shared" ref="FHG28" si="2132">FHE28*$C$28</f>
        <v>41663107649853.891</v>
      </c>
      <c r="FHI28" s="160">
        <f t="shared" ref="FHI28" si="2133">FHG28*$C$28</f>
        <v>42079738726352.43</v>
      </c>
      <c r="FHK28" s="160">
        <f t="shared" ref="FHK28" si="2134">FHI28*$C$28</f>
        <v>42500536113615.953</v>
      </c>
      <c r="FHM28" s="160">
        <f t="shared" ref="FHM28" si="2135">FHK28*$C$28</f>
        <v>42925541474752.109</v>
      </c>
      <c r="FHO28" s="160">
        <f t="shared" ref="FHO28" si="2136">FHM28*$C$28</f>
        <v>43354796889499.633</v>
      </c>
      <c r="FHQ28" s="160">
        <f t="shared" ref="FHQ28" si="2137">FHO28*$C$28</f>
        <v>43788344858394.633</v>
      </c>
      <c r="FHS28" s="160">
        <f t="shared" ref="FHS28" si="2138">FHQ28*$C$28</f>
        <v>44226228306978.578</v>
      </c>
      <c r="FHU28" s="160">
        <f t="shared" ref="FHU28" si="2139">FHS28*$C$28</f>
        <v>44668490590048.367</v>
      </c>
      <c r="FHW28" s="160">
        <f t="shared" ref="FHW28" si="2140">FHU28*$C$28</f>
        <v>45115175495948.852</v>
      </c>
      <c r="FHY28" s="160">
        <f t="shared" ref="FHY28" si="2141">FHW28*$C$28</f>
        <v>45566327250908.344</v>
      </c>
      <c r="FIA28" s="160">
        <f t="shared" ref="FIA28" si="2142">FHY28*$C$28</f>
        <v>46021990523417.43</v>
      </c>
      <c r="FIC28" s="160">
        <f t="shared" ref="FIC28" si="2143">FIA28*$C$28</f>
        <v>46482210428651.602</v>
      </c>
      <c r="FIE28" s="160">
        <f t="shared" ref="FIE28" si="2144">FIC28*$C$28</f>
        <v>46947032532938.117</v>
      </c>
      <c r="FIG28" s="160">
        <f t="shared" ref="FIG28" si="2145">FIE28*$C$28</f>
        <v>47416502858267.5</v>
      </c>
      <c r="FII28" s="160">
        <f t="shared" ref="FII28" si="2146">FIG28*$C$28</f>
        <v>47890667886850.172</v>
      </c>
      <c r="FIK28" s="160">
        <f t="shared" ref="FIK28" si="2147">FII28*$C$28</f>
        <v>48369574565718.672</v>
      </c>
      <c r="FIM28" s="160">
        <f t="shared" ref="FIM28" si="2148">FIK28*$C$28</f>
        <v>48853270311375.859</v>
      </c>
      <c r="FIO28" s="160">
        <f t="shared" ref="FIO28" si="2149">FIM28*$C$28</f>
        <v>49341803014489.617</v>
      </c>
      <c r="FIQ28" s="160">
        <f t="shared" ref="FIQ28" si="2150">FIO28*$C$28</f>
        <v>49835221044634.516</v>
      </c>
      <c r="FIS28" s="160">
        <f t="shared" ref="FIS28" si="2151">FIQ28*$C$28</f>
        <v>50333573255080.859</v>
      </c>
      <c r="FIU28" s="160">
        <f t="shared" ref="FIU28" si="2152">FIS28*$C$28</f>
        <v>50836908987631.672</v>
      </c>
      <c r="FIW28" s="160">
        <f t="shared" ref="FIW28" si="2153">FIU28*$C$28</f>
        <v>51345278077507.992</v>
      </c>
      <c r="FIY28" s="160">
        <f t="shared" ref="FIY28" si="2154">FIW28*$C$28</f>
        <v>51858730858283.07</v>
      </c>
      <c r="FJA28" s="160">
        <f t="shared" ref="FJA28" si="2155">FIY28*$C$28</f>
        <v>52377318166865.898</v>
      </c>
      <c r="FJC28" s="160">
        <f t="shared" ref="FJC28" si="2156">FJA28*$C$28</f>
        <v>52901091348534.555</v>
      </c>
      <c r="FJE28" s="160">
        <f t="shared" ref="FJE28" si="2157">FJC28*$C$28</f>
        <v>53430102262019.898</v>
      </c>
      <c r="FJG28" s="160">
        <f t="shared" ref="FJG28" si="2158">FJE28*$C$28</f>
        <v>53964403284640.102</v>
      </c>
      <c r="FJI28" s="160">
        <f t="shared" ref="FJI28" si="2159">FJG28*$C$28</f>
        <v>54504047317486.5</v>
      </c>
      <c r="FJK28" s="160">
        <f t="shared" ref="FJK28" si="2160">FJI28*$C$28</f>
        <v>55049087790661.367</v>
      </c>
      <c r="FJM28" s="160">
        <f t="shared" ref="FJM28" si="2161">FJK28*$C$28</f>
        <v>55599578668567.984</v>
      </c>
      <c r="FJO28" s="160">
        <f t="shared" ref="FJO28" si="2162">FJM28*$C$28</f>
        <v>56155574455253.664</v>
      </c>
      <c r="FJQ28" s="160">
        <f t="shared" ref="FJQ28" si="2163">FJO28*$C$28</f>
        <v>56717130199806.203</v>
      </c>
      <c r="FJS28" s="160">
        <f t="shared" ref="FJS28" si="2164">FJQ28*$C$28</f>
        <v>57284301501804.266</v>
      </c>
      <c r="FJU28" s="160">
        <f t="shared" ref="FJU28" si="2165">FJS28*$C$28</f>
        <v>57857144516822.313</v>
      </c>
      <c r="FJW28" s="160">
        <f t="shared" ref="FJW28" si="2166">FJU28*$C$28</f>
        <v>58435715961990.539</v>
      </c>
      <c r="FJY28" s="160">
        <f t="shared" ref="FJY28" si="2167">FJW28*$C$28</f>
        <v>59020073121610.445</v>
      </c>
      <c r="FKA28" s="160">
        <f t="shared" ref="FKA28" si="2168">FJY28*$C$28</f>
        <v>59610273852826.547</v>
      </c>
      <c r="FKC28" s="160">
        <f t="shared" ref="FKC28" si="2169">FKA28*$C$28</f>
        <v>60206376591354.813</v>
      </c>
      <c r="FKE28" s="160">
        <f t="shared" ref="FKE28" si="2170">FKC28*$C$28</f>
        <v>60808440357268.359</v>
      </c>
      <c r="FKG28" s="160">
        <f t="shared" ref="FKG28" si="2171">FKE28*$C$28</f>
        <v>61416524760841.047</v>
      </c>
      <c r="FKI28" s="160">
        <f t="shared" ref="FKI28" si="2172">FKG28*$C$28</f>
        <v>62030690008449.461</v>
      </c>
      <c r="FKK28" s="160">
        <f t="shared" ref="FKK28" si="2173">FKI28*$C$28</f>
        <v>62650996908533.953</v>
      </c>
      <c r="FKM28" s="160">
        <f t="shared" ref="FKM28" si="2174">FKK28*$C$28</f>
        <v>63277506877619.297</v>
      </c>
      <c r="FKO28" s="160">
        <f t="shared" ref="FKO28" si="2175">FKM28*$C$28</f>
        <v>63910281946395.492</v>
      </c>
      <c r="FKQ28" s="160">
        <f t="shared" ref="FKQ28" si="2176">FKO28*$C$28</f>
        <v>64549384765859.445</v>
      </c>
      <c r="FKS28" s="160">
        <f t="shared" ref="FKS28" si="2177">FKQ28*$C$28</f>
        <v>65194878613518.039</v>
      </c>
      <c r="FKU28" s="160">
        <f t="shared" ref="FKU28" si="2178">FKS28*$C$28</f>
        <v>65846827399653.219</v>
      </c>
      <c r="FKW28" s="160">
        <f t="shared" ref="FKW28" si="2179">FKU28*$C$28</f>
        <v>66505295673649.75</v>
      </c>
      <c r="FKY28" s="160">
        <f t="shared" ref="FKY28" si="2180">FKW28*$C$28</f>
        <v>67170348630386.25</v>
      </c>
      <c r="FLA28" s="160">
        <f t="shared" ref="FLA28" si="2181">FKY28*$C$28</f>
        <v>67842052116690.109</v>
      </c>
      <c r="FLC28" s="160">
        <f t="shared" ref="FLC28" si="2182">FLA28*$C$28</f>
        <v>68520472637857.008</v>
      </c>
      <c r="FLE28" s="160">
        <f t="shared" ref="FLE28" si="2183">FLC28*$C$28</f>
        <v>69205677364235.578</v>
      </c>
      <c r="FLG28" s="160">
        <f t="shared" ref="FLG28" si="2184">FLE28*$C$28</f>
        <v>69897734137877.938</v>
      </c>
      <c r="FLI28" s="160">
        <f t="shared" ref="FLI28" si="2185">FLG28*$C$28</f>
        <v>70596711479256.719</v>
      </c>
      <c r="FLK28" s="160">
        <f t="shared" ref="FLK28" si="2186">FLI28*$C$28</f>
        <v>71302678594049.281</v>
      </c>
      <c r="FLM28" s="160">
        <f t="shared" ref="FLM28" si="2187">FLK28*$C$28</f>
        <v>72015705379989.781</v>
      </c>
      <c r="FLO28" s="160">
        <f t="shared" ref="FLO28" si="2188">FLM28*$C$28</f>
        <v>72735862433789.688</v>
      </c>
      <c r="FLQ28" s="160">
        <f t="shared" ref="FLQ28" si="2189">FLO28*$C$28</f>
        <v>73463221058127.578</v>
      </c>
      <c r="FLS28" s="160">
        <f t="shared" ref="FLS28" si="2190">FLQ28*$C$28</f>
        <v>74197853268708.859</v>
      </c>
      <c r="FLU28" s="160">
        <f t="shared" ref="FLU28" si="2191">FLS28*$C$28</f>
        <v>74939831801395.953</v>
      </c>
      <c r="FLW28" s="160">
        <f t="shared" ref="FLW28" si="2192">FLU28*$C$28</f>
        <v>75689230119409.906</v>
      </c>
      <c r="FLY28" s="160">
        <f t="shared" ref="FLY28" si="2193">FLW28*$C$28</f>
        <v>76446122420604</v>
      </c>
      <c r="FMA28" s="160">
        <f t="shared" ref="FMA28" si="2194">FLY28*$C$28</f>
        <v>77210583644810.047</v>
      </c>
      <c r="FMC28" s="160">
        <f t="shared" ref="FMC28" si="2195">FMA28*$C$28</f>
        <v>77982689481258.141</v>
      </c>
      <c r="FME28" s="160">
        <f t="shared" ref="FME28" si="2196">FMC28*$C$28</f>
        <v>78762516376070.719</v>
      </c>
      <c r="FMG28" s="160">
        <f t="shared" ref="FMG28" si="2197">FME28*$C$28</f>
        <v>79550141539831.422</v>
      </c>
      <c r="FMI28" s="160">
        <f t="shared" ref="FMI28" si="2198">FMG28*$C$28</f>
        <v>80345642955229.734</v>
      </c>
      <c r="FMK28" s="160">
        <f t="shared" ref="FMK28" si="2199">FMI28*$C$28</f>
        <v>81149099384782.031</v>
      </c>
      <c r="FMM28" s="160">
        <f t="shared" ref="FMM28" si="2200">FMK28*$C$28</f>
        <v>81960590378629.859</v>
      </c>
      <c r="FMO28" s="160">
        <f t="shared" ref="FMO28" si="2201">FMM28*$C$28</f>
        <v>82780196282416.156</v>
      </c>
      <c r="FMQ28" s="160">
        <f t="shared" ref="FMQ28" si="2202">FMO28*$C$28</f>
        <v>83607998245240.313</v>
      </c>
      <c r="FMS28" s="160">
        <f t="shared" ref="FMS28" si="2203">FMQ28*$C$28</f>
        <v>84444078227692.719</v>
      </c>
      <c r="FMU28" s="160">
        <f t="shared" ref="FMU28" si="2204">FMS28*$C$28</f>
        <v>85288519009969.641</v>
      </c>
      <c r="FMW28" s="160">
        <f t="shared" ref="FMW28" si="2205">FMU28*$C$28</f>
        <v>86141404200069.344</v>
      </c>
      <c r="FMY28" s="160">
        <f t="shared" ref="FMY28" si="2206">FMW28*$C$28</f>
        <v>87002818242070.031</v>
      </c>
      <c r="FNA28" s="160">
        <f t="shared" ref="FNA28" si="2207">FMY28*$C$28</f>
        <v>87872846424490.734</v>
      </c>
      <c r="FNC28" s="160">
        <f t="shared" ref="FNC28" si="2208">FNA28*$C$28</f>
        <v>88751574888735.641</v>
      </c>
      <c r="FNE28" s="160">
        <f t="shared" ref="FNE28" si="2209">FNC28*$C$28</f>
        <v>89639090637623</v>
      </c>
      <c r="FNG28" s="160">
        <f t="shared" ref="FNG28" si="2210">FNE28*$C$28</f>
        <v>90535481543999.234</v>
      </c>
      <c r="FNI28" s="160">
        <f t="shared" ref="FNI28" si="2211">FNG28*$C$28</f>
        <v>91440836359439.234</v>
      </c>
      <c r="FNK28" s="160">
        <f t="shared" ref="FNK28" si="2212">FNI28*$C$28</f>
        <v>92355244723033.625</v>
      </c>
      <c r="FNM28" s="160">
        <f t="shared" ref="FNM28" si="2213">FNK28*$C$28</f>
        <v>93278797170263.969</v>
      </c>
      <c r="FNO28" s="160">
        <f t="shared" ref="FNO28" si="2214">FNM28*$C$28</f>
        <v>94211585141966.609</v>
      </c>
      <c r="FNQ28" s="160">
        <f t="shared" ref="FNQ28" si="2215">FNO28*$C$28</f>
        <v>95153700993386.281</v>
      </c>
      <c r="FNS28" s="160">
        <f t="shared" ref="FNS28" si="2216">FNQ28*$C$28</f>
        <v>96105238003320.141</v>
      </c>
      <c r="FNU28" s="160">
        <f t="shared" ref="FNU28" si="2217">FNS28*$C$28</f>
        <v>97066290383353.344</v>
      </c>
      <c r="FNW28" s="160">
        <f t="shared" ref="FNW28" si="2218">FNU28*$C$28</f>
        <v>98036953287186.875</v>
      </c>
      <c r="FNY28" s="160">
        <f t="shared" ref="FNY28" si="2219">FNW28*$C$28</f>
        <v>99017322820058.75</v>
      </c>
      <c r="FOA28" s="160">
        <f t="shared" ref="FOA28" si="2220">FNY28*$C$28</f>
        <v>100007496048259.34</v>
      </c>
      <c r="FOC28" s="160">
        <f t="shared" ref="FOC28" si="2221">FOA28*$C$28</f>
        <v>101007571008741.94</v>
      </c>
      <c r="FOE28" s="160">
        <f t="shared" ref="FOE28" si="2222">FOC28*$C$28</f>
        <v>102017646718829.36</v>
      </c>
      <c r="FOG28" s="160">
        <f t="shared" ref="FOG28" si="2223">FOE28*$C$28</f>
        <v>103037823186017.66</v>
      </c>
      <c r="FOI28" s="160">
        <f t="shared" ref="FOI28" si="2224">FOG28*$C$28</f>
        <v>104068201417877.83</v>
      </c>
      <c r="FOK28" s="160">
        <f t="shared" ref="FOK28" si="2225">FOI28*$C$28</f>
        <v>105108883432056.61</v>
      </c>
      <c r="FOM28" s="160">
        <f t="shared" ref="FOM28" si="2226">FOK28*$C$28</f>
        <v>106159972266377.17</v>
      </c>
      <c r="FOO28" s="160">
        <f t="shared" ref="FOO28" si="2227">FOM28*$C$28</f>
        <v>107221571989040.94</v>
      </c>
      <c r="FOQ28" s="160">
        <f t="shared" ref="FOQ28" si="2228">FOO28*$C$28</f>
        <v>108293787708931.34</v>
      </c>
      <c r="FOS28" s="160">
        <f t="shared" ref="FOS28" si="2229">FOQ28*$C$28</f>
        <v>109376725586020.66</v>
      </c>
      <c r="FOU28" s="160">
        <f t="shared" ref="FOU28" si="2230">FOS28*$C$28</f>
        <v>110470492841880.86</v>
      </c>
      <c r="FOW28" s="160">
        <f t="shared" ref="FOW28" si="2231">FOU28*$C$28</f>
        <v>111575197770299.67</v>
      </c>
      <c r="FOY28" s="160">
        <f t="shared" ref="FOY28" si="2232">FOW28*$C$28</f>
        <v>112690949748002.67</v>
      </c>
      <c r="FPA28" s="160">
        <f t="shared" ref="FPA28" si="2233">FOY28*$C$28</f>
        <v>113817859245482.7</v>
      </c>
      <c r="FPC28" s="160">
        <f t="shared" ref="FPC28" si="2234">FPA28*$C$28</f>
        <v>114956037837937.53</v>
      </c>
      <c r="FPE28" s="160">
        <f t="shared" ref="FPE28" si="2235">FPC28*$C$28</f>
        <v>116105598216316.91</v>
      </c>
      <c r="FPG28" s="160">
        <f t="shared" ref="FPG28" si="2236">FPE28*$C$28</f>
        <v>117266654198480.08</v>
      </c>
      <c r="FPI28" s="160">
        <f t="shared" ref="FPI28" si="2237">FPG28*$C$28</f>
        <v>118439320740464.88</v>
      </c>
      <c r="FPK28" s="160">
        <f t="shared" ref="FPK28" si="2238">FPI28*$C$28</f>
        <v>119623713947869.53</v>
      </c>
      <c r="FPM28" s="160">
        <f t="shared" ref="FPM28" si="2239">FPK28*$C$28</f>
        <v>120819951087348.23</v>
      </c>
      <c r="FPO28" s="160">
        <f t="shared" ref="FPO28" si="2240">FPM28*$C$28</f>
        <v>122028150598221.72</v>
      </c>
      <c r="FPQ28" s="160">
        <f t="shared" ref="FPQ28" si="2241">FPO28*$C$28</f>
        <v>123248432104203.94</v>
      </c>
      <c r="FPS28" s="160">
        <f t="shared" ref="FPS28" si="2242">FPQ28*$C$28</f>
        <v>124480916425245.98</v>
      </c>
      <c r="FPU28" s="160">
        <f t="shared" ref="FPU28" si="2243">FPS28*$C$28</f>
        <v>125725725589498.45</v>
      </c>
      <c r="FPW28" s="160">
        <f t="shared" ref="FPW28" si="2244">FPU28*$C$28</f>
        <v>126982982845393.44</v>
      </c>
      <c r="FPY28" s="160">
        <f t="shared" ref="FPY28" si="2245">FPW28*$C$28</f>
        <v>128252812673847.38</v>
      </c>
      <c r="FQA28" s="160">
        <f t="shared" ref="FQA28" si="2246">FPY28*$C$28</f>
        <v>129535340800585.84</v>
      </c>
      <c r="FQC28" s="160">
        <f t="shared" ref="FQC28" si="2247">FQA28*$C$28</f>
        <v>130830694208591.7</v>
      </c>
      <c r="FQE28" s="160">
        <f t="shared" ref="FQE28" si="2248">FQC28*$C$28</f>
        <v>132139001150677.63</v>
      </c>
      <c r="FQG28" s="160">
        <f t="shared" ref="FQG28" si="2249">FQE28*$C$28</f>
        <v>133460391162184.41</v>
      </c>
      <c r="FQI28" s="160">
        <f t="shared" ref="FQI28" si="2250">FQG28*$C$28</f>
        <v>134794995073806.25</v>
      </c>
      <c r="FQK28" s="160">
        <f t="shared" ref="FQK28" si="2251">FQI28*$C$28</f>
        <v>136142945024544.31</v>
      </c>
      <c r="FQM28" s="160">
        <f t="shared" ref="FQM28" si="2252">FQK28*$C$28</f>
        <v>137504374474789.75</v>
      </c>
      <c r="FQO28" s="160">
        <f t="shared" ref="FQO28" si="2253">FQM28*$C$28</f>
        <v>138879418219537.66</v>
      </c>
      <c r="FQQ28" s="160">
        <f t="shared" ref="FQQ28" si="2254">FQO28*$C$28</f>
        <v>140268212401733.03</v>
      </c>
      <c r="FQS28" s="160">
        <f t="shared" ref="FQS28" si="2255">FQQ28*$C$28</f>
        <v>141670894525750.38</v>
      </c>
      <c r="FQU28" s="160">
        <f t="shared" ref="FQU28" si="2256">FQS28*$C$28</f>
        <v>143087603471007.88</v>
      </c>
      <c r="FQW28" s="160">
        <f t="shared" ref="FQW28" si="2257">FQU28*$C$28</f>
        <v>144518479505717.97</v>
      </c>
      <c r="FQY28" s="160">
        <f t="shared" ref="FQY28" si="2258">FQW28*$C$28</f>
        <v>145963664300775.16</v>
      </c>
      <c r="FRA28" s="160">
        <f t="shared" ref="FRA28" si="2259">FQY28*$C$28</f>
        <v>147423300943782.91</v>
      </c>
      <c r="FRC28" s="160">
        <f t="shared" ref="FRC28" si="2260">FRA28*$C$28</f>
        <v>148897533953220.75</v>
      </c>
      <c r="FRE28" s="160">
        <f t="shared" ref="FRE28" si="2261">FRC28*$C$28</f>
        <v>150386509292752.97</v>
      </c>
      <c r="FRG28" s="160">
        <f t="shared" ref="FRG28" si="2262">FRE28*$C$28</f>
        <v>151890374385680.5</v>
      </c>
      <c r="FRI28" s="160">
        <f t="shared" ref="FRI28" si="2263">FRG28*$C$28</f>
        <v>153409278129537.31</v>
      </c>
      <c r="FRK28" s="160">
        <f t="shared" ref="FRK28" si="2264">FRI28*$C$28</f>
        <v>154943370910832.69</v>
      </c>
      <c r="FRM28" s="160">
        <f t="shared" ref="FRM28" si="2265">FRK28*$C$28</f>
        <v>156492804619941.03</v>
      </c>
      <c r="FRO28" s="160">
        <f t="shared" ref="FRO28" si="2266">FRM28*$C$28</f>
        <v>158057732666140.44</v>
      </c>
      <c r="FRQ28" s="160">
        <f t="shared" ref="FRQ28" si="2267">FRO28*$C$28</f>
        <v>159638309992801.84</v>
      </c>
      <c r="FRS28" s="160">
        <f t="shared" ref="FRS28" si="2268">FRQ28*$C$28</f>
        <v>161234693092729.88</v>
      </c>
      <c r="FRU28" s="160">
        <f t="shared" ref="FRU28" si="2269">FRS28*$C$28</f>
        <v>162847040023657.19</v>
      </c>
      <c r="FRW28" s="160">
        <f t="shared" ref="FRW28" si="2270">FRU28*$C$28</f>
        <v>164475510423893.75</v>
      </c>
      <c r="FRY28" s="160">
        <f t="shared" ref="FRY28" si="2271">FRW28*$C$28</f>
        <v>166120265528132.69</v>
      </c>
      <c r="FSA28" s="160">
        <f t="shared" ref="FSA28" si="2272">FRY28*$C$28</f>
        <v>167781468183414.03</v>
      </c>
      <c r="FSC28" s="160">
        <f t="shared" ref="FSC28" si="2273">FSA28*$C$28</f>
        <v>169459282865248.19</v>
      </c>
      <c r="FSE28" s="160">
        <f t="shared" ref="FSE28" si="2274">FSC28*$C$28</f>
        <v>171153875693900.66</v>
      </c>
      <c r="FSG28" s="160">
        <f t="shared" ref="FSG28" si="2275">FSE28*$C$28</f>
        <v>172865414450839.66</v>
      </c>
      <c r="FSI28" s="160">
        <f t="shared" ref="FSI28" si="2276">FSG28*$C$28</f>
        <v>174594068595348.06</v>
      </c>
      <c r="FSK28" s="160">
        <f t="shared" ref="FSK28" si="2277">FSI28*$C$28</f>
        <v>176340009281301.53</v>
      </c>
      <c r="FSM28" s="160">
        <f t="shared" ref="FSM28" si="2278">FSK28*$C$28</f>
        <v>178103409374114.56</v>
      </c>
      <c r="FSO28" s="160">
        <f t="shared" ref="FSO28" si="2279">FSM28*$C$28</f>
        <v>179884443467855.72</v>
      </c>
      <c r="FSQ28" s="160">
        <f t="shared" ref="FSQ28" si="2280">FSO28*$C$28</f>
        <v>181683287902534.28</v>
      </c>
      <c r="FSS28" s="160">
        <f t="shared" ref="FSS28" si="2281">FSQ28*$C$28</f>
        <v>183500120781559.63</v>
      </c>
      <c r="FSU28" s="160">
        <f t="shared" ref="FSU28" si="2282">FSS28*$C$28</f>
        <v>185335121989375.22</v>
      </c>
      <c r="FSW28" s="160">
        <f t="shared" ref="FSW28" si="2283">FSU28*$C$28</f>
        <v>187188473209268.97</v>
      </c>
      <c r="FSY28" s="160">
        <f t="shared" ref="FSY28" si="2284">FSW28*$C$28</f>
        <v>189060357941361.66</v>
      </c>
      <c r="FTA28" s="160">
        <f t="shared" ref="FTA28" si="2285">FSY28*$C$28</f>
        <v>190950961520775.28</v>
      </c>
      <c r="FTC28" s="160">
        <f t="shared" ref="FTC28" si="2286">FTA28*$C$28</f>
        <v>192860471135983.03</v>
      </c>
      <c r="FTE28" s="160">
        <f t="shared" ref="FTE28" si="2287">FTC28*$C$28</f>
        <v>194789075847342.88</v>
      </c>
      <c r="FTG28" s="160">
        <f t="shared" ref="FTG28" si="2288">FTE28*$C$28</f>
        <v>196736966605816.31</v>
      </c>
      <c r="FTI28" s="160">
        <f t="shared" ref="FTI28" si="2289">FTG28*$C$28</f>
        <v>198704336271874.47</v>
      </c>
      <c r="FTK28" s="160">
        <f t="shared" ref="FTK28" si="2290">FTI28*$C$28</f>
        <v>200691379634593.22</v>
      </c>
      <c r="FTM28" s="160">
        <f t="shared" ref="FTM28" si="2291">FTK28*$C$28</f>
        <v>202698293430939.16</v>
      </c>
      <c r="FTO28" s="160">
        <f t="shared" ref="FTO28" si="2292">FTM28*$C$28</f>
        <v>204725276365248.56</v>
      </c>
      <c r="FTQ28" s="160">
        <f t="shared" ref="FTQ28" si="2293">FTO28*$C$28</f>
        <v>206772529128901.06</v>
      </c>
      <c r="FTS28" s="160">
        <f t="shared" ref="FTS28" si="2294">FTQ28*$C$28</f>
        <v>208840254420190.06</v>
      </c>
      <c r="FTU28" s="160">
        <f t="shared" ref="FTU28" si="2295">FTS28*$C$28</f>
        <v>210928656964391.97</v>
      </c>
      <c r="FTW28" s="160">
        <f t="shared" ref="FTW28" si="2296">FTU28*$C$28</f>
        <v>213037943534035.88</v>
      </c>
      <c r="FTY28" s="160">
        <f t="shared" ref="FTY28" si="2297">FTW28*$C$28</f>
        <v>215168322969376.25</v>
      </c>
      <c r="FUA28" s="160">
        <f t="shared" ref="FUA28" si="2298">FTY28*$C$28</f>
        <v>217320006199070</v>
      </c>
      <c r="FUC28" s="160">
        <f t="shared" ref="FUC28" si="2299">FUA28*$C$28</f>
        <v>219493206261060.69</v>
      </c>
      <c r="FUE28" s="160">
        <f t="shared" ref="FUE28" si="2300">FUC28*$C$28</f>
        <v>221688138323671.28</v>
      </c>
      <c r="FUG28" s="160">
        <f t="shared" ref="FUG28" si="2301">FUE28*$C$28</f>
        <v>223905019706908</v>
      </c>
      <c r="FUI28" s="160">
        <f t="shared" ref="FUI28" si="2302">FUG28*$C$28</f>
        <v>226144069903977.09</v>
      </c>
      <c r="FUK28" s="160">
        <f t="shared" ref="FUK28" si="2303">FUI28*$C$28</f>
        <v>228405510603016.88</v>
      </c>
      <c r="FUM28" s="160">
        <f t="shared" ref="FUM28" si="2304">FUK28*$C$28</f>
        <v>230689565709047.03</v>
      </c>
      <c r="FUO28" s="160">
        <f t="shared" ref="FUO28" si="2305">FUM28*$C$28</f>
        <v>232996461366137.5</v>
      </c>
      <c r="FUQ28" s="160">
        <f t="shared" ref="FUQ28" si="2306">FUO28*$C$28</f>
        <v>235326425979798.88</v>
      </c>
      <c r="FUS28" s="160">
        <f t="shared" ref="FUS28" si="2307">FUQ28*$C$28</f>
        <v>237679690239596.88</v>
      </c>
      <c r="FUU28" s="160">
        <f t="shared" ref="FUU28" si="2308">FUS28*$C$28</f>
        <v>240056487141992.84</v>
      </c>
      <c r="FUW28" s="160">
        <f t="shared" ref="FUW28" si="2309">FUU28*$C$28</f>
        <v>242457052013412.78</v>
      </c>
      <c r="FUY28" s="160">
        <f t="shared" ref="FUY28" si="2310">FUW28*$C$28</f>
        <v>244881622533546.91</v>
      </c>
      <c r="FVA28" s="160">
        <f t="shared" ref="FVA28" si="2311">FUY28*$C$28</f>
        <v>247330438758882.38</v>
      </c>
      <c r="FVC28" s="160">
        <f t="shared" ref="FVC28" si="2312">FVA28*$C$28</f>
        <v>249803743146471.19</v>
      </c>
      <c r="FVE28" s="160">
        <f t="shared" ref="FVE28" si="2313">FVC28*$C$28</f>
        <v>252301780577935.91</v>
      </c>
      <c r="FVG28" s="160">
        <f t="shared" ref="FVG28" si="2314">FVE28*$C$28</f>
        <v>254824798383715.28</v>
      </c>
      <c r="FVI28" s="160">
        <f t="shared" ref="FVI28" si="2315">FVG28*$C$28</f>
        <v>257373046367552.44</v>
      </c>
      <c r="FVK28" s="160">
        <f t="shared" ref="FVK28" si="2316">FVI28*$C$28</f>
        <v>259946776831227.97</v>
      </c>
      <c r="FVM28" s="160">
        <f t="shared" ref="FVM28" si="2317">FVK28*$C$28</f>
        <v>262546244599540.25</v>
      </c>
      <c r="FVO28" s="160">
        <f t="shared" ref="FVO28" si="2318">FVM28*$C$28</f>
        <v>265171707045535.66</v>
      </c>
      <c r="FVQ28" s="160">
        <f t="shared" ref="FVQ28" si="2319">FVO28*$C$28</f>
        <v>267823424115991</v>
      </c>
      <c r="FVS28" s="160">
        <f t="shared" ref="FVS28" si="2320">FVQ28*$C$28</f>
        <v>270501658357150.91</v>
      </c>
      <c r="FVU28" s="160">
        <f t="shared" ref="FVU28" si="2321">FVS28*$C$28</f>
        <v>273206674940722.41</v>
      </c>
      <c r="FVW28" s="160">
        <f t="shared" ref="FVW28" si="2322">FVU28*$C$28</f>
        <v>275938741690129.63</v>
      </c>
      <c r="FVY28" s="160">
        <f t="shared" ref="FVY28" si="2323">FVW28*$C$28</f>
        <v>278698129107030.94</v>
      </c>
      <c r="FWA28" s="160">
        <f t="shared" ref="FWA28" si="2324">FVY28*$C$28</f>
        <v>281485110398101.25</v>
      </c>
      <c r="FWC28" s="160">
        <f t="shared" ref="FWC28" si="2325">FWA28*$C$28</f>
        <v>284299961502082.25</v>
      </c>
      <c r="FWE28" s="160">
        <f t="shared" ref="FWE28" si="2326">FWC28*$C$28</f>
        <v>287142961117103.06</v>
      </c>
      <c r="FWG28" s="160">
        <f t="shared" ref="FWG28" si="2327">FWE28*$C$28</f>
        <v>290014390728274.13</v>
      </c>
      <c r="FWI28" s="160">
        <f t="shared" ref="FWI28" si="2328">FWG28*$C$28</f>
        <v>292914534635556.88</v>
      </c>
      <c r="FWK28" s="160">
        <f t="shared" ref="FWK28" si="2329">FWI28*$C$28</f>
        <v>295843679981912.44</v>
      </c>
      <c r="FWM28" s="160">
        <f t="shared" ref="FWM28" si="2330">FWK28*$C$28</f>
        <v>298802116781731.56</v>
      </c>
      <c r="FWO28" s="160">
        <f t="shared" ref="FWO28" si="2331">FWM28*$C$28</f>
        <v>301790137949548.88</v>
      </c>
      <c r="FWQ28" s="160">
        <f t="shared" ref="FWQ28" si="2332">FWO28*$C$28</f>
        <v>304808039329044.38</v>
      </c>
      <c r="FWS28" s="160">
        <f t="shared" ref="FWS28" si="2333">FWQ28*$C$28</f>
        <v>307856119722334.81</v>
      </c>
      <c r="FWU28" s="160">
        <f t="shared" ref="FWU28" si="2334">FWS28*$C$28</f>
        <v>310934680919558.19</v>
      </c>
      <c r="FWW28" s="160">
        <f t="shared" ref="FWW28" si="2335">FWU28*$C$28</f>
        <v>314044027728753.75</v>
      </c>
      <c r="FWY28" s="160">
        <f t="shared" ref="FWY28" si="2336">FWW28*$C$28</f>
        <v>317184468006041.31</v>
      </c>
      <c r="FXA28" s="160">
        <f t="shared" ref="FXA28" si="2337">FWY28*$C$28</f>
        <v>320356312686101.75</v>
      </c>
      <c r="FXC28" s="160">
        <f t="shared" ref="FXC28" si="2338">FXA28*$C$28</f>
        <v>323559875812962.75</v>
      </c>
      <c r="FXE28" s="160">
        <f t="shared" ref="FXE28" si="2339">FXC28*$C$28</f>
        <v>326795474571092.38</v>
      </c>
      <c r="FXG28" s="160">
        <f t="shared" ref="FXG28" si="2340">FXE28*$C$28</f>
        <v>330063429316803.31</v>
      </c>
      <c r="FXI28" s="160">
        <f t="shared" ref="FXI28" si="2341">FXG28*$C$28</f>
        <v>333364063609971.38</v>
      </c>
      <c r="FXK28" s="160">
        <f t="shared" ref="FXK28" si="2342">FXI28*$C$28</f>
        <v>336697704246071.06</v>
      </c>
      <c r="FXM28" s="160">
        <f t="shared" ref="FXM28" si="2343">FXK28*$C$28</f>
        <v>340064681288531.75</v>
      </c>
      <c r="FXO28" s="160">
        <f t="shared" ref="FXO28" si="2344">FXM28*$C$28</f>
        <v>343465328101417.06</v>
      </c>
      <c r="FXQ28" s="160">
        <f t="shared" ref="FXQ28" si="2345">FXO28*$C$28</f>
        <v>346899981382431.25</v>
      </c>
      <c r="FXS28" s="160">
        <f t="shared" ref="FXS28" si="2346">FXQ28*$C$28</f>
        <v>350368981196255.56</v>
      </c>
      <c r="FXU28" s="160">
        <f t="shared" ref="FXU28" si="2347">FXS28*$C$28</f>
        <v>353872671008218.13</v>
      </c>
      <c r="FXW28" s="160">
        <f t="shared" ref="FXW28" si="2348">FXU28*$C$28</f>
        <v>357411397718300.31</v>
      </c>
      <c r="FXY28" s="160">
        <f t="shared" ref="FXY28" si="2349">FXW28*$C$28</f>
        <v>360985511695483.31</v>
      </c>
      <c r="FYA28" s="160">
        <f t="shared" ref="FYA28" si="2350">FXY28*$C$28</f>
        <v>364595366812438.13</v>
      </c>
      <c r="FYC28" s="160">
        <f t="shared" ref="FYC28" si="2351">FYA28*$C$28</f>
        <v>368241320480562.5</v>
      </c>
      <c r="FYE28" s="160">
        <f t="shared" ref="FYE28" si="2352">FYC28*$C$28</f>
        <v>371923733685368.13</v>
      </c>
      <c r="FYG28" s="160">
        <f t="shared" ref="FYG28" si="2353">FYE28*$C$28</f>
        <v>375642971022221.81</v>
      </c>
      <c r="FYI28" s="160">
        <f t="shared" ref="FYI28" si="2354">FYG28*$C$28</f>
        <v>379399400732444.06</v>
      </c>
      <c r="FYK28" s="160">
        <f t="shared" ref="FYK28" si="2355">FYI28*$C$28</f>
        <v>383193394739768.5</v>
      </c>
      <c r="FYM28" s="160">
        <f t="shared" ref="FYM28" si="2356">FYK28*$C$28</f>
        <v>387025328687166.19</v>
      </c>
      <c r="FYO28" s="160">
        <f t="shared" ref="FYO28" si="2357">FYM28*$C$28</f>
        <v>390895581974037.88</v>
      </c>
      <c r="FYQ28" s="160">
        <f t="shared" ref="FYQ28" si="2358">FYO28*$C$28</f>
        <v>394804537793778.25</v>
      </c>
      <c r="FYS28" s="160">
        <f t="shared" ref="FYS28" si="2359">FYQ28*$C$28</f>
        <v>398752583171716.06</v>
      </c>
      <c r="FYU28" s="160">
        <f t="shared" ref="FYU28" si="2360">FYS28*$C$28</f>
        <v>402740109003433.25</v>
      </c>
      <c r="FYW28" s="160">
        <f t="shared" ref="FYW28" si="2361">FYU28*$C$28</f>
        <v>406767510093467.56</v>
      </c>
      <c r="FYY28" s="160">
        <f t="shared" ref="FYY28" si="2362">FYW28*$C$28</f>
        <v>410835185194402.25</v>
      </c>
      <c r="FZA28" s="160">
        <f t="shared" ref="FZA28" si="2363">FYY28*$C$28</f>
        <v>414943537046346.25</v>
      </c>
      <c r="FZC28" s="160">
        <f t="shared" ref="FZC28" si="2364">FZA28*$C$28</f>
        <v>419092972416809.69</v>
      </c>
      <c r="FZE28" s="160">
        <f t="shared" ref="FZE28" si="2365">FZC28*$C$28</f>
        <v>423283902140977.81</v>
      </c>
      <c r="FZG28" s="160">
        <f t="shared" ref="FZG28" si="2366">FZE28*$C$28</f>
        <v>427516741162387.63</v>
      </c>
      <c r="FZI28" s="160">
        <f t="shared" ref="FZI28" si="2367">FZG28*$C$28</f>
        <v>431791908574011.5</v>
      </c>
      <c r="FZK28" s="160">
        <f t="shared" ref="FZK28" si="2368">FZI28*$C$28</f>
        <v>436109827659751.63</v>
      </c>
      <c r="FZM28" s="160">
        <f t="shared" ref="FZM28" si="2369">FZK28*$C$28</f>
        <v>440470925936349.13</v>
      </c>
      <c r="FZO28" s="160">
        <f t="shared" ref="FZO28" si="2370">FZM28*$C$28</f>
        <v>444875635195712.63</v>
      </c>
      <c r="FZQ28" s="160">
        <f t="shared" ref="FZQ28" si="2371">FZO28*$C$28</f>
        <v>449324391547669.75</v>
      </c>
      <c r="FZS28" s="160">
        <f t="shared" ref="FZS28" si="2372">FZQ28*$C$28</f>
        <v>453817635463146.44</v>
      </c>
      <c r="FZU28" s="160">
        <f t="shared" ref="FZU28" si="2373">FZS28*$C$28</f>
        <v>458355811817777.88</v>
      </c>
      <c r="FZW28" s="160">
        <f t="shared" ref="FZW28" si="2374">FZU28*$C$28</f>
        <v>462939369935955.69</v>
      </c>
      <c r="FZY28" s="160">
        <f t="shared" ref="FZY28" si="2375">FZW28*$C$28</f>
        <v>467568763635315.25</v>
      </c>
      <c r="GAA28" s="160">
        <f t="shared" ref="GAA28" si="2376">FZY28*$C$28</f>
        <v>472244451271668.44</v>
      </c>
      <c r="GAC28" s="160">
        <f t="shared" ref="GAC28" si="2377">GAA28*$C$28</f>
        <v>476966895784385.13</v>
      </c>
      <c r="GAE28" s="160">
        <f t="shared" ref="GAE28" si="2378">GAC28*$C$28</f>
        <v>481736564742229</v>
      </c>
      <c r="GAG28" s="160">
        <f t="shared" ref="GAG28" si="2379">GAE28*$C$28</f>
        <v>486553930389651.31</v>
      </c>
      <c r="GAI28" s="160">
        <f t="shared" ref="GAI28" si="2380">GAG28*$C$28</f>
        <v>491419469693547.81</v>
      </c>
      <c r="GAK28" s="160">
        <f t="shared" ref="GAK28" si="2381">GAI28*$C$28</f>
        <v>496333664390483.31</v>
      </c>
      <c r="GAM28" s="160">
        <f t="shared" ref="GAM28" si="2382">GAK28*$C$28</f>
        <v>501297001034388.13</v>
      </c>
      <c r="GAO28" s="160">
        <f t="shared" ref="GAO28" si="2383">GAM28*$C$28</f>
        <v>506309971044732</v>
      </c>
      <c r="GAQ28" s="160">
        <f t="shared" ref="GAQ28" si="2384">GAO28*$C$28</f>
        <v>511373070755179.31</v>
      </c>
      <c r="GAS28" s="160">
        <f t="shared" ref="GAS28" si="2385">GAQ28*$C$28</f>
        <v>516486801462731.13</v>
      </c>
      <c r="GAU28" s="160">
        <f t="shared" ref="GAU28" si="2386">GAS28*$C$28</f>
        <v>521651669477358.44</v>
      </c>
      <c r="GAW28" s="160">
        <f t="shared" ref="GAW28" si="2387">GAU28*$C$28</f>
        <v>526868186172132</v>
      </c>
      <c r="GAY28" s="160">
        <f t="shared" ref="GAY28" si="2388">GAW28*$C$28</f>
        <v>532136868033853.31</v>
      </c>
      <c r="GBA28" s="160">
        <f t="shared" ref="GBA28" si="2389">GAY28*$C$28</f>
        <v>537458236714191.88</v>
      </c>
      <c r="GBC28" s="160">
        <f t="shared" ref="GBC28" si="2390">GBA28*$C$28</f>
        <v>542832819081333.81</v>
      </c>
      <c r="GBE28" s="160">
        <f t="shared" ref="GBE28" si="2391">GBC28*$C$28</f>
        <v>548261147272147.13</v>
      </c>
      <c r="GBG28" s="160">
        <f t="shared" ref="GBG28" si="2392">GBE28*$C$28</f>
        <v>553743758744868.63</v>
      </c>
      <c r="GBI28" s="160">
        <f t="shared" ref="GBI28" si="2393">GBG28*$C$28</f>
        <v>559281196332317.31</v>
      </c>
      <c r="GBK28" s="160">
        <f t="shared" ref="GBK28" si="2394">GBI28*$C$28</f>
        <v>564874008295640.5</v>
      </c>
      <c r="GBM28" s="160">
        <f t="shared" ref="GBM28" si="2395">GBK28*$C$28</f>
        <v>570522748378596.88</v>
      </c>
      <c r="GBO28" s="160">
        <f t="shared" ref="GBO28" si="2396">GBM28*$C$28</f>
        <v>576227975862382.88</v>
      </c>
      <c r="GBQ28" s="160">
        <f t="shared" ref="GBQ28" si="2397">GBO28*$C$28</f>
        <v>581990255621006.75</v>
      </c>
      <c r="GBS28" s="160">
        <f t="shared" ref="GBS28" si="2398">GBQ28*$C$28</f>
        <v>587810158177216.88</v>
      </c>
      <c r="GBU28" s="160">
        <f t="shared" ref="GBU28" si="2399">GBS28*$C$28</f>
        <v>593688259758989</v>
      </c>
      <c r="GBW28" s="160">
        <f t="shared" ref="GBW28" si="2400">GBU28*$C$28</f>
        <v>599625142356578.88</v>
      </c>
      <c r="GBY28" s="160">
        <f t="shared" ref="GBY28" si="2401">GBW28*$C$28</f>
        <v>605621393780144.63</v>
      </c>
      <c r="GCA28" s="160">
        <f t="shared" ref="GCA28" si="2402">GBY28*$C$28</f>
        <v>611677607717946.13</v>
      </c>
      <c r="GCC28" s="160">
        <f t="shared" ref="GCC28" si="2403">GCA28*$C$28</f>
        <v>617794383795125.63</v>
      </c>
      <c r="GCE28" s="160">
        <f t="shared" ref="GCE28" si="2404">GCC28*$C$28</f>
        <v>623972327633076.88</v>
      </c>
      <c r="GCG28" s="160">
        <f t="shared" ref="GCG28" si="2405">GCE28*$C$28</f>
        <v>630212050909407.63</v>
      </c>
      <c r="GCI28" s="160">
        <f t="shared" ref="GCI28" si="2406">GCG28*$C$28</f>
        <v>636514171418501.75</v>
      </c>
      <c r="GCK28" s="160">
        <f t="shared" ref="GCK28" si="2407">GCI28*$C$28</f>
        <v>642879313132686.75</v>
      </c>
      <c r="GCM28" s="160">
        <f t="shared" ref="GCM28" si="2408">GCK28*$C$28</f>
        <v>649308106264013.63</v>
      </c>
      <c r="GCO28" s="160">
        <f t="shared" ref="GCO28" si="2409">GCM28*$C$28</f>
        <v>655801187326653.75</v>
      </c>
      <c r="GCQ28" s="160">
        <f t="shared" ref="GCQ28" si="2410">GCO28*$C$28</f>
        <v>662359199199920.25</v>
      </c>
      <c r="GCS28" s="160">
        <f t="shared" ref="GCS28" si="2411">GCQ28*$C$28</f>
        <v>668982791191919.5</v>
      </c>
      <c r="GCU28" s="160">
        <f t="shared" ref="GCU28" si="2412">GCS28*$C$28</f>
        <v>675672619103838.75</v>
      </c>
      <c r="GCW28" s="160">
        <f t="shared" ref="GCW28" si="2413">GCU28*$C$28</f>
        <v>682429345294877.13</v>
      </c>
      <c r="GCY28" s="160">
        <f t="shared" ref="GCY28" si="2414">GCW28*$C$28</f>
        <v>689253638747825.88</v>
      </c>
      <c r="GDA28" s="160">
        <f t="shared" ref="GDA28" si="2415">GCY28*$C$28</f>
        <v>696146175135304.13</v>
      </c>
      <c r="GDC28" s="160">
        <f t="shared" ref="GDC28" si="2416">GDA28*$C$28</f>
        <v>703107636886657.13</v>
      </c>
      <c r="GDE28" s="160">
        <f t="shared" ref="GDE28" si="2417">GDC28*$C$28</f>
        <v>710138713255523.75</v>
      </c>
      <c r="GDG28" s="160">
        <f t="shared" ref="GDG28" si="2418">GDE28*$C$28</f>
        <v>717240100388079</v>
      </c>
      <c r="GDI28" s="160">
        <f t="shared" ref="GDI28" si="2419">GDG28*$C$28</f>
        <v>724412501391959.75</v>
      </c>
      <c r="GDK28" s="160">
        <f t="shared" ref="GDK28" si="2420">GDI28*$C$28</f>
        <v>731656626405879.38</v>
      </c>
      <c r="GDM28" s="160">
        <f t="shared" ref="GDM28" si="2421">GDK28*$C$28</f>
        <v>738973192669938.13</v>
      </c>
      <c r="GDO28" s="160">
        <f t="shared" ref="GDO28" si="2422">GDM28*$C$28</f>
        <v>746362924596637.5</v>
      </c>
      <c r="GDQ28" s="160">
        <f t="shared" ref="GDQ28" si="2423">GDO28*$C$28</f>
        <v>753826553842603.88</v>
      </c>
      <c r="GDS28" s="160">
        <f t="shared" ref="GDS28" si="2424">GDQ28*$C$28</f>
        <v>761364819381029.88</v>
      </c>
      <c r="GDU28" s="160">
        <f t="shared" ref="GDU28" si="2425">GDS28*$C$28</f>
        <v>768978467574840.13</v>
      </c>
      <c r="GDW28" s="160">
        <f t="shared" ref="GDW28" si="2426">GDU28*$C$28</f>
        <v>776668252250588.5</v>
      </c>
      <c r="GDY28" s="160">
        <f t="shared" ref="GDY28" si="2427">GDW28*$C$28</f>
        <v>784434934773094.38</v>
      </c>
      <c r="GEA28" s="160">
        <f t="shared" ref="GEA28" si="2428">GDY28*$C$28</f>
        <v>792279284120825.38</v>
      </c>
      <c r="GEC28" s="160">
        <f t="shared" ref="GEC28" si="2429">GEA28*$C$28</f>
        <v>800202076962033.63</v>
      </c>
      <c r="GEE28" s="160">
        <f t="shared" ref="GEE28" si="2430">GEC28*$C$28</f>
        <v>808204097731654</v>
      </c>
      <c r="GEG28" s="160">
        <f t="shared" ref="GEG28" si="2431">GEE28*$C$28</f>
        <v>816286138708970.5</v>
      </c>
      <c r="GEI28" s="160">
        <f t="shared" ref="GEI28" si="2432">GEG28*$C$28</f>
        <v>824449000096060.25</v>
      </c>
      <c r="GEK28" s="160">
        <f t="shared" ref="GEK28" si="2433">GEI28*$C$28</f>
        <v>832693490097020.88</v>
      </c>
      <c r="GEM28" s="160">
        <f t="shared" ref="GEM28" si="2434">GEK28*$C$28</f>
        <v>841020424997991.13</v>
      </c>
      <c r="GEO28" s="160">
        <f t="shared" ref="GEO28" si="2435">GEM28*$C$28</f>
        <v>849430629247971</v>
      </c>
      <c r="GEQ28" s="160">
        <f t="shared" ref="GEQ28" si="2436">GEO28*$C$28</f>
        <v>857924935540450.75</v>
      </c>
      <c r="GES28" s="160">
        <f t="shared" ref="GES28" si="2437">GEQ28*$C$28</f>
        <v>866504184895855.25</v>
      </c>
      <c r="GEU28" s="160">
        <f t="shared" ref="GEU28" si="2438">GES28*$C$28</f>
        <v>875169226744813.75</v>
      </c>
      <c r="GEW28" s="160">
        <f t="shared" ref="GEW28" si="2439">GEU28*$C$28</f>
        <v>883920919012261.88</v>
      </c>
      <c r="GEY28" s="160">
        <f t="shared" ref="GEY28" si="2440">GEW28*$C$28</f>
        <v>892760128202384.5</v>
      </c>
      <c r="GFA28" s="160">
        <f t="shared" ref="GFA28" si="2441">GEY28*$C$28</f>
        <v>901687729484408.38</v>
      </c>
      <c r="GFC28" s="160">
        <f t="shared" ref="GFC28" si="2442">GFA28*$C$28</f>
        <v>910704606779252.5</v>
      </c>
      <c r="GFE28" s="160">
        <f t="shared" ref="GFE28" si="2443">GFC28*$C$28</f>
        <v>919811652847045</v>
      </c>
      <c r="GFG28" s="160">
        <f t="shared" ref="GFG28" si="2444">GFE28*$C$28</f>
        <v>929009769375515.5</v>
      </c>
      <c r="GFI28" s="160">
        <f t="shared" ref="GFI28" si="2445">GFG28*$C$28</f>
        <v>938299867069270.63</v>
      </c>
      <c r="GFK28" s="160">
        <f t="shared" ref="GFK28" si="2446">GFI28*$C$28</f>
        <v>947682865739963.38</v>
      </c>
      <c r="GFM28" s="160">
        <f t="shared" ref="GFM28" si="2447">GFK28*$C$28</f>
        <v>957159694397363</v>
      </c>
      <c r="GFO28" s="160">
        <f t="shared" ref="GFO28" si="2448">GFM28*$C$28</f>
        <v>966731291341336.63</v>
      </c>
      <c r="GFQ28" s="160">
        <f t="shared" ref="GFQ28" si="2449">GFO28*$C$28</f>
        <v>976398604254750</v>
      </c>
      <c r="GFS28" s="160">
        <f t="shared" ref="GFS28" si="2450">GFQ28*$C$28</f>
        <v>986162590297297.5</v>
      </c>
      <c r="GFU28" s="160">
        <f t="shared" ref="GFU28" si="2451">GFS28*$C$28</f>
        <v>996024216200270.5</v>
      </c>
      <c r="GFW28" s="160">
        <f t="shared" ref="GFW28" si="2452">GFU28*$C$28</f>
        <v>1005984458362273.3</v>
      </c>
      <c r="GFY28" s="160">
        <f t="shared" ref="GFY28" si="2453">GFW28*$C$28</f>
        <v>1016044302945896</v>
      </c>
      <c r="GGA28" s="160">
        <f t="shared" ref="GGA28" si="2454">GFY28*$C$28</f>
        <v>1026204745975355</v>
      </c>
      <c r="GGC28" s="160">
        <f t="shared" ref="GGC28" si="2455">GGA28*$C$28</f>
        <v>1036466793435108.5</v>
      </c>
      <c r="GGE28" s="160">
        <f t="shared" ref="GGE28" si="2456">GGC28*$C$28</f>
        <v>1046831461369459.6</v>
      </c>
      <c r="GGG28" s="160">
        <f t="shared" ref="GGG28" si="2457">GGE28*$C$28</f>
        <v>1057299775983154.3</v>
      </c>
      <c r="GGI28" s="160">
        <f t="shared" ref="GGI28" si="2458">GGG28*$C$28</f>
        <v>1067872773742985.8</v>
      </c>
      <c r="GGK28" s="160">
        <f t="shared" ref="GGK28" si="2459">GGI28*$C$28</f>
        <v>1078551501480415.6</v>
      </c>
      <c r="GGM28" s="160">
        <f t="shared" ref="GGM28" si="2460">GGK28*$C$28</f>
        <v>1089337016495219.8</v>
      </c>
      <c r="GGO28" s="160">
        <f t="shared" ref="GGO28" si="2461">GGM28*$C$28</f>
        <v>1100230386660172</v>
      </c>
      <c r="GGQ28" s="160">
        <f t="shared" ref="GGQ28" si="2462">GGO28*$C$28</f>
        <v>1111232690526773.8</v>
      </c>
      <c r="GGS28" s="160">
        <f t="shared" ref="GGS28" si="2463">GGQ28*$C$28</f>
        <v>1122345017432041.5</v>
      </c>
      <c r="GGU28" s="160">
        <f t="shared" ref="GGU28" si="2464">GGS28*$C$28</f>
        <v>1133568467606362</v>
      </c>
      <c r="GGW28" s="160">
        <f t="shared" ref="GGW28" si="2465">GGU28*$C$28</f>
        <v>1144904152282425.8</v>
      </c>
      <c r="GGY28" s="160">
        <f t="shared" ref="GGY28" si="2466">GGW28*$C$28</f>
        <v>1156353193805250</v>
      </c>
      <c r="GHA28" s="160">
        <f t="shared" ref="GHA28" si="2467">GGY28*$C$28</f>
        <v>1167916725743302.5</v>
      </c>
      <c r="GHC28" s="160">
        <f t="shared" ref="GHC28" si="2468">GHA28*$C$28</f>
        <v>1179595893000735.5</v>
      </c>
      <c r="GHE28" s="160">
        <f t="shared" ref="GHE28" si="2469">GHC28*$C$28</f>
        <v>1191391851930742.8</v>
      </c>
      <c r="GHG28" s="160">
        <f t="shared" ref="GHG28" si="2470">GHE28*$C$28</f>
        <v>1203305770450050.3</v>
      </c>
      <c r="GHI28" s="160">
        <f t="shared" ref="GHI28" si="2471">GHG28*$C$28</f>
        <v>1215338828154550.8</v>
      </c>
      <c r="GHK28" s="160">
        <f t="shared" ref="GHK28" si="2472">GHI28*$C$28</f>
        <v>1227492216436096.3</v>
      </c>
      <c r="GHM28" s="160">
        <f t="shared" ref="GHM28" si="2473">GHK28*$C$28</f>
        <v>1239767138600457.3</v>
      </c>
      <c r="GHO28" s="160">
        <f t="shared" ref="GHO28" si="2474">GHM28*$C$28</f>
        <v>1252164809986461.8</v>
      </c>
      <c r="GHQ28" s="160">
        <f t="shared" ref="GHQ28" si="2475">GHO28*$C$28</f>
        <v>1264686458086326.5</v>
      </c>
      <c r="GHS28" s="160">
        <f t="shared" ref="GHS28" si="2476">GHQ28*$C$28</f>
        <v>1277333322667189.8</v>
      </c>
      <c r="GHU28" s="160">
        <f t="shared" ref="GHU28" si="2477">GHS28*$C$28</f>
        <v>1290106655893861.8</v>
      </c>
      <c r="GHW28" s="160">
        <f t="shared" ref="GHW28" si="2478">GHU28*$C$28</f>
        <v>1303007722452800.5</v>
      </c>
      <c r="GHY28" s="160">
        <f t="shared" ref="GHY28" si="2479">GHW28*$C$28</f>
        <v>1316037799677328.5</v>
      </c>
      <c r="GIA28" s="160">
        <f t="shared" ref="GIA28" si="2480">GHY28*$C$28</f>
        <v>1329198177674101.8</v>
      </c>
      <c r="GIC28" s="160">
        <f t="shared" ref="GIC28" si="2481">GIA28*$C$28</f>
        <v>1342490159450842.8</v>
      </c>
      <c r="GIE28" s="160">
        <f t="shared" ref="GIE28" si="2482">GIC28*$C$28</f>
        <v>1355915061045351.3</v>
      </c>
      <c r="GIG28" s="160">
        <f t="shared" ref="GIG28" si="2483">GIE28*$C$28</f>
        <v>1369474211655804.8</v>
      </c>
      <c r="GII28" s="160">
        <f t="shared" ref="GII28" si="2484">GIG28*$C$28</f>
        <v>1383168953772362.8</v>
      </c>
      <c r="GIK28" s="160">
        <f t="shared" ref="GIK28" si="2485">GII28*$C$28</f>
        <v>1397000643310086.5</v>
      </c>
      <c r="GIM28" s="160">
        <f t="shared" ref="GIM28" si="2486">GIK28*$C$28</f>
        <v>1410970649743187.5</v>
      </c>
      <c r="GIO28" s="160">
        <f t="shared" ref="GIO28" si="2487">GIM28*$C$28</f>
        <v>1425080356240619.5</v>
      </c>
      <c r="GIQ28" s="160">
        <f t="shared" ref="GIQ28" si="2488">GIO28*$C$28</f>
        <v>1439331159803025.8</v>
      </c>
      <c r="GIS28" s="160">
        <f t="shared" ref="GIS28" si="2489">GIQ28*$C$28</f>
        <v>1453724471401056</v>
      </c>
      <c r="GIU28" s="160">
        <f t="shared" ref="GIU28" si="2490">GIS28*$C$28</f>
        <v>1468261716115066.5</v>
      </c>
      <c r="GIW28" s="160">
        <f t="shared" ref="GIW28" si="2491">GIU28*$C$28</f>
        <v>1482944333276217.3</v>
      </c>
      <c r="GIY28" s="160">
        <f t="shared" ref="GIY28" si="2492">GIW28*$C$28</f>
        <v>1497773776608979.5</v>
      </c>
      <c r="GJA28" s="160">
        <f t="shared" ref="GJA28" si="2493">GIY28*$C$28</f>
        <v>1512751514375069.3</v>
      </c>
      <c r="GJC28" s="160">
        <f t="shared" ref="GJC28" si="2494">GJA28*$C$28</f>
        <v>1527879029518820</v>
      </c>
      <c r="GJE28" s="160">
        <f t="shared" ref="GJE28" si="2495">GJC28*$C$28</f>
        <v>1543157819814008.3</v>
      </c>
      <c r="GJG28" s="160">
        <f t="shared" ref="GJG28" si="2496">GJE28*$C$28</f>
        <v>1558589398012148.3</v>
      </c>
      <c r="GJI28" s="160">
        <f t="shared" ref="GJI28" si="2497">GJG28*$C$28</f>
        <v>1574175291992269.8</v>
      </c>
      <c r="GJK28" s="160">
        <f t="shared" ref="GJK28" si="2498">GJI28*$C$28</f>
        <v>1589917044912192.5</v>
      </c>
      <c r="GJM28" s="160">
        <f t="shared" ref="GJM28" si="2499">GJK28*$C$28</f>
        <v>1605816215361314.5</v>
      </c>
      <c r="GJO28" s="160">
        <f t="shared" ref="GJO28" si="2500">GJM28*$C$28</f>
        <v>1621874377514927.8</v>
      </c>
      <c r="GJQ28" s="160">
        <f t="shared" ref="GJQ28" si="2501">GJO28*$C$28</f>
        <v>1638093121290077</v>
      </c>
      <c r="GJS28" s="160">
        <f t="shared" ref="GJS28" si="2502">GJQ28*$C$28</f>
        <v>1654474052502977.8</v>
      </c>
      <c r="GJU28" s="160">
        <f t="shared" ref="GJU28" si="2503">GJS28*$C$28</f>
        <v>1671018793028007.5</v>
      </c>
      <c r="GJW28" s="160">
        <f t="shared" ref="GJW28" si="2504">GJU28*$C$28</f>
        <v>1687728980958287.5</v>
      </c>
      <c r="GJY28" s="160">
        <f t="shared" ref="GJY28" si="2505">GJW28*$C$28</f>
        <v>1704606270767870.5</v>
      </c>
      <c r="GKA28" s="160">
        <f t="shared" ref="GKA28" si="2506">GJY28*$C$28</f>
        <v>1721652333475549.3</v>
      </c>
      <c r="GKC28" s="160">
        <f t="shared" ref="GKC28" si="2507">GKA28*$C$28</f>
        <v>1738868856810304.8</v>
      </c>
      <c r="GKE28" s="160">
        <f t="shared" ref="GKE28" si="2508">GKC28*$C$28</f>
        <v>1756257545378407.8</v>
      </c>
      <c r="GKG28" s="160">
        <f t="shared" ref="GKG28" si="2509">GKE28*$C$28</f>
        <v>1773820120832191.8</v>
      </c>
      <c r="GKI28" s="160">
        <f t="shared" ref="GKI28" si="2510">GKG28*$C$28</f>
        <v>1791558322040513.8</v>
      </c>
      <c r="GKK28" s="160">
        <f t="shared" ref="GKK28" si="2511">GKI28*$C$28</f>
        <v>1809473905260919</v>
      </c>
      <c r="GKM28" s="160">
        <f t="shared" ref="GKM28" si="2512">GKK28*$C$28</f>
        <v>1827568644313528.3</v>
      </c>
      <c r="GKO28" s="160">
        <f t="shared" ref="GKO28" si="2513">GKM28*$C$28</f>
        <v>1845844330756663.5</v>
      </c>
      <c r="GKQ28" s="160">
        <f t="shared" ref="GKQ28" si="2514">GKO28*$C$28</f>
        <v>1864302774064230.3</v>
      </c>
      <c r="GKS28" s="160">
        <f t="shared" ref="GKS28" si="2515">GKQ28*$C$28</f>
        <v>1882945801804872.5</v>
      </c>
      <c r="GKU28" s="160">
        <f t="shared" ref="GKU28" si="2516">GKS28*$C$28</f>
        <v>1901775259822921.3</v>
      </c>
      <c r="GKW28" s="160">
        <f t="shared" ref="GKW28" si="2517">GKU28*$C$28</f>
        <v>1920793012421150.5</v>
      </c>
      <c r="GKY28" s="160">
        <f t="shared" ref="GKY28" si="2518">GKW28*$C$28</f>
        <v>1940000942545362</v>
      </c>
      <c r="GLA28" s="160">
        <f t="shared" ref="GLA28" si="2519">GKY28*$C$28</f>
        <v>1959400951970815.8</v>
      </c>
      <c r="GLC28" s="160">
        <f t="shared" ref="GLC28" si="2520">GLA28*$C$28</f>
        <v>1978994961490524</v>
      </c>
      <c r="GLE28" s="160">
        <f t="shared" ref="GLE28" si="2521">GLC28*$C$28</f>
        <v>1998784911105429.3</v>
      </c>
      <c r="GLG28" s="160">
        <f t="shared" ref="GLG28" si="2522">GLE28*$C$28</f>
        <v>2018772760216483.5</v>
      </c>
      <c r="GLI28" s="160">
        <f t="shared" ref="GLI28" si="2523">GLG28*$C$28</f>
        <v>2038960487818648.3</v>
      </c>
      <c r="GLK28" s="160">
        <f t="shared" ref="GLK28" si="2524">GLI28*$C$28</f>
        <v>2059350092696834.8</v>
      </c>
      <c r="GLM28" s="160">
        <f t="shared" ref="GLM28" si="2525">GLK28*$C$28</f>
        <v>2079943593623803</v>
      </c>
      <c r="GLO28" s="160">
        <f t="shared" ref="GLO28" si="2526">GLM28*$C$28</f>
        <v>2100743029560041</v>
      </c>
      <c r="GLQ28" s="160">
        <f t="shared" ref="GLQ28" si="2527">GLO28*$C$28</f>
        <v>2121750459855641.5</v>
      </c>
      <c r="GLS28" s="160">
        <f t="shared" ref="GLS28" si="2528">GLQ28*$C$28</f>
        <v>2142967964454198</v>
      </c>
      <c r="GLU28" s="160">
        <f t="shared" ref="GLU28" si="2529">GLS28*$C$28</f>
        <v>2164397644098740</v>
      </c>
      <c r="GLW28" s="160">
        <f t="shared" ref="GLW28" si="2530">GLU28*$C$28</f>
        <v>2186041620539727.5</v>
      </c>
      <c r="GLY28" s="160">
        <f t="shared" ref="GLY28" si="2531">GLW28*$C$28</f>
        <v>2207902036745124.8</v>
      </c>
      <c r="GMA28" s="160">
        <f t="shared" ref="GMA28" si="2532">GLY28*$C$28</f>
        <v>2229981057112576</v>
      </c>
      <c r="GMC28" s="160">
        <f t="shared" ref="GMC28" si="2533">GMA28*$C$28</f>
        <v>2252280867683702</v>
      </c>
      <c r="GME28" s="160">
        <f t="shared" ref="GME28" si="2534">GMC28*$C$28</f>
        <v>2274803676360539</v>
      </c>
      <c r="GMG28" s="160">
        <f t="shared" ref="GMG28" si="2535">GME28*$C$28</f>
        <v>2297551713124144.5</v>
      </c>
      <c r="GMI28" s="160">
        <f t="shared" ref="GMI28" si="2536">GMG28*$C$28</f>
        <v>2320527230255386</v>
      </c>
      <c r="GMK28" s="160">
        <f t="shared" ref="GMK28" si="2537">GMI28*$C$28</f>
        <v>2343732502557940</v>
      </c>
      <c r="GMM28" s="160">
        <f t="shared" ref="GMM28" si="2538">GMK28*$C$28</f>
        <v>2367169827583519.5</v>
      </c>
      <c r="GMO28" s="160">
        <f t="shared" ref="GMO28" si="2539">GMM28*$C$28</f>
        <v>2390841525859354.5</v>
      </c>
      <c r="GMQ28" s="160">
        <f t="shared" ref="GMQ28" si="2540">GMO28*$C$28</f>
        <v>2414749941117948</v>
      </c>
      <c r="GMS28" s="160">
        <f t="shared" ref="GMS28" si="2541">GMQ28*$C$28</f>
        <v>2438897440529127.5</v>
      </c>
      <c r="GMU28" s="160">
        <f t="shared" ref="GMU28" si="2542">GMS28*$C$28</f>
        <v>2463286414934419</v>
      </c>
      <c r="GMW28" s="160">
        <f t="shared" ref="GMW28" si="2543">GMU28*$C$28</f>
        <v>2487919279083763</v>
      </c>
      <c r="GMY28" s="160">
        <f t="shared" ref="GMY28" si="2544">GMW28*$C$28</f>
        <v>2512798471874600.5</v>
      </c>
      <c r="GNA28" s="160">
        <f t="shared" ref="GNA28" si="2545">GMY28*$C$28</f>
        <v>2537926456593346.5</v>
      </c>
      <c r="GNC28" s="160">
        <f t="shared" ref="GNC28" si="2546">GNA28*$C$28</f>
        <v>2563305721159280</v>
      </c>
      <c r="GNE28" s="160">
        <f t="shared" ref="GNE28" si="2547">GNC28*$C$28</f>
        <v>2588938778370873</v>
      </c>
      <c r="GNG28" s="160">
        <f t="shared" ref="GNG28" si="2548">GNE28*$C$28</f>
        <v>2614828166154582</v>
      </c>
      <c r="GNI28" s="160">
        <f t="shared" ref="GNI28" si="2549">GNG28*$C$28</f>
        <v>2640976447816128</v>
      </c>
      <c r="GNK28" s="160">
        <f t="shared" ref="GNK28" si="2550">GNI28*$C$28</f>
        <v>2667386212294289.5</v>
      </c>
      <c r="GNM28" s="160">
        <f t="shared" ref="GNM28" si="2551">GNK28*$C$28</f>
        <v>2694060074417232.5</v>
      </c>
      <c r="GNO28" s="160">
        <f t="shared" ref="GNO28" si="2552">GNM28*$C$28</f>
        <v>2721000675161405</v>
      </c>
      <c r="GNQ28" s="160">
        <f t="shared" ref="GNQ28" si="2553">GNO28*$C$28</f>
        <v>2748210681913019</v>
      </c>
      <c r="GNS28" s="160">
        <f t="shared" ref="GNS28" si="2554">GNQ28*$C$28</f>
        <v>2775692788732149</v>
      </c>
      <c r="GNU28" s="160">
        <f t="shared" ref="GNU28" si="2555">GNS28*$C$28</f>
        <v>2803449716619470.5</v>
      </c>
      <c r="GNW28" s="160">
        <f t="shared" ref="GNW28" si="2556">GNU28*$C$28</f>
        <v>2831484213785665</v>
      </c>
      <c r="GNY28" s="160">
        <f t="shared" ref="GNY28" si="2557">GNW28*$C$28</f>
        <v>2859799055923521.5</v>
      </c>
      <c r="GOA28" s="160">
        <f t="shared" ref="GOA28" si="2558">GNY28*$C$28</f>
        <v>2888397046482756.5</v>
      </c>
      <c r="GOC28" s="160">
        <f t="shared" ref="GOC28" si="2559">GOA28*$C$28</f>
        <v>2917281016947584</v>
      </c>
      <c r="GOE28" s="160">
        <f t="shared" ref="GOE28" si="2560">GOC28*$C$28</f>
        <v>2946453827117060</v>
      </c>
      <c r="GOG28" s="160">
        <f t="shared" ref="GOG28" si="2561">GOE28*$C$28</f>
        <v>2975918365388230.5</v>
      </c>
      <c r="GOI28" s="160">
        <f t="shared" ref="GOI28" si="2562">GOG28*$C$28</f>
        <v>3005677549042113</v>
      </c>
      <c r="GOK28" s="160">
        <f t="shared" ref="GOK28" si="2563">GOI28*$C$28</f>
        <v>3035734324532534</v>
      </c>
      <c r="GOM28" s="160">
        <f t="shared" ref="GOM28" si="2564">GOK28*$C$28</f>
        <v>3066091667777859.5</v>
      </c>
      <c r="GOO28" s="160">
        <f t="shared" ref="GOO28" si="2565">GOM28*$C$28</f>
        <v>3096752584455638</v>
      </c>
      <c r="GOQ28" s="160">
        <f t="shared" ref="GOQ28" si="2566">GOO28*$C$28</f>
        <v>3127720110300194.5</v>
      </c>
      <c r="GOS28" s="160">
        <f t="shared" ref="GOS28" si="2567">GOQ28*$C$28</f>
        <v>3158997311403196.5</v>
      </c>
      <c r="GOU28" s="160">
        <f t="shared" ref="GOU28" si="2568">GOS28*$C$28</f>
        <v>3190587284517228.5</v>
      </c>
      <c r="GOW28" s="160">
        <f t="shared" ref="GOW28" si="2569">GOU28*$C$28</f>
        <v>3222493157362401</v>
      </c>
      <c r="GOY28" s="160">
        <f t="shared" ref="GOY28" si="2570">GOW28*$C$28</f>
        <v>3254718088936025</v>
      </c>
      <c r="GPA28" s="160">
        <f t="shared" ref="GPA28" si="2571">GOY28*$C$28</f>
        <v>3287265269825385.5</v>
      </c>
      <c r="GPC28" s="160">
        <f t="shared" ref="GPC28" si="2572">GPA28*$C$28</f>
        <v>3320137922523639.5</v>
      </c>
      <c r="GPE28" s="160">
        <f t="shared" ref="GPE28" si="2573">GPC28*$C$28</f>
        <v>3353339301748876</v>
      </c>
      <c r="GPG28" s="160">
        <f t="shared" ref="GPG28" si="2574">GPE28*$C$28</f>
        <v>3386872694766365</v>
      </c>
      <c r="GPI28" s="160">
        <f t="shared" ref="GPI28" si="2575">GPG28*$C$28</f>
        <v>3420741421714028.5</v>
      </c>
      <c r="GPK28" s="160">
        <f t="shared" ref="GPK28" si="2576">GPI28*$C$28</f>
        <v>3454948835931169</v>
      </c>
      <c r="GPM28" s="160">
        <f t="shared" ref="GPM28" si="2577">GPK28*$C$28</f>
        <v>3489498324290480.5</v>
      </c>
      <c r="GPO28" s="160">
        <f t="shared" ref="GPO28" si="2578">GPM28*$C$28</f>
        <v>3524393307533385.5</v>
      </c>
      <c r="GPQ28" s="160">
        <f t="shared" ref="GPQ28" si="2579">GPO28*$C$28</f>
        <v>3559637240608719.5</v>
      </c>
      <c r="GPS28" s="160">
        <f t="shared" ref="GPS28" si="2580">GPQ28*$C$28</f>
        <v>3595233613014806.5</v>
      </c>
      <c r="GPU28" s="160">
        <f t="shared" ref="GPU28" si="2581">GPS28*$C$28</f>
        <v>3631185949144954.5</v>
      </c>
      <c r="GPW28" s="160">
        <f t="shared" ref="GPW28" si="2582">GPU28*$C$28</f>
        <v>3667497808636404</v>
      </c>
      <c r="GPY28" s="160">
        <f t="shared" ref="GPY28" si="2583">GPW28*$C$28</f>
        <v>3704172786722768</v>
      </c>
      <c r="GQA28" s="160">
        <f t="shared" ref="GQA28" si="2584">GPY28*$C$28</f>
        <v>3741214514589995.5</v>
      </c>
      <c r="GQC28" s="160">
        <f t="shared" ref="GQC28" si="2585">GQA28*$C$28</f>
        <v>3778626659735895.5</v>
      </c>
      <c r="GQE28" s="160">
        <f t="shared" ref="GQE28" si="2586">GQC28*$C$28</f>
        <v>3816412926333254.5</v>
      </c>
      <c r="GQG28" s="160">
        <f t="shared" ref="GQG28" si="2587">GQE28*$C$28</f>
        <v>3854577055596587</v>
      </c>
      <c r="GQI28" s="160">
        <f t="shared" ref="GQI28" si="2588">GQG28*$C$28</f>
        <v>3893122826152553</v>
      </c>
      <c r="GQK28" s="160">
        <f t="shared" ref="GQK28" si="2589">GQI28*$C$28</f>
        <v>3932054054414078.5</v>
      </c>
      <c r="GQM28" s="160">
        <f t="shared" ref="GQM28" si="2590">GQK28*$C$28</f>
        <v>3971374594958219.5</v>
      </c>
      <c r="GQO28" s="160">
        <f t="shared" ref="GQO28" si="2591">GQM28*$C$28</f>
        <v>4011088340907801.5</v>
      </c>
      <c r="GQQ28" s="160">
        <f t="shared" ref="GQQ28" si="2592">GQO28*$C$28</f>
        <v>4051199224316879.5</v>
      </c>
      <c r="GQS28" s="160">
        <f t="shared" ref="GQS28" si="2593">GQQ28*$C$28</f>
        <v>4091711216560048.5</v>
      </c>
      <c r="GQU28" s="160">
        <f t="shared" ref="GQU28" si="2594">GQS28*$C$28</f>
        <v>4132628328725649</v>
      </c>
      <c r="GQW28" s="160">
        <f t="shared" ref="GQW28" si="2595">GQU28*$C$28</f>
        <v>4173954612012905.5</v>
      </c>
      <c r="GQY28" s="160">
        <f t="shared" ref="GQY28" si="2596">GQW28*$C$28</f>
        <v>4215694158133034.5</v>
      </c>
      <c r="GRA28" s="160">
        <f t="shared" ref="GRA28" si="2597">GQY28*$C$28</f>
        <v>4257851099714365</v>
      </c>
      <c r="GRC28" s="160">
        <f t="shared" ref="GRC28" si="2598">GRA28*$C$28</f>
        <v>4300429610711508.5</v>
      </c>
      <c r="GRE28" s="160">
        <f t="shared" ref="GRE28" si="2599">GRC28*$C$28</f>
        <v>4343433906818623.5</v>
      </c>
      <c r="GRG28" s="160">
        <f t="shared" ref="GRG28" si="2600">GRE28*$C$28</f>
        <v>4386868245886810</v>
      </c>
      <c r="GRI28" s="160">
        <f t="shared" ref="GRI28" si="2601">GRG28*$C$28</f>
        <v>4430736928345678</v>
      </c>
      <c r="GRK28" s="160">
        <f t="shared" ref="GRK28" si="2602">GRI28*$C$28</f>
        <v>4475044297629135</v>
      </c>
      <c r="GRM28" s="160">
        <f t="shared" ref="GRM28" si="2603">GRK28*$C$28</f>
        <v>4519794740605426</v>
      </c>
      <c r="GRO28" s="160">
        <f t="shared" ref="GRO28" si="2604">GRM28*$C$28</f>
        <v>4564992688011480</v>
      </c>
      <c r="GRQ28" s="160">
        <f t="shared" ref="GRQ28" si="2605">GRO28*$C$28</f>
        <v>4610642614891595</v>
      </c>
      <c r="GRS28" s="160">
        <f t="shared" ref="GRS28" si="2606">GRQ28*$C$28</f>
        <v>4656749041040511</v>
      </c>
      <c r="GRU28" s="160">
        <f t="shared" ref="GRU28" si="2607">GRS28*$C$28</f>
        <v>4703316531450916</v>
      </c>
      <c r="GRW28" s="160">
        <f t="shared" ref="GRW28" si="2608">GRU28*$C$28</f>
        <v>4750349696765425</v>
      </c>
      <c r="GRY28" s="160">
        <f t="shared" ref="GRY28" si="2609">GRW28*$C$28</f>
        <v>4797853193733079</v>
      </c>
      <c r="GSA28" s="160">
        <f t="shared" ref="GSA28" si="2610">GRY28*$C$28</f>
        <v>4845831725670410</v>
      </c>
      <c r="GSC28" s="160">
        <f t="shared" ref="GSC28" si="2611">GSA28*$C$28</f>
        <v>4894290042927114</v>
      </c>
      <c r="GSE28" s="160">
        <f t="shared" ref="GSE28" si="2612">GSC28*$C$28</f>
        <v>4943232943356385</v>
      </c>
      <c r="GSG28" s="160">
        <f t="shared" ref="GSG28" si="2613">GSE28*$C$28</f>
        <v>4992665272789949</v>
      </c>
      <c r="GSI28" s="160">
        <f t="shared" ref="GSI28" si="2614">GSG28*$C$28</f>
        <v>5042591925517849</v>
      </c>
      <c r="GSK28" s="160">
        <f t="shared" ref="GSK28" si="2615">GSI28*$C$28</f>
        <v>5093017844773028</v>
      </c>
      <c r="GSM28" s="160">
        <f t="shared" ref="GSM28" si="2616">GSK28*$C$28</f>
        <v>5143948023220758</v>
      </c>
      <c r="GSO28" s="160">
        <f t="shared" ref="GSO28" si="2617">GSM28*$C$28</f>
        <v>5195387503452966</v>
      </c>
      <c r="GSQ28" s="160">
        <f t="shared" ref="GSQ28" si="2618">GSO28*$C$28</f>
        <v>5247341378487496</v>
      </c>
      <c r="GSS28" s="160">
        <f t="shared" ref="GSS28" si="2619">GSQ28*$C$28</f>
        <v>5299814792272371</v>
      </c>
      <c r="GSU28" s="160">
        <f t="shared" ref="GSU28" si="2620">GSS28*$C$28</f>
        <v>5352812940195095</v>
      </c>
      <c r="GSW28" s="160">
        <f t="shared" ref="GSW28" si="2621">GSU28*$C$28</f>
        <v>5406341069597046</v>
      </c>
      <c r="GSY28" s="160">
        <f t="shared" ref="GSY28" si="2622">GSW28*$C$28</f>
        <v>5460404480293017</v>
      </c>
      <c r="GTA28" s="160">
        <f t="shared" ref="GTA28" si="2623">GSY28*$C$28</f>
        <v>5515008525095947</v>
      </c>
      <c r="GTC28" s="160">
        <f t="shared" ref="GTC28" si="2624">GTA28*$C$28</f>
        <v>5570158610346907</v>
      </c>
      <c r="GTE28" s="160">
        <f t="shared" ref="GTE28" si="2625">GTC28*$C$28</f>
        <v>5625860196450376</v>
      </c>
      <c r="GTG28" s="160">
        <f t="shared" ref="GTG28" si="2626">GTE28*$C$28</f>
        <v>5682118798414880</v>
      </c>
      <c r="GTI28" s="160">
        <f t="shared" ref="GTI28" si="2627">GTG28*$C$28</f>
        <v>5738939986399029</v>
      </c>
      <c r="GTK28" s="160">
        <f t="shared" ref="GTK28" si="2628">GTI28*$C$28</f>
        <v>5796329386263019</v>
      </c>
      <c r="GTM28" s="160">
        <f t="shared" ref="GTM28" si="2629">GTK28*$C$28</f>
        <v>5854292680125649</v>
      </c>
      <c r="GTO28" s="160">
        <f t="shared" ref="GTO28" si="2630">GTM28*$C$28</f>
        <v>5912835606926906</v>
      </c>
      <c r="GTQ28" s="160">
        <f t="shared" ref="GTQ28" si="2631">GTO28*$C$28</f>
        <v>5971963962996175</v>
      </c>
      <c r="GTS28" s="160">
        <f t="shared" ref="GTS28" si="2632">GTQ28*$C$28</f>
        <v>6031683602626137</v>
      </c>
      <c r="GTU28" s="160">
        <f t="shared" ref="GTU28" si="2633">GTS28*$C$28</f>
        <v>6092000438652398</v>
      </c>
      <c r="GTW28" s="160">
        <f t="shared" ref="GTW28" si="2634">GTU28*$C$28</f>
        <v>6152920443038922</v>
      </c>
      <c r="GTY28" s="160">
        <f t="shared" ref="GTY28" si="2635">GTW28*$C$28</f>
        <v>6214449647469311</v>
      </c>
      <c r="GUA28" s="160">
        <f t="shared" ref="GUA28" si="2636">GTY28*$C$28</f>
        <v>6276594143944004</v>
      </c>
      <c r="GUC28" s="160">
        <f t="shared" ref="GUC28" si="2637">GUA28*$C$28</f>
        <v>6339360085383444</v>
      </c>
      <c r="GUE28" s="160">
        <f t="shared" ref="GUE28" si="2638">GUC28*$C$28</f>
        <v>6402753686237278</v>
      </c>
      <c r="GUG28" s="160">
        <f t="shared" ref="GUG28" si="2639">GUE28*$C$28</f>
        <v>6466781223099651</v>
      </c>
      <c r="GUI28" s="160">
        <f t="shared" ref="GUI28" si="2640">GUG28*$C$28</f>
        <v>6531449035330648</v>
      </c>
      <c r="GUK28" s="160">
        <f t="shared" ref="GUK28" si="2641">GUI28*$C$28</f>
        <v>6596763525683955</v>
      </c>
      <c r="GUM28" s="160">
        <f t="shared" ref="GUM28" si="2642">GUK28*$C$28</f>
        <v>6662731160940795</v>
      </c>
      <c r="GUO28" s="160">
        <f t="shared" ref="GUO28" si="2643">GUM28*$C$28</f>
        <v>6729358472550203</v>
      </c>
      <c r="GUQ28" s="160">
        <f t="shared" ref="GUQ28" si="2644">GUO28*$C$28</f>
        <v>6796652057275705</v>
      </c>
      <c r="GUS28" s="160">
        <f t="shared" ref="GUS28" si="2645">GUQ28*$C$28</f>
        <v>6864618577848462</v>
      </c>
      <c r="GUU28" s="160">
        <f t="shared" ref="GUU28" si="2646">GUS28*$C$28</f>
        <v>6933264763626947</v>
      </c>
      <c r="GUW28" s="160">
        <f t="shared" ref="GUW28" si="2647">GUU28*$C$28</f>
        <v>7002597411263217</v>
      </c>
      <c r="GUY28" s="160">
        <f t="shared" ref="GUY28" si="2648">GUW28*$C$28</f>
        <v>7072623385375849</v>
      </c>
      <c r="GVA28" s="160">
        <f t="shared" ref="GVA28" si="2649">GUY28*$C$28</f>
        <v>7143349619229608</v>
      </c>
      <c r="GVC28" s="160">
        <f t="shared" ref="GVC28" si="2650">GVA28*$C$28</f>
        <v>7214783115421904</v>
      </c>
      <c r="GVE28" s="160">
        <f t="shared" ref="GVE28" si="2651">GVC28*$C$28</f>
        <v>7286930946576123</v>
      </c>
      <c r="GVG28" s="160">
        <f t="shared" ref="GVG28" si="2652">GVE28*$C$28</f>
        <v>7359800256041884</v>
      </c>
      <c r="GVI28" s="160">
        <f t="shared" ref="GVI28" si="2653">GVG28*$C$28</f>
        <v>7433398258602303</v>
      </c>
      <c r="GVK28" s="160">
        <f t="shared" ref="GVK28" si="2654">GVI28*$C$28</f>
        <v>7507732241188326</v>
      </c>
      <c r="GVM28" s="160">
        <f t="shared" ref="GVM28" si="2655">GVK28*$C$28</f>
        <v>7582809563600209</v>
      </c>
      <c r="GVO28" s="160">
        <f t="shared" ref="GVO28" si="2656">GVM28*$C$28</f>
        <v>7658637659236211</v>
      </c>
      <c r="GVQ28" s="160">
        <f t="shared" ref="GVQ28" si="2657">GVO28*$C$28</f>
        <v>7735224035828573</v>
      </c>
      <c r="GVS28" s="160">
        <f t="shared" ref="GVS28" si="2658">GVQ28*$C$28</f>
        <v>7812576276186859</v>
      </c>
      <c r="GVU28" s="160">
        <f t="shared" ref="GVU28" si="2659">GVS28*$C$28</f>
        <v>7890702038948728</v>
      </c>
      <c r="GVW28" s="160">
        <f t="shared" ref="GVW28" si="2660">GVU28*$C$28</f>
        <v>7969609059338215</v>
      </c>
      <c r="GVY28" s="160">
        <f t="shared" ref="GVY28" si="2661">GVW28*$C$28</f>
        <v>8049305149931597</v>
      </c>
      <c r="GWA28" s="160">
        <f t="shared" ref="GWA28" si="2662">GVY28*$C$28</f>
        <v>8129798201430913</v>
      </c>
      <c r="GWC28" s="160">
        <f t="shared" ref="GWC28" si="2663">GWA28*$C$28</f>
        <v>8211096183445222</v>
      </c>
      <c r="GWE28" s="160">
        <f t="shared" ref="GWE28" si="2664">GWC28*$C$28</f>
        <v>8293207145279674</v>
      </c>
      <c r="GWG28" s="160">
        <f t="shared" ref="GWG28" si="2665">GWE28*$C$28</f>
        <v>8376139216732471</v>
      </c>
      <c r="GWI28" s="160">
        <f t="shared" ref="GWI28" si="2666">GWG28*$C$28</f>
        <v>8459900608899796</v>
      </c>
      <c r="GWK28" s="160">
        <f t="shared" ref="GWK28" si="2667">GWI28*$C$28</f>
        <v>8544499614988794</v>
      </c>
      <c r="GWM28" s="160">
        <f t="shared" ref="GWM28" si="2668">GWK28*$C$28</f>
        <v>8629944611138682</v>
      </c>
      <c r="GWO28" s="160">
        <f t="shared" ref="GWO28" si="2669">GWM28*$C$28</f>
        <v>8716244057250069</v>
      </c>
      <c r="GWQ28" s="160">
        <f t="shared" ref="GWQ28" si="2670">GWO28*$C$28</f>
        <v>8803406497822570</v>
      </c>
      <c r="GWS28" s="160">
        <f t="shared" ref="GWS28" si="2671">GWQ28*$C$28</f>
        <v>8891440562800796</v>
      </c>
      <c r="GWU28" s="160">
        <f t="shared" ref="GWU28" si="2672">GWS28*$C$28</f>
        <v>8980354968428804</v>
      </c>
      <c r="GWW28" s="160">
        <f t="shared" ref="GWW28" si="2673">GWU28*$C$28</f>
        <v>9070158518113092</v>
      </c>
      <c r="GWY28" s="160">
        <f t="shared" ref="GWY28" si="2674">GWW28*$C$28</f>
        <v>9160860103294224</v>
      </c>
      <c r="GXA28" s="160">
        <f t="shared" ref="GXA28" si="2675">GWY28*$C$28</f>
        <v>9252468704327166</v>
      </c>
      <c r="GXC28" s="160">
        <f t="shared" ref="GXC28" si="2676">GXA28*$C$28</f>
        <v>9344993391370438</v>
      </c>
      <c r="GXE28" s="160">
        <f t="shared" ref="GXE28" si="2677">GXC28*$C$28</f>
        <v>9438443325284142</v>
      </c>
      <c r="GXG28" s="160">
        <f t="shared" ref="GXG28" si="2678">GXE28*$C$28</f>
        <v>9532827758536984</v>
      </c>
      <c r="GXI28" s="160">
        <f t="shared" ref="GXI28" si="2679">GXG28*$C$28</f>
        <v>9628156036122354</v>
      </c>
      <c r="GXK28" s="160">
        <f t="shared" ref="GXK28" si="2680">GXI28*$C$28</f>
        <v>9724437596483578</v>
      </c>
      <c r="GXM28" s="160">
        <f t="shared" ref="GXM28" si="2681">GXK28*$C$28</f>
        <v>9821681972448414</v>
      </c>
      <c r="GXO28" s="160">
        <f t="shared" ref="GXO28" si="2682">GXM28*$C$28</f>
        <v>9919898792172898</v>
      </c>
      <c r="GXQ28" s="160">
        <f t="shared" ref="GXQ28" si="2683">GXO28*$C$28</f>
        <v>1.0019097780094628E+16</v>
      </c>
      <c r="GXS28" s="160">
        <f t="shared" ref="GXS28" si="2684">GXQ28*$C$28</f>
        <v>1.0119288757895574E+16</v>
      </c>
      <c r="GXU28" s="160">
        <f t="shared" ref="GXU28" si="2685">GXS28*$C$28</f>
        <v>1.022048164547453E+16</v>
      </c>
      <c r="GXW28" s="160">
        <f t="shared" ref="GXW28" si="2686">GXU28*$C$28</f>
        <v>1.0322686461929276E+16</v>
      </c>
      <c r="GXY28" s="160">
        <f t="shared" ref="GXY28" si="2687">GXW28*$C$28</f>
        <v>1.0425913326548568E+16</v>
      </c>
      <c r="GYA28" s="160">
        <f t="shared" ref="GYA28" si="2688">GXY28*$C$28</f>
        <v>1.0530172459814054E+16</v>
      </c>
      <c r="GYC28" s="160">
        <f t="shared" ref="GYC28" si="2689">GYA28*$C$28</f>
        <v>1.0635474184412194E+16</v>
      </c>
      <c r="GYE28" s="160">
        <f t="shared" ref="GYE28" si="2690">GYC28*$C$28</f>
        <v>1.0741828926256316E+16</v>
      </c>
      <c r="GYG28" s="160">
        <f t="shared" ref="GYG28" si="2691">GYE28*$C$28</f>
        <v>1.084924721551888E+16</v>
      </c>
      <c r="GYI28" s="160">
        <f t="shared" ref="GYI28" si="2692">GYG28*$C$28</f>
        <v>1.0957739687674068E+16</v>
      </c>
      <c r="GYK28" s="160">
        <f t="shared" ref="GYK28" si="2693">GYI28*$C$28</f>
        <v>1.1067317084550808E+16</v>
      </c>
      <c r="GYM28" s="160">
        <f t="shared" ref="GYM28" si="2694">GYK28*$C$28</f>
        <v>1.1177990255396316E+16</v>
      </c>
      <c r="GYO28" s="160">
        <f t="shared" ref="GYO28" si="2695">GYM28*$C$28</f>
        <v>1.128977015795028E+16</v>
      </c>
      <c r="GYQ28" s="160">
        <f t="shared" ref="GYQ28" si="2696">GYO28*$C$28</f>
        <v>1.1402667859529782E+16</v>
      </c>
      <c r="GYS28" s="160">
        <f t="shared" ref="GYS28" si="2697">GYQ28*$C$28</f>
        <v>1.151669453812508E+16</v>
      </c>
      <c r="GYU28" s="160">
        <f t="shared" ref="GYU28" si="2698">GYS28*$C$28</f>
        <v>1.163186148350633E+16</v>
      </c>
      <c r="GYW28" s="160">
        <f t="shared" ref="GYW28" si="2699">GYU28*$C$28</f>
        <v>1.1748180098341394E+16</v>
      </c>
      <c r="GYY28" s="160">
        <f t="shared" ref="GYY28" si="2700">GYW28*$C$28</f>
        <v>1.1865661899324808E+16</v>
      </c>
      <c r="GZA28" s="160">
        <f t="shared" ref="GZA28" si="2701">GYY28*$C$28</f>
        <v>1.1984318518318056E+16</v>
      </c>
      <c r="GZC28" s="160">
        <f t="shared" ref="GZC28" si="2702">GZA28*$C$28</f>
        <v>1.2104161703501236E+16</v>
      </c>
      <c r="GZE28" s="160">
        <f t="shared" ref="GZE28" si="2703">GZC28*$C$28</f>
        <v>1.2225203320536248E+16</v>
      </c>
      <c r="GZG28" s="160">
        <f t="shared" ref="GZG28" si="2704">GZE28*$C$28</f>
        <v>1.234745535374161E+16</v>
      </c>
      <c r="GZI28" s="160">
        <f t="shared" ref="GZI28" si="2705">GZG28*$C$28</f>
        <v>1.2470929907279026E+16</v>
      </c>
      <c r="GZK28" s="160">
        <f t="shared" ref="GZK28" si="2706">GZI28*$C$28</f>
        <v>1.2595639206351816E+16</v>
      </c>
      <c r="GZM28" s="160">
        <f t="shared" ref="GZM28" si="2707">GZK28*$C$28</f>
        <v>1.2721595598415334E+16</v>
      </c>
      <c r="GZO28" s="160">
        <f t="shared" ref="GZO28" si="2708">GZM28*$C$28</f>
        <v>1.2848811554399488E+16</v>
      </c>
      <c r="GZQ28" s="160">
        <f t="shared" ref="GZQ28" si="2709">GZO28*$C$28</f>
        <v>1.2977299669943482E+16</v>
      </c>
      <c r="GZS28" s="160">
        <f t="shared" ref="GZS28" si="2710">GZQ28*$C$28</f>
        <v>1.3107072666642916E+16</v>
      </c>
      <c r="GZU28" s="160">
        <f t="shared" ref="GZU28" si="2711">GZS28*$C$28</f>
        <v>1.3238143393309346E+16</v>
      </c>
      <c r="GZW28" s="160">
        <f t="shared" ref="GZW28" si="2712">GZU28*$C$28</f>
        <v>1.337052482724244E+16</v>
      </c>
      <c r="GZY28" s="160">
        <f t="shared" ref="GZY28" si="2713">GZW28*$C$28</f>
        <v>1.3504230075514864E+16</v>
      </c>
      <c r="HAA28" s="160">
        <f t="shared" ref="HAA28" si="2714">GZY28*$C$28</f>
        <v>1.3639272376270012E+16</v>
      </c>
      <c r="HAC28" s="160">
        <f t="shared" ref="HAC28" si="2715">HAA28*$C$28</f>
        <v>1.3775665100032712E+16</v>
      </c>
      <c r="HAE28" s="160">
        <f t="shared" ref="HAE28" si="2716">HAC28*$C$28</f>
        <v>1.391342175103304E+16</v>
      </c>
      <c r="HAG28" s="160">
        <f t="shared" ref="HAG28" si="2717">HAE28*$C$28</f>
        <v>1.405255596854337E+16</v>
      </c>
      <c r="HAI28" s="160">
        <f t="shared" ref="HAI28" si="2718">HAG28*$C$28</f>
        <v>1.4193081528228804E+16</v>
      </c>
      <c r="HAK28" s="160">
        <f t="shared" ref="HAK28" si="2719">HAI28*$C$28</f>
        <v>1.4335012343511092E+16</v>
      </c>
      <c r="HAM28" s="160">
        <f t="shared" ref="HAM28" si="2720">HAK28*$C$28</f>
        <v>1.4478362466946204E+16</v>
      </c>
      <c r="HAO28" s="160">
        <f t="shared" ref="HAO28" si="2721">HAM28*$C$28</f>
        <v>1.4623146091615666E+16</v>
      </c>
      <c r="HAQ28" s="160">
        <f t="shared" ref="HAQ28" si="2722">HAO28*$C$28</f>
        <v>1.4769377552531822E+16</v>
      </c>
      <c r="HAS28" s="160">
        <f t="shared" ref="HAS28" si="2723">HAQ28*$C$28</f>
        <v>1.491707132805714E+16</v>
      </c>
      <c r="HAU28" s="160">
        <f t="shared" ref="HAU28" si="2724">HAS28*$C$28</f>
        <v>1.5066242041337712E+16</v>
      </c>
      <c r="HAW28" s="160">
        <f t="shared" ref="HAW28" si="2725">HAU28*$C$28</f>
        <v>1.521690446175109E+16</v>
      </c>
      <c r="HAY28" s="160">
        <f t="shared" ref="HAY28" si="2726">HAW28*$C$28</f>
        <v>1.5369073506368602E+16</v>
      </c>
      <c r="HBA28" s="160">
        <f t="shared" ref="HBA28" si="2727">HAY28*$C$28</f>
        <v>1.5522764241432288E+16</v>
      </c>
      <c r="HBC28" s="160">
        <f t="shared" ref="HBC28" si="2728">HBA28*$C$28</f>
        <v>1.5677991883846612E+16</v>
      </c>
      <c r="HBE28" s="160">
        <f t="shared" ref="HBE28" si="2729">HBC28*$C$28</f>
        <v>1.5834771802685078E+16</v>
      </c>
      <c r="HBG28" s="160">
        <f t="shared" ref="HBG28" si="2730">HBE28*$C$28</f>
        <v>1.5993119520711928E+16</v>
      </c>
      <c r="HBI28" s="160">
        <f t="shared" ref="HBI28" si="2731">HBG28*$C$28</f>
        <v>1.6153050715919048E+16</v>
      </c>
      <c r="HBK28" s="160">
        <f t="shared" ref="HBK28" si="2732">HBI28*$C$28</f>
        <v>1.6314581223078238E+16</v>
      </c>
      <c r="HBM28" s="160">
        <f t="shared" ref="HBM28" si="2733">HBK28*$C$28</f>
        <v>1.647772703530902E+16</v>
      </c>
      <c r="HBO28" s="160">
        <f t="shared" ref="HBO28" si="2734">HBM28*$C$28</f>
        <v>1.664250430566211E+16</v>
      </c>
      <c r="HBQ28" s="160">
        <f t="shared" ref="HBQ28" si="2735">HBO28*$C$28</f>
        <v>1.6808929348718732E+16</v>
      </c>
      <c r="HBS28" s="160">
        <f t="shared" ref="HBS28" si="2736">HBQ28*$C$28</f>
        <v>1.697701864220592E+16</v>
      </c>
      <c r="HBU28" s="160">
        <f t="shared" ref="HBU28" si="2737">HBS28*$C$28</f>
        <v>1.714678882862798E+16</v>
      </c>
      <c r="HBW28" s="160">
        <f t="shared" ref="HBW28" si="2738">HBU28*$C$28</f>
        <v>1.731825671691426E+16</v>
      </c>
      <c r="HBY28" s="160">
        <f t="shared" ref="HBY28" si="2739">HBW28*$C$28</f>
        <v>1.7491439284083402E+16</v>
      </c>
      <c r="HCA28" s="160">
        <f t="shared" ref="HCA28" si="2740">HBY28*$C$28</f>
        <v>1.7666353676924236E+16</v>
      </c>
      <c r="HCC28" s="160">
        <f t="shared" ref="HCC28" si="2741">HCA28*$C$28</f>
        <v>1.7843017213693478E+16</v>
      </c>
      <c r="HCE28" s="160">
        <f t="shared" ref="HCE28" si="2742">HCC28*$C$28</f>
        <v>1.8021447385830412E+16</v>
      </c>
      <c r="HCG28" s="160">
        <f t="shared" ref="HCG28" si="2743">HCE28*$C$28</f>
        <v>1.8201661859688716E+16</v>
      </c>
      <c r="HCI28" s="160">
        <f t="shared" ref="HCI28" si="2744">HCG28*$C$28</f>
        <v>1.8383678478285604E+16</v>
      </c>
      <c r="HCK28" s="160">
        <f t="shared" ref="HCK28" si="2745">HCI28*$C$28</f>
        <v>1.856751526306846E+16</v>
      </c>
      <c r="HCM28" s="160">
        <f t="shared" ref="HCM28" si="2746">HCK28*$C$28</f>
        <v>1.8753190415699144E+16</v>
      </c>
      <c r="HCO28" s="160">
        <f t="shared" ref="HCO28" si="2747">HCM28*$C$28</f>
        <v>1.8940722319856136E+16</v>
      </c>
      <c r="HCQ28" s="160">
        <f t="shared" ref="HCQ28" si="2748">HCO28*$C$28</f>
        <v>1.9130129543054696E+16</v>
      </c>
      <c r="HCS28" s="160">
        <f t="shared" ref="HCS28" si="2749">HCQ28*$C$28</f>
        <v>1.9321430838485244E+16</v>
      </c>
      <c r="HCU28" s="160">
        <f t="shared" ref="HCU28" si="2750">HCS28*$C$28</f>
        <v>1.9514645146870096E+16</v>
      </c>
      <c r="HCW28" s="160">
        <f t="shared" ref="HCW28" si="2751">HCU28*$C$28</f>
        <v>1.9709791598338796E+16</v>
      </c>
      <c r="HCY28" s="160">
        <f t="shared" ref="HCY28" si="2752">HCW28*$C$28</f>
        <v>1.9906889514322184E+16</v>
      </c>
      <c r="HDA28" s="160">
        <f t="shared" ref="HDA28" si="2753">HCY28*$C$28</f>
        <v>2.0105958409465408E+16</v>
      </c>
      <c r="HDC28" s="160">
        <f t="shared" ref="HDC28" si="2754">HDA28*$C$28</f>
        <v>2.0307017993560064E+16</v>
      </c>
      <c r="HDE28" s="160">
        <f t="shared" ref="HDE28" si="2755">HDC28*$C$28</f>
        <v>2.0510088173495664E+16</v>
      </c>
      <c r="HDG28" s="160">
        <f t="shared" ref="HDG28" si="2756">HDE28*$C$28</f>
        <v>2.071518905523062E+16</v>
      </c>
      <c r="HDI28" s="160">
        <f t="shared" ref="HDI28" si="2757">HDG28*$C$28</f>
        <v>2.0922340945782928E+16</v>
      </c>
      <c r="HDK28" s="160">
        <f t="shared" ref="HDK28" si="2758">HDI28*$C$28</f>
        <v>2.1131564355240756E+16</v>
      </c>
      <c r="HDM28" s="160">
        <f t="shared" ref="HDM28" si="2759">HDK28*$C$28</f>
        <v>2.1342879998793164E+16</v>
      </c>
      <c r="HDO28" s="160">
        <f t="shared" ref="HDO28" si="2760">HDM28*$C$28</f>
        <v>2.1556308798781096E+16</v>
      </c>
      <c r="HDQ28" s="160">
        <f t="shared" ref="HDQ28" si="2761">HDO28*$C$28</f>
        <v>2.1771871886768908E+16</v>
      </c>
      <c r="HDS28" s="160">
        <f t="shared" ref="HDS28" si="2762">HDQ28*$C$28</f>
        <v>2.1989590605636596E+16</v>
      </c>
      <c r="HDU28" s="160">
        <f t="shared" ref="HDU28" si="2763">HDS28*$C$28</f>
        <v>2.2209486511692964E+16</v>
      </c>
      <c r="HDW28" s="160">
        <f t="shared" ref="HDW28" si="2764">HDU28*$C$28</f>
        <v>2.2431581376809892E+16</v>
      </c>
      <c r="HDY28" s="160">
        <f t="shared" ref="HDY28" si="2765">HDW28*$C$28</f>
        <v>2.2655897190577992E+16</v>
      </c>
      <c r="HEA28" s="160">
        <f t="shared" ref="HEA28" si="2766">HDY28*$C$28</f>
        <v>2.2882456162483772E+16</v>
      </c>
      <c r="HEC28" s="160">
        <f t="shared" ref="HEC28" si="2767">HEA28*$C$28</f>
        <v>2.3111280724108608E+16</v>
      </c>
      <c r="HEE28" s="160">
        <f t="shared" ref="HEE28" si="2768">HEC28*$C$28</f>
        <v>2.3342393531349696E+16</v>
      </c>
      <c r="HEG28" s="160">
        <f t="shared" ref="HEG28" si="2769">HEE28*$C$28</f>
        <v>2.3575817466663192E+16</v>
      </c>
      <c r="HEI28" s="160">
        <f t="shared" ref="HEI28" si="2770">HEG28*$C$28</f>
        <v>2.3811575641329824E+16</v>
      </c>
      <c r="HEK28" s="160">
        <f t="shared" ref="HEK28" si="2771">HEI28*$C$28</f>
        <v>2.4049691397743124E+16</v>
      </c>
      <c r="HEM28" s="160">
        <f t="shared" ref="HEM28" si="2772">HEK28*$C$28</f>
        <v>2.4290188311720556E+16</v>
      </c>
      <c r="HEO28" s="160">
        <f t="shared" ref="HEO28" si="2773">HEM28*$C$28</f>
        <v>2.453309019483776E+16</v>
      </c>
      <c r="HEQ28" s="160">
        <f t="shared" ref="HEQ28" si="2774">HEO28*$C$28</f>
        <v>2.4778421096786136E+16</v>
      </c>
      <c r="HES28" s="160">
        <f t="shared" ref="HES28" si="2775">HEQ28*$C$28</f>
        <v>2.5026205307753996E+16</v>
      </c>
      <c r="HEU28" s="160">
        <f t="shared" ref="HEU28" si="2776">HES28*$C$28</f>
        <v>2.5276467360831536E+16</v>
      </c>
      <c r="HEW28" s="160">
        <f t="shared" ref="HEW28" si="2777">HEU28*$C$28</f>
        <v>2.5529232034439852E+16</v>
      </c>
      <c r="HEY28" s="160">
        <f t="shared" ref="HEY28" si="2778">HEW28*$C$28</f>
        <v>2.5784524354784252E+16</v>
      </c>
      <c r="HFA28" s="160">
        <f t="shared" ref="HFA28" si="2779">HEY28*$C$28</f>
        <v>2.6042369598332096E+16</v>
      </c>
      <c r="HFC28" s="160">
        <f t="shared" ref="HFC28" si="2780">HFA28*$C$28</f>
        <v>2.6302793294315416E+16</v>
      </c>
      <c r="HFE28" s="160">
        <f t="shared" ref="HFE28" si="2781">HFC28*$C$28</f>
        <v>2.6565821227258572E+16</v>
      </c>
      <c r="HFG28" s="160">
        <f t="shared" ref="HFG28" si="2782">HFE28*$C$28</f>
        <v>2.6831479439531156E+16</v>
      </c>
      <c r="HFI28" s="160">
        <f t="shared" ref="HFI28" si="2783">HFG28*$C$28</f>
        <v>2.7099794233926468E+16</v>
      </c>
      <c r="HFK28" s="160">
        <f t="shared" ref="HFK28" si="2784">HFI28*$C$28</f>
        <v>2.7370792176265732E+16</v>
      </c>
      <c r="HFM28" s="160">
        <f t="shared" ref="HFM28" si="2785">HFK28*$C$28</f>
        <v>2.7644500098028388E+16</v>
      </c>
      <c r="HFO28" s="160">
        <f t="shared" ref="HFO28" si="2786">HFM28*$C$28</f>
        <v>2.7920945099008672E+16</v>
      </c>
      <c r="HFQ28" s="160">
        <f t="shared" ref="HFQ28" si="2787">HFO28*$C$28</f>
        <v>2.820015454999876E+16</v>
      </c>
      <c r="HFS28" s="160">
        <f t="shared" ref="HFS28" si="2788">HFQ28*$C$28</f>
        <v>2.8482156095498748E+16</v>
      </c>
      <c r="HFU28" s="160">
        <f t="shared" ref="HFU28" si="2789">HFS28*$C$28</f>
        <v>2.8766977656453736E+16</v>
      </c>
      <c r="HFW28" s="160">
        <f t="shared" ref="HFW28" si="2790">HFU28*$C$28</f>
        <v>2.9054647433018272E+16</v>
      </c>
      <c r="HFY28" s="160">
        <f t="shared" ref="HFY28" si="2791">HFW28*$C$28</f>
        <v>2.9345193907348456E+16</v>
      </c>
      <c r="HGA28" s="160">
        <f t="shared" ref="HGA28" si="2792">HFY28*$C$28</f>
        <v>2.963864584642194E+16</v>
      </c>
      <c r="HGC28" s="160">
        <f t="shared" ref="HGC28" si="2793">HGA28*$C$28</f>
        <v>2.993503230488616E+16</v>
      </c>
      <c r="HGE28" s="160">
        <f t="shared" ref="HGE28" si="2794">HGC28*$C$28</f>
        <v>3.023438262793502E+16</v>
      </c>
      <c r="HGG28" s="160">
        <f t="shared" ref="HGG28" si="2795">HGE28*$C$28</f>
        <v>3.0536726454214372E+16</v>
      </c>
      <c r="HGI28" s="160">
        <f t="shared" ref="HGI28" si="2796">HGG28*$C$28</f>
        <v>3.0842093718756516E+16</v>
      </c>
      <c r="HGK28" s="160">
        <f t="shared" ref="HGK28" si="2797">HGI28*$C$28</f>
        <v>3.115051465594408E+16</v>
      </c>
      <c r="HGM28" s="160">
        <f t="shared" ref="HGM28" si="2798">HGK28*$C$28</f>
        <v>3.146201980250352E+16</v>
      </c>
      <c r="HGO28" s="160">
        <f t="shared" ref="HGO28" si="2799">HGM28*$C$28</f>
        <v>3.1776640000528556E+16</v>
      </c>
      <c r="HGQ28" s="160">
        <f t="shared" ref="HGQ28" si="2800">HGO28*$C$28</f>
        <v>3.209440640053384E+16</v>
      </c>
      <c r="HGS28" s="160">
        <f t="shared" ref="HGS28" si="2801">HGQ28*$C$28</f>
        <v>3.241535046453918E+16</v>
      </c>
      <c r="HGU28" s="160">
        <f t="shared" ref="HGU28" si="2802">HGS28*$C$28</f>
        <v>3.2739503969184572E+16</v>
      </c>
      <c r="HGW28" s="160">
        <f t="shared" ref="HGW28" si="2803">HGU28*$C$28</f>
        <v>3.306689900887642E+16</v>
      </c>
      <c r="HGY28" s="160">
        <f t="shared" ref="HGY28" si="2804">HGW28*$C$28</f>
        <v>3.3397567998965184E+16</v>
      </c>
      <c r="HHA28" s="160">
        <f t="shared" ref="HHA28" si="2805">HGY28*$C$28</f>
        <v>3.3731543678954836E+16</v>
      </c>
      <c r="HHC28" s="160">
        <f t="shared" ref="HHC28" si="2806">HHA28*$C$28</f>
        <v>3.4068859115744384E+16</v>
      </c>
      <c r="HHE28" s="160">
        <f t="shared" ref="HHE28" si="2807">HHC28*$C$28</f>
        <v>3.4409547706901828E+16</v>
      </c>
      <c r="HHG28" s="160">
        <f t="shared" ref="HHG28" si="2808">HHE28*$C$28</f>
        <v>3.4753643183970848E+16</v>
      </c>
      <c r="HHI28" s="160">
        <f t="shared" ref="HHI28" si="2809">HHG28*$C$28</f>
        <v>3.5101179615810556E+16</v>
      </c>
      <c r="HHK28" s="160">
        <f t="shared" ref="HHK28" si="2810">HHI28*$C$28</f>
        <v>3.545219141196866E+16</v>
      </c>
      <c r="HHM28" s="160">
        <f t="shared" ref="HHM28" si="2811">HHK28*$C$28</f>
        <v>3.5806713326088348E+16</v>
      </c>
      <c r="HHO28" s="160">
        <f t="shared" ref="HHO28" si="2812">HHM28*$C$28</f>
        <v>3.6164780459349232E+16</v>
      </c>
      <c r="HHQ28" s="160">
        <f t="shared" ref="HHQ28" si="2813">HHO28*$C$28</f>
        <v>3.6526428263942728E+16</v>
      </c>
      <c r="HHS28" s="160">
        <f t="shared" ref="HHS28" si="2814">HHQ28*$C$28</f>
        <v>3.6891692546582152E+16</v>
      </c>
      <c r="HHU28" s="160">
        <f t="shared" ref="HHU28" si="2815">HHS28*$C$28</f>
        <v>3.7260609472047976E+16</v>
      </c>
      <c r="HHW28" s="160">
        <f t="shared" ref="HHW28" si="2816">HHU28*$C$28</f>
        <v>3.7633215566768456E+16</v>
      </c>
      <c r="HHY28" s="160">
        <f t="shared" ref="HHY28" si="2817">HHW28*$C$28</f>
        <v>3.8009547722436144E+16</v>
      </c>
      <c r="HIA28" s="160">
        <f t="shared" ref="HIA28" si="2818">HHY28*$C$28</f>
        <v>3.8389643199660504E+16</v>
      </c>
      <c r="HIC28" s="160">
        <f t="shared" ref="HIC28" si="2819">HIA28*$C$28</f>
        <v>3.8773539631657112E+16</v>
      </c>
      <c r="HIE28" s="160">
        <f t="shared" ref="HIE28" si="2820">HIC28*$C$28</f>
        <v>3.916127502797368E+16</v>
      </c>
      <c r="HIG28" s="160">
        <f t="shared" ref="HIG28" si="2821">HIE28*$C$28</f>
        <v>3.9552887778253416E+16</v>
      </c>
      <c r="HII28" s="160">
        <f t="shared" ref="HII28" si="2822">HIG28*$C$28</f>
        <v>3.9948416656035952E+16</v>
      </c>
      <c r="HIK28" s="160">
        <f t="shared" ref="HIK28" si="2823">HII28*$C$28</f>
        <v>4.0347900822596312E+16</v>
      </c>
      <c r="HIM28" s="160">
        <f t="shared" ref="HIM28" si="2824">HIK28*$C$28</f>
        <v>4.0751379830822272E+16</v>
      </c>
      <c r="HIO28" s="160">
        <f t="shared" ref="HIO28" si="2825">HIM28*$C$28</f>
        <v>4.1158893629130496E+16</v>
      </c>
      <c r="HIQ28" s="160">
        <f t="shared" ref="HIQ28" si="2826">HIO28*$C$28</f>
        <v>4.15704825654218E+16</v>
      </c>
      <c r="HIS28" s="160">
        <f t="shared" ref="HIS28" si="2827">HIQ28*$C$28</f>
        <v>4.1986187391076016E+16</v>
      </c>
      <c r="HIU28" s="160">
        <f t="shared" ref="HIU28" si="2828">HIS28*$C$28</f>
        <v>4.2406049264986776E+16</v>
      </c>
      <c r="HIW28" s="160">
        <f t="shared" ref="HIW28" si="2829">HIU28*$C$28</f>
        <v>4.2830109757636648E+16</v>
      </c>
      <c r="HIY28" s="160">
        <f t="shared" ref="HIY28" si="2830">HIW28*$C$28</f>
        <v>4.3258410855213016E+16</v>
      </c>
      <c r="HJA28" s="160">
        <f t="shared" ref="HJA28" si="2831">HIY28*$C$28</f>
        <v>4.3690994963765144E+16</v>
      </c>
      <c r="HJC28" s="160">
        <f t="shared" ref="HJC28" si="2832">HJA28*$C$28</f>
        <v>4.4127904913402792E+16</v>
      </c>
      <c r="HJE28" s="160">
        <f t="shared" ref="HJE28" si="2833">HJC28*$C$28</f>
        <v>4.4569183962536824E+16</v>
      </c>
      <c r="HJG28" s="160">
        <f t="shared" ref="HJG28" si="2834">HJE28*$C$28</f>
        <v>4.5014875802162192E+16</v>
      </c>
      <c r="HJI28" s="160">
        <f t="shared" ref="HJI28" si="2835">HJG28*$C$28</f>
        <v>4.5465024560183816E+16</v>
      </c>
      <c r="HJK28" s="160">
        <f t="shared" ref="HJK28" si="2836">HJI28*$C$28</f>
        <v>4.5919674805785656E+16</v>
      </c>
      <c r="HJM28" s="160">
        <f t="shared" ref="HJM28" si="2837">HJK28*$C$28</f>
        <v>4.6378871553843512E+16</v>
      </c>
      <c r="HJO28" s="160">
        <f t="shared" ref="HJO28" si="2838">HJM28*$C$28</f>
        <v>4.6842660269381944E+16</v>
      </c>
      <c r="HJQ28" s="160">
        <f t="shared" ref="HJQ28" si="2839">HJO28*$C$28</f>
        <v>4.731108687207576E+16</v>
      </c>
      <c r="HJS28" s="160">
        <f t="shared" ref="HJS28" si="2840">HJQ28*$C$28</f>
        <v>4.778419774079652E+16</v>
      </c>
      <c r="HJU28" s="160">
        <f t="shared" ref="HJU28" si="2841">HJS28*$C$28</f>
        <v>4.8262039718204488E+16</v>
      </c>
      <c r="HJW28" s="160">
        <f t="shared" ref="HJW28" si="2842">HJU28*$C$28</f>
        <v>4.8744660115386536E+16</v>
      </c>
      <c r="HJY28" s="160">
        <f t="shared" ref="HJY28" si="2843">HJW28*$C$28</f>
        <v>4.92321067165404E+16</v>
      </c>
      <c r="HKA28" s="160">
        <f t="shared" ref="HKA28" si="2844">HJY28*$C$28</f>
        <v>4.9724427783705808E+16</v>
      </c>
      <c r="HKC28" s="160">
        <f t="shared" ref="HKC28" si="2845">HKA28*$C$28</f>
        <v>5.0221672061542864E+16</v>
      </c>
      <c r="HKE28" s="160">
        <f t="shared" ref="HKE28" si="2846">HKC28*$C$28</f>
        <v>5.0723888782158296E+16</v>
      </c>
      <c r="HKG28" s="160">
        <f t="shared" ref="HKG28" si="2847">HKE28*$C$28</f>
        <v>5.123112766997988E+16</v>
      </c>
      <c r="HKI28" s="160">
        <f t="shared" ref="HKI28" si="2848">HKG28*$C$28</f>
        <v>5.174343894667968E+16</v>
      </c>
      <c r="HKK28" s="160">
        <f t="shared" ref="HKK28" si="2849">HKI28*$C$28</f>
        <v>5.226087333614648E+16</v>
      </c>
      <c r="HKM28" s="160">
        <f t="shared" ref="HKM28" si="2850">HKK28*$C$28</f>
        <v>5.2783482069507944E+16</v>
      </c>
      <c r="HKO28" s="160">
        <f t="shared" ref="HKO28" si="2851">HKM28*$C$28</f>
        <v>5.3311316890203024E+16</v>
      </c>
      <c r="HKQ28" s="160">
        <f t="shared" ref="HKQ28" si="2852">HKO28*$C$28</f>
        <v>5.3844430059105056E+16</v>
      </c>
      <c r="HKS28" s="160">
        <f t="shared" ref="HKS28" si="2853">HKQ28*$C$28</f>
        <v>5.4382874359696104E+16</v>
      </c>
      <c r="HKU28" s="160">
        <f t="shared" ref="HKU28" si="2854">HKS28*$C$28</f>
        <v>5.4926703103293064E+16</v>
      </c>
      <c r="HKW28" s="160">
        <f t="shared" ref="HKW28" si="2855">HKU28*$C$28</f>
        <v>5.5475970134325992E+16</v>
      </c>
      <c r="HKY28" s="160">
        <f t="shared" ref="HKY28" si="2856">HKW28*$C$28</f>
        <v>5.6030729835669256E+16</v>
      </c>
      <c r="HLA28" s="160">
        <f t="shared" ref="HLA28" si="2857">HKY28*$C$28</f>
        <v>5.6591037134025952E+16</v>
      </c>
      <c r="HLC28" s="160">
        <f t="shared" ref="HLC28" si="2858">HLA28*$C$28</f>
        <v>5.7156947505366216E+16</v>
      </c>
      <c r="HLE28" s="160">
        <f t="shared" ref="HLE28" si="2859">HLC28*$C$28</f>
        <v>5.772851698041988E+16</v>
      </c>
      <c r="HLG28" s="160">
        <f t="shared" ref="HLG28" si="2860">HLE28*$C$28</f>
        <v>5.830580215022408E+16</v>
      </c>
      <c r="HLI28" s="160">
        <f t="shared" ref="HLI28" si="2861">HLG28*$C$28</f>
        <v>5.888886017172632E+16</v>
      </c>
      <c r="HLK28" s="160">
        <f t="shared" ref="HLK28" si="2862">HLI28*$C$28</f>
        <v>5.9477748773443584E+16</v>
      </c>
      <c r="HLM28" s="160">
        <f t="shared" ref="HLM28" si="2863">HLK28*$C$28</f>
        <v>6.0072526261178024E+16</v>
      </c>
      <c r="HLO28" s="160">
        <f t="shared" ref="HLO28" si="2864">HLM28*$C$28</f>
        <v>6.0673251523789808E+16</v>
      </c>
      <c r="HLQ28" s="160">
        <f t="shared" ref="HLQ28" si="2865">HLO28*$C$28</f>
        <v>6.1279984039027704E+16</v>
      </c>
      <c r="HLS28" s="160">
        <f t="shared" ref="HLS28" si="2866">HLQ28*$C$28</f>
        <v>6.1892783879417984E+16</v>
      </c>
      <c r="HLU28" s="160">
        <f t="shared" ref="HLU28" si="2867">HLS28*$C$28</f>
        <v>6.2511711718212168E+16</v>
      </c>
      <c r="HLW28" s="160">
        <f t="shared" ref="HLW28" si="2868">HLU28*$C$28</f>
        <v>6.3136828835394288E+16</v>
      </c>
      <c r="HLY28" s="160">
        <f t="shared" ref="HLY28" si="2869">HLW28*$C$28</f>
        <v>6.3768197123748232E+16</v>
      </c>
      <c r="HMA28" s="160">
        <f t="shared" ref="HMA28" si="2870">HLY28*$C$28</f>
        <v>6.4405879094985712E+16</v>
      </c>
      <c r="HMC28" s="160">
        <f t="shared" ref="HMC28" si="2871">HMA28*$C$28</f>
        <v>6.5049937885935568E+16</v>
      </c>
      <c r="HME28" s="160">
        <f t="shared" ref="HME28" si="2872">HMC28*$C$28</f>
        <v>6.5700437264794928E+16</v>
      </c>
      <c r="HMG28" s="160">
        <f t="shared" ref="HMG28" si="2873">HME28*$C$28</f>
        <v>6.635744163744288E+16</v>
      </c>
      <c r="HMI28" s="160">
        <f t="shared" ref="HMI28" si="2874">HMG28*$C$28</f>
        <v>6.7021016053817312E+16</v>
      </c>
      <c r="HMK28" s="160">
        <f t="shared" ref="HMK28" si="2875">HMI28*$C$28</f>
        <v>6.7691226214355488E+16</v>
      </c>
      <c r="HMM28" s="160">
        <f t="shared" ref="HMM28" si="2876">HMK28*$C$28</f>
        <v>6.836813847649904E+16</v>
      </c>
      <c r="HMO28" s="160">
        <f t="shared" ref="HMO28" si="2877">HMM28*$C$28</f>
        <v>6.9051819861264032E+16</v>
      </c>
      <c r="HMQ28" s="160">
        <f t="shared" ref="HMQ28" si="2878">HMO28*$C$28</f>
        <v>6.9742338059876672E+16</v>
      </c>
      <c r="HMS28" s="160">
        <f t="shared" ref="HMS28" si="2879">HMQ28*$C$28</f>
        <v>7.043976144047544E+16</v>
      </c>
      <c r="HMU28" s="160">
        <f t="shared" ref="HMU28" si="2880">HMS28*$C$28</f>
        <v>7.1144159054880192E+16</v>
      </c>
      <c r="HMW28" s="160">
        <f t="shared" ref="HMW28" si="2881">HMU28*$C$28</f>
        <v>7.1855600645428992E+16</v>
      </c>
      <c r="HMY28" s="160">
        <f t="shared" ref="HMY28" si="2882">HMW28*$C$28</f>
        <v>7.257415665188328E+16</v>
      </c>
      <c r="HNA28" s="160">
        <f t="shared" ref="HNA28" si="2883">HMY28*$C$28</f>
        <v>7.3299898218402112E+16</v>
      </c>
      <c r="HNC28" s="160">
        <f t="shared" ref="HNC28" si="2884">HNA28*$C$28</f>
        <v>7.4032897200586128E+16</v>
      </c>
      <c r="HNE28" s="160">
        <f t="shared" ref="HNE28" si="2885">HNC28*$C$28</f>
        <v>7.4773226172591984E+16</v>
      </c>
      <c r="HNG28" s="160">
        <f t="shared" ref="HNG28" si="2886">HNE28*$C$28</f>
        <v>7.5520958434317904E+16</v>
      </c>
      <c r="HNI28" s="160">
        <f t="shared" ref="HNI28" si="2887">HNG28*$C$28</f>
        <v>7.6276168018661088E+16</v>
      </c>
      <c r="HNK28" s="160">
        <f t="shared" ref="HNK28" si="2888">HNI28*$C$28</f>
        <v>7.7038929698847696E+16</v>
      </c>
      <c r="HNM28" s="160">
        <f t="shared" ref="HNM28" si="2889">HNK28*$C$28</f>
        <v>7.7809318995836176E+16</v>
      </c>
      <c r="HNO28" s="160">
        <f t="shared" ref="HNO28" si="2890">HNM28*$C$28</f>
        <v>7.8587412185794544E+16</v>
      </c>
      <c r="HNQ28" s="160">
        <f t="shared" ref="HNQ28" si="2891">HNO28*$C$28</f>
        <v>7.9373286307652496E+16</v>
      </c>
      <c r="HNS28" s="160">
        <f t="shared" ref="HNS28" si="2892">HNQ28*$C$28</f>
        <v>8.0167019170729024E+16</v>
      </c>
      <c r="HNU28" s="160">
        <f t="shared" ref="HNU28" si="2893">HNS28*$C$28</f>
        <v>8.096868936243632E+16</v>
      </c>
      <c r="HNW28" s="160">
        <f t="shared" ref="HNW28" si="2894">HNU28*$C$28</f>
        <v>8.1778376256060688E+16</v>
      </c>
      <c r="HNY28" s="160">
        <f t="shared" ref="HNY28" si="2895">HNW28*$C$28</f>
        <v>8.2596160018621296E+16</v>
      </c>
      <c r="HOA28" s="160">
        <f t="shared" ref="HOA28" si="2896">HNY28*$C$28</f>
        <v>8.3422121618807504E+16</v>
      </c>
      <c r="HOC28" s="160">
        <f t="shared" ref="HOC28" si="2897">HOA28*$C$28</f>
        <v>8.4256342834995584E+16</v>
      </c>
      <c r="HOE28" s="160">
        <f t="shared" ref="HOE28" si="2898">HOC28*$C$28</f>
        <v>8.5098906263345536E+16</v>
      </c>
      <c r="HOG28" s="160">
        <f t="shared" ref="HOG28" si="2899">HOE28*$C$28</f>
        <v>8.5949895325978992E+16</v>
      </c>
      <c r="HOI28" s="160">
        <f t="shared" ref="HOI28" si="2900">HOG28*$C$28</f>
        <v>8.6809394279238784E+16</v>
      </c>
      <c r="HOK28" s="160">
        <f t="shared" ref="HOK28" si="2901">HOI28*$C$28</f>
        <v>8.7677488222031168E+16</v>
      </c>
      <c r="HOM28" s="160">
        <f t="shared" ref="HOM28" si="2902">HOK28*$C$28</f>
        <v>8.8554263104251488E+16</v>
      </c>
      <c r="HOO28" s="160">
        <f t="shared" ref="HOO28" si="2903">HOM28*$C$28</f>
        <v>8.9439805735294E+16</v>
      </c>
      <c r="HOQ28" s="160">
        <f t="shared" ref="HOQ28" si="2904">HOO28*$C$28</f>
        <v>9.0334203792646944E+16</v>
      </c>
      <c r="HOS28" s="160">
        <f t="shared" ref="HOS28" si="2905">HOQ28*$C$28</f>
        <v>9.1237545830573408E+16</v>
      </c>
      <c r="HOU28" s="160">
        <f t="shared" ref="HOU28" si="2906">HOS28*$C$28</f>
        <v>9.2149921288879136E+16</v>
      </c>
      <c r="HOW28" s="160">
        <f t="shared" ref="HOW28" si="2907">HOU28*$C$28</f>
        <v>9.3071420501767936E+16</v>
      </c>
      <c r="HOY28" s="160">
        <f t="shared" ref="HOY28" si="2908">HOW28*$C$28</f>
        <v>9.4002134706785616E+16</v>
      </c>
      <c r="HPA28" s="160">
        <f t="shared" ref="HPA28" si="2909">HOY28*$C$28</f>
        <v>9.4942156053853472E+16</v>
      </c>
      <c r="HPC28" s="160">
        <f t="shared" ref="HPC28" si="2910">HPA28*$C$28</f>
        <v>9.5891577614392E+16</v>
      </c>
      <c r="HPE28" s="160">
        <f t="shared" ref="HPE28" si="2911">HPC28*$C$28</f>
        <v>9.685049339053592E+16</v>
      </c>
      <c r="HPG28" s="160">
        <f t="shared" ref="HPG28" si="2912">HPE28*$C$28</f>
        <v>9.781899832444128E+16</v>
      </c>
      <c r="HPI28" s="160">
        <f t="shared" ref="HPI28" si="2913">HPG28*$C$28</f>
        <v>9.8797188307685696E+16</v>
      </c>
      <c r="HPK28" s="160">
        <f t="shared" ref="HPK28" si="2914">HPI28*$C$28</f>
        <v>9.978516019076256E+16</v>
      </c>
      <c r="HPM28" s="160">
        <f t="shared" ref="HPM28" si="2915">HPK28*$C$28</f>
        <v>1.0078301179267019E+17</v>
      </c>
      <c r="HPO28" s="160">
        <f t="shared" ref="HPO28" si="2916">HPM28*$C$28</f>
        <v>1.017908419105969E+17</v>
      </c>
      <c r="HPQ28" s="160">
        <f t="shared" ref="HPQ28" si="2917">HPO28*$C$28</f>
        <v>1.0280875032970286E+17</v>
      </c>
      <c r="HPS28" s="160">
        <f t="shared" ref="HPS28" si="2918">HPQ28*$C$28</f>
        <v>1.0383683783299989E+17</v>
      </c>
      <c r="HPU28" s="160">
        <f t="shared" ref="HPU28" si="2919">HPS28*$C$28</f>
        <v>1.0487520621132989E+17</v>
      </c>
      <c r="HPW28" s="160">
        <f t="shared" ref="HPW28" si="2920">HPU28*$C$28</f>
        <v>1.0592395827344318E+17</v>
      </c>
      <c r="HPY28" s="160">
        <f t="shared" ref="HPY28" si="2921">HPW28*$C$28</f>
        <v>1.0698319785617762E+17</v>
      </c>
      <c r="HQA28" s="160">
        <f t="shared" ref="HQA28" si="2922">HPY28*$C$28</f>
        <v>1.0805302983473939E+17</v>
      </c>
      <c r="HQC28" s="160">
        <f t="shared" ref="HQC28" si="2923">HQA28*$C$28</f>
        <v>1.0913356013308678E+17</v>
      </c>
      <c r="HQE28" s="160">
        <f t="shared" ref="HQE28" si="2924">HQC28*$C$28</f>
        <v>1.1022489573441765E+17</v>
      </c>
      <c r="HQG28" s="160">
        <f t="shared" ref="HQG28" si="2925">HQE28*$C$28</f>
        <v>1.1132714469176182E+17</v>
      </c>
      <c r="HQI28" s="160">
        <f t="shared" ref="HQI28" si="2926">HQG28*$C$28</f>
        <v>1.1244041613867944E+17</v>
      </c>
      <c r="HQK28" s="160">
        <f t="shared" ref="HQK28" si="2927">HQI28*$C$28</f>
        <v>1.1356482030006624E+17</v>
      </c>
      <c r="HQM28" s="160">
        <f t="shared" ref="HQM28" si="2928">HQK28*$C$28</f>
        <v>1.147004685030669E+17</v>
      </c>
      <c r="HQO28" s="160">
        <f t="shared" ref="HQO28" si="2929">HQM28*$C$28</f>
        <v>1.1584747318809757E+17</v>
      </c>
      <c r="HQQ28" s="160">
        <f t="shared" ref="HQQ28" si="2930">HQO28*$C$28</f>
        <v>1.1700594791997854E+17</v>
      </c>
      <c r="HQS28" s="160">
        <f t="shared" ref="HQS28" si="2931">HQQ28*$C$28</f>
        <v>1.1817600739917834E+17</v>
      </c>
      <c r="HQU28" s="160">
        <f t="shared" ref="HQU28" si="2932">HQS28*$C$28</f>
        <v>1.1935776747317013E+17</v>
      </c>
      <c r="HQW28" s="160">
        <f t="shared" ref="HQW28" si="2933">HQU28*$C$28</f>
        <v>1.2055134514790182E+17</v>
      </c>
      <c r="HQY28" s="160">
        <f t="shared" ref="HQY28" si="2934">HQW28*$C$28</f>
        <v>1.2175685859938085E+17</v>
      </c>
      <c r="HRA28" s="160">
        <f t="shared" ref="HRA28" si="2935">HQY28*$C$28</f>
        <v>1.2297442718537466E+17</v>
      </c>
      <c r="HRC28" s="160">
        <f t="shared" ref="HRC28" si="2936">HRA28*$C$28</f>
        <v>1.242041714572284E+17</v>
      </c>
      <c r="HRE28" s="160">
        <f t="shared" ref="HRE28" si="2937">HRC28*$C$28</f>
        <v>1.2544621317180069E+17</v>
      </c>
      <c r="HRG28" s="160">
        <f t="shared" ref="HRG28" si="2938">HRE28*$C$28</f>
        <v>1.2670067530351869E+17</v>
      </c>
      <c r="HRI28" s="160">
        <f t="shared" ref="HRI28" si="2939">HRG28*$C$28</f>
        <v>1.2796768205655387E+17</v>
      </c>
      <c r="HRK28" s="160">
        <f t="shared" ref="HRK28" si="2940">HRI28*$C$28</f>
        <v>1.2924735887711941E+17</v>
      </c>
      <c r="HRM28" s="160">
        <f t="shared" ref="HRM28" si="2941">HRK28*$C$28</f>
        <v>1.3053983246589061E+17</v>
      </c>
      <c r="HRO28" s="160">
        <f t="shared" ref="HRO28" si="2942">HRM28*$C$28</f>
        <v>1.3184523079054952E+17</v>
      </c>
      <c r="HRQ28" s="160">
        <f t="shared" ref="HRQ28" si="2943">HRO28*$C$28</f>
        <v>1.3316368309845502E+17</v>
      </c>
      <c r="HRS28" s="160">
        <f t="shared" ref="HRS28" si="2944">HRQ28*$C$28</f>
        <v>1.3449531992943957E+17</v>
      </c>
      <c r="HRU28" s="160">
        <f t="shared" ref="HRU28" si="2945">HRS28*$C$28</f>
        <v>1.3584027312873397E+17</v>
      </c>
      <c r="HRW28" s="160">
        <f t="shared" ref="HRW28" si="2946">HRU28*$C$28</f>
        <v>1.3719867586002131E+17</v>
      </c>
      <c r="HRY28" s="160">
        <f t="shared" ref="HRY28" si="2947">HRW28*$C$28</f>
        <v>1.3857066261862152E+17</v>
      </c>
      <c r="HSA28" s="160">
        <f t="shared" ref="HSA28" si="2948">HRY28*$C$28</f>
        <v>1.3995636924480774E+17</v>
      </c>
      <c r="HSC28" s="160">
        <f t="shared" ref="HSC28" si="2949">HSA28*$C$28</f>
        <v>1.4135593293725582E+17</v>
      </c>
      <c r="HSE28" s="160">
        <f t="shared" ref="HSE28" si="2950">HSC28*$C$28</f>
        <v>1.4276949226662838E+17</v>
      </c>
      <c r="HSG28" s="160">
        <f t="shared" ref="HSG28" si="2951">HSE28*$C$28</f>
        <v>1.4419718718929466E+17</v>
      </c>
      <c r="HSI28" s="160">
        <f t="shared" ref="HSI28" si="2952">HSG28*$C$28</f>
        <v>1.4563915906118762E+17</v>
      </c>
      <c r="HSK28" s="160">
        <f t="shared" ref="HSK28" si="2953">HSI28*$C$28</f>
        <v>1.4709555065179949E+17</v>
      </c>
      <c r="HSM28" s="160">
        <f t="shared" ref="HSM28" si="2954">HSK28*$C$28</f>
        <v>1.4856650615831747E+17</v>
      </c>
      <c r="HSO28" s="160">
        <f t="shared" ref="HSO28" si="2955">HSM28*$C$28</f>
        <v>1.5005217121990064E+17</v>
      </c>
      <c r="HSQ28" s="160">
        <f t="shared" ref="HSQ28" si="2956">HSO28*$C$28</f>
        <v>1.5155269293209965E+17</v>
      </c>
      <c r="HSS28" s="160">
        <f t="shared" ref="HSS28" si="2957">HSQ28*$C$28</f>
        <v>1.5306821986142064E+17</v>
      </c>
      <c r="HSU28" s="160">
        <f t="shared" ref="HSU28" si="2958">HSS28*$C$28</f>
        <v>1.5459890206003485E+17</v>
      </c>
      <c r="HSW28" s="160">
        <f t="shared" ref="HSW28" si="2959">HSU28*$C$28</f>
        <v>1.561448910806352E+17</v>
      </c>
      <c r="HSY28" s="160">
        <f t="shared" ref="HSY28" si="2960">HSW28*$C$28</f>
        <v>1.5770633999144157E+17</v>
      </c>
      <c r="HTA28" s="160">
        <f t="shared" ref="HTA28" si="2961">HSY28*$C$28</f>
        <v>1.59283403391356E+17</v>
      </c>
      <c r="HTC28" s="160">
        <f t="shared" ref="HTC28" si="2962">HTA28*$C$28</f>
        <v>1.6087623742526957E+17</v>
      </c>
      <c r="HTE28" s="160">
        <f t="shared" ref="HTE28" si="2963">HTC28*$C$28</f>
        <v>1.6248499979952227E+17</v>
      </c>
      <c r="HTG28" s="160">
        <f t="shared" ref="HTG28" si="2964">HTE28*$C$28</f>
        <v>1.641098497975175E+17</v>
      </c>
      <c r="HTI28" s="160">
        <f t="shared" ref="HTI28" si="2965">HTG28*$C$28</f>
        <v>1.6575094829549267E+17</v>
      </c>
      <c r="HTK28" s="160">
        <f t="shared" ref="HTK28" si="2966">HTI28*$C$28</f>
        <v>1.6740845777844762E+17</v>
      </c>
      <c r="HTM28" s="160">
        <f t="shared" ref="HTM28" si="2967">HTK28*$C$28</f>
        <v>1.690825423562321E+17</v>
      </c>
      <c r="HTO28" s="160">
        <f t="shared" ref="HTO28" si="2968">HTM28*$C$28</f>
        <v>1.7077336777979443E+17</v>
      </c>
      <c r="HTQ28" s="160">
        <f t="shared" ref="HTQ28" si="2969">HTO28*$C$28</f>
        <v>1.7248110145759238E+17</v>
      </c>
      <c r="HTS28" s="160">
        <f t="shared" ref="HTS28" si="2970">HTQ28*$C$28</f>
        <v>1.7420591247216832E+17</v>
      </c>
      <c r="HTU28" s="160">
        <f t="shared" ref="HTU28" si="2971">HTS28*$C$28</f>
        <v>1.7594797159689002E+17</v>
      </c>
      <c r="HTW28" s="160">
        <f t="shared" ref="HTW28" si="2972">HTU28*$C$28</f>
        <v>1.7770745131285891E+17</v>
      </c>
      <c r="HTY28" s="160">
        <f t="shared" ref="HTY28" si="2973">HTW28*$C$28</f>
        <v>1.7948452582598749E+17</v>
      </c>
      <c r="HUA28" s="160">
        <f t="shared" ref="HUA28" si="2974">HTY28*$C$28</f>
        <v>1.8127937108424736E+17</v>
      </c>
      <c r="HUC28" s="160">
        <f t="shared" ref="HUC28" si="2975">HUA28*$C$28</f>
        <v>1.8309216479508982E+17</v>
      </c>
      <c r="HUE28" s="160">
        <f t="shared" ref="HUE28" si="2976">HUC28*$C$28</f>
        <v>1.8492308644304074E+17</v>
      </c>
      <c r="HUG28" s="160">
        <f t="shared" ref="HUG28" si="2977">HUE28*$C$28</f>
        <v>1.8677231730747114E+17</v>
      </c>
      <c r="HUI28" s="160">
        <f t="shared" ref="HUI28" si="2978">HUG28*$C$28</f>
        <v>1.8864004048054586E+17</v>
      </c>
      <c r="HUK28" s="160">
        <f t="shared" ref="HUK28" si="2979">HUI28*$C$28</f>
        <v>1.9052644088535133E+17</v>
      </c>
      <c r="HUM28" s="160">
        <f t="shared" ref="HUM28" si="2980">HUK28*$C$28</f>
        <v>1.9243170529420483E+17</v>
      </c>
      <c r="HUO28" s="160">
        <f t="shared" ref="HUO28" si="2981">HUM28*$C$28</f>
        <v>1.9435602234714688E+17</v>
      </c>
      <c r="HUQ28" s="160">
        <f t="shared" ref="HUQ28" si="2982">HUO28*$C$28</f>
        <v>1.9629958257061834E+17</v>
      </c>
      <c r="HUS28" s="160">
        <f t="shared" ref="HUS28" si="2983">HUQ28*$C$28</f>
        <v>1.9826257839632451E+17</v>
      </c>
      <c r="HUU28" s="160">
        <f t="shared" ref="HUU28" si="2984">HUS28*$C$28</f>
        <v>2.0024520418028774E+17</v>
      </c>
      <c r="HUW28" s="160">
        <f t="shared" ref="HUW28" si="2985">HUU28*$C$28</f>
        <v>2.0224765622209062E+17</v>
      </c>
      <c r="HUY28" s="160">
        <f t="shared" ref="HUY28" si="2986">HUW28*$C$28</f>
        <v>2.0427013278431152E+17</v>
      </c>
      <c r="HVA28" s="160">
        <f t="shared" ref="HVA28" si="2987">HUY28*$C$28</f>
        <v>2.0631283411215462E+17</v>
      </c>
      <c r="HVC28" s="160">
        <f t="shared" ref="HVC28" si="2988">HVA28*$C$28</f>
        <v>2.0837596245327616E+17</v>
      </c>
      <c r="HVE28" s="160">
        <f t="shared" ref="HVE28" si="2989">HVC28*$C$28</f>
        <v>2.1045972207780893E+17</v>
      </c>
      <c r="HVG28" s="160">
        <f t="shared" ref="HVG28" si="2990">HVE28*$C$28</f>
        <v>2.1256431929858701E+17</v>
      </c>
      <c r="HVI28" s="160">
        <f t="shared" ref="HVI28" si="2991">HVG28*$C$28</f>
        <v>2.1468996249157286E+17</v>
      </c>
      <c r="HVK28" s="160">
        <f t="shared" ref="HVK28" si="2992">HVI28*$C$28</f>
        <v>2.1683686211648861E+17</v>
      </c>
      <c r="HVM28" s="160">
        <f t="shared" ref="HVM28" si="2993">HVK28*$C$28</f>
        <v>2.190052307376535E+17</v>
      </c>
      <c r="HVO28" s="160">
        <f t="shared" ref="HVO28" si="2994">HVM28*$C$28</f>
        <v>2.2119528304503005E+17</v>
      </c>
      <c r="HVQ28" s="160">
        <f t="shared" ref="HVQ28" si="2995">HVO28*$C$28</f>
        <v>2.2340723587548035E+17</v>
      </c>
      <c r="HVS28" s="160">
        <f t="shared" ref="HVS28" si="2996">HVQ28*$C$28</f>
        <v>2.2564130823423517E+17</v>
      </c>
      <c r="HVU28" s="160">
        <f t="shared" ref="HVU28" si="2997">HVS28*$C$28</f>
        <v>2.2789772131657754E+17</v>
      </c>
      <c r="HVW28" s="160">
        <f t="shared" ref="HVW28" si="2998">HVU28*$C$28</f>
        <v>2.3017669852974333E+17</v>
      </c>
      <c r="HVY28" s="160">
        <f t="shared" ref="HVY28" si="2999">HVW28*$C$28</f>
        <v>2.3247846551504077E+17</v>
      </c>
      <c r="HWA28" s="160">
        <f t="shared" ref="HWA28" si="3000">HVY28*$C$28</f>
        <v>2.3480325017019117E+17</v>
      </c>
      <c r="HWC28" s="160">
        <f t="shared" ref="HWC28" si="3001">HWA28*$C$28</f>
        <v>2.3715128267189309E+17</v>
      </c>
      <c r="HWE28" s="160">
        <f t="shared" ref="HWE28" si="3002">HWC28*$C$28</f>
        <v>2.3952279549861203E+17</v>
      </c>
      <c r="HWG28" s="160">
        <f t="shared" ref="HWG28" si="3003">HWE28*$C$28</f>
        <v>2.4191802345359814E+17</v>
      </c>
      <c r="HWI28" s="160">
        <f t="shared" ref="HWI28" si="3004">HWG28*$C$28</f>
        <v>2.4433720368813411E+17</v>
      </c>
      <c r="HWK28" s="160">
        <f t="shared" ref="HWK28" si="3005">HWI28*$C$28</f>
        <v>2.4678057572501546E+17</v>
      </c>
      <c r="HWM28" s="160">
        <f t="shared" ref="HWM28" si="3006">HWK28*$C$28</f>
        <v>2.492483814822656E+17</v>
      </c>
      <c r="HWO28" s="160">
        <f t="shared" ref="HWO28" si="3007">HWM28*$C$28</f>
        <v>2.5174086529708826E+17</v>
      </c>
      <c r="HWQ28" s="160">
        <f t="shared" ref="HWQ28" si="3008">HWO28*$C$28</f>
        <v>2.5425827395005914E+17</v>
      </c>
      <c r="HWS28" s="160">
        <f t="shared" ref="HWS28" si="3009">HWQ28*$C$28</f>
        <v>2.5680085668955974E+17</v>
      </c>
      <c r="HWU28" s="160">
        <f t="shared" ref="HWU28" si="3010">HWS28*$C$28</f>
        <v>2.5936886525645533E+17</v>
      </c>
      <c r="HWW28" s="160">
        <f t="shared" ref="HWW28" si="3011">HWU28*$C$28</f>
        <v>2.6196255390901987E+17</v>
      </c>
      <c r="HWY28" s="160">
        <f t="shared" ref="HWY28" si="3012">HWW28*$C$28</f>
        <v>2.6458217944811008E+17</v>
      </c>
      <c r="HXA28" s="160">
        <f t="shared" ref="HXA28" si="3013">HWY28*$C$28</f>
        <v>2.6722800124259117E+17</v>
      </c>
      <c r="HXC28" s="160">
        <f t="shared" ref="HXC28" si="3014">HXA28*$C$28</f>
        <v>2.6990028125501709E+17</v>
      </c>
      <c r="HXE28" s="160">
        <f t="shared" ref="HXE28" si="3015">HXC28*$C$28</f>
        <v>2.7259928406756726E+17</v>
      </c>
      <c r="HXG28" s="160">
        <f t="shared" ref="HXG28" si="3016">HXE28*$C$28</f>
        <v>2.7532527690824294E+17</v>
      </c>
      <c r="HXI28" s="160">
        <f t="shared" ref="HXI28" si="3017">HXG28*$C$28</f>
        <v>2.7807852967732538E+17</v>
      </c>
      <c r="HXK28" s="160">
        <f t="shared" ref="HXK28" si="3018">HXI28*$C$28</f>
        <v>2.8085931497409862E+17</v>
      </c>
      <c r="HXM28" s="160">
        <f t="shared" ref="HXM28" si="3019">HXK28*$C$28</f>
        <v>2.8366790812383962E+17</v>
      </c>
      <c r="HXO28" s="160">
        <f t="shared" ref="HXO28" si="3020">HXM28*$C$28</f>
        <v>2.8650458720507802E+17</v>
      </c>
      <c r="HXQ28" s="160">
        <f t="shared" ref="HXQ28" si="3021">HXO28*$C$28</f>
        <v>2.8936963307712877E+17</v>
      </c>
      <c r="HXS28" s="160">
        <f t="shared" ref="HXS28" si="3022">HXQ28*$C$28</f>
        <v>2.9226332940790003E+17</v>
      </c>
      <c r="HXU28" s="160">
        <f t="shared" ref="HXU28" si="3023">HXS28*$C$28</f>
        <v>2.9518596270197901E+17</v>
      </c>
      <c r="HXW28" s="160">
        <f t="shared" ref="HXW28" si="3024">HXU28*$C$28</f>
        <v>2.9813782232899878E+17</v>
      </c>
      <c r="HXY28" s="160">
        <f t="shared" ref="HXY28" si="3025">HXW28*$C$28</f>
        <v>3.0111920055228877E+17</v>
      </c>
      <c r="HYA28" s="160">
        <f t="shared" ref="HYA28" si="3026">HXY28*$C$28</f>
        <v>3.0413039255781165E+17</v>
      </c>
      <c r="HYC28" s="160">
        <f t="shared" ref="HYC28" si="3027">HYA28*$C$28</f>
        <v>3.0717169648338976E+17</v>
      </c>
      <c r="HYE28" s="160">
        <f t="shared" ref="HYE28" si="3028">HYC28*$C$28</f>
        <v>3.1024341344822368E+17</v>
      </c>
      <c r="HYG28" s="160">
        <f t="shared" ref="HYG28" si="3029">HYE28*$C$28</f>
        <v>3.1334584758270592E+17</v>
      </c>
      <c r="HYI28" s="160">
        <f t="shared" ref="HYI28" si="3030">HYG28*$C$28</f>
        <v>3.1647930605853299E+17</v>
      </c>
      <c r="HYK28" s="160">
        <f t="shared" ref="HYK28" si="3031">HYI28*$C$28</f>
        <v>3.1964409911911834E+17</v>
      </c>
      <c r="HYM28" s="160">
        <f t="shared" ref="HYM28" si="3032">HYK28*$C$28</f>
        <v>3.228405401103095E+17</v>
      </c>
      <c r="HYO28" s="160">
        <f t="shared" ref="HYO28" si="3033">HYM28*$C$28</f>
        <v>3.2606894551141261E+17</v>
      </c>
      <c r="HYQ28" s="160">
        <f t="shared" ref="HYQ28" si="3034">HYO28*$C$28</f>
        <v>3.2932963496652672E+17</v>
      </c>
      <c r="HYS28" s="160">
        <f t="shared" ref="HYS28" si="3035">HYQ28*$C$28</f>
        <v>3.32622931316192E+17</v>
      </c>
      <c r="HYU28" s="160">
        <f t="shared" ref="HYU28" si="3036">HYS28*$C$28</f>
        <v>3.3594916062935392E+17</v>
      </c>
      <c r="HYW28" s="160">
        <f t="shared" ref="HYW28" si="3037">HYU28*$C$28</f>
        <v>3.3930865223564749E+17</v>
      </c>
      <c r="HYY28" s="160">
        <f t="shared" ref="HYY28" si="3038">HYW28*$C$28</f>
        <v>3.4270173875800397E+17</v>
      </c>
      <c r="HZA28" s="160">
        <f t="shared" ref="HZA28" si="3039">HYY28*$C$28</f>
        <v>3.46128756145584E+17</v>
      </c>
      <c r="HZC28" s="160">
        <f t="shared" ref="HZC28" si="3040">HZA28*$C$28</f>
        <v>3.4959004370703987E+17</v>
      </c>
      <c r="HZE28" s="160">
        <f t="shared" ref="HZE28" si="3041">HZC28*$C$28</f>
        <v>3.5308594414411027E+17</v>
      </c>
      <c r="HZG28" s="160">
        <f t="shared" ref="HZG28" si="3042">HZE28*$C$28</f>
        <v>3.5661680358555136E+17</v>
      </c>
      <c r="HZI28" s="160">
        <f t="shared" ref="HZI28" si="3043">HZG28*$C$28</f>
        <v>3.6018297162140685E+17</v>
      </c>
      <c r="HZK28" s="160">
        <f t="shared" ref="HZK28" si="3044">HZI28*$C$28</f>
        <v>3.6378480133762093E+17</v>
      </c>
      <c r="HZM28" s="160">
        <f t="shared" ref="HZM28" si="3045">HZK28*$C$28</f>
        <v>3.6742264935099712E+17</v>
      </c>
      <c r="HZO28" s="160">
        <f t="shared" ref="HZO28" si="3046">HZM28*$C$28</f>
        <v>3.7109687584450707E+17</v>
      </c>
      <c r="HZQ28" s="160">
        <f t="shared" ref="HZQ28" si="3047">HZO28*$C$28</f>
        <v>3.7480784460295213E+17</v>
      </c>
      <c r="HZS28" s="160">
        <f t="shared" ref="HZS28" si="3048">HZQ28*$C$28</f>
        <v>3.7855592304898163E+17</v>
      </c>
      <c r="HZU28" s="160">
        <f t="shared" ref="HZU28" si="3049">HZS28*$C$28</f>
        <v>3.8234148227947142E+17</v>
      </c>
      <c r="HZW28" s="160">
        <f t="shared" ref="HZW28" si="3050">HZU28*$C$28</f>
        <v>3.8616489710226611E+17</v>
      </c>
      <c r="HZY28" s="160">
        <f t="shared" ref="HZY28" si="3051">HZW28*$C$28</f>
        <v>3.9002654607328877E+17</v>
      </c>
      <c r="IAA28" s="160">
        <f t="shared" ref="IAA28" si="3052">HZY28*$C$28</f>
        <v>3.9392681153402163E+17</v>
      </c>
      <c r="IAC28" s="160">
        <f t="shared" ref="IAC28" si="3053">IAA28*$C$28</f>
        <v>3.9786607964936186E+17</v>
      </c>
      <c r="IAE28" s="160">
        <f t="shared" ref="IAE28" si="3054">IAC28*$C$28</f>
        <v>4.0184474044585549E+17</v>
      </c>
      <c r="IAG28" s="160">
        <f t="shared" ref="IAG28" si="3055">IAE28*$C$28</f>
        <v>4.0586318785031405E+17</v>
      </c>
      <c r="IAI28" s="160">
        <f t="shared" ref="IAI28" si="3056">IAG28*$C$28</f>
        <v>4.0992181972881722E+17</v>
      </c>
      <c r="IAK28" s="160">
        <f t="shared" ref="IAK28" si="3057">IAI28*$C$28</f>
        <v>4.1402103792610541E+17</v>
      </c>
      <c r="IAM28" s="160">
        <f t="shared" ref="IAM28" si="3058">IAK28*$C$28</f>
        <v>4.1816124830536646E+17</v>
      </c>
      <c r="IAO28" s="160">
        <f t="shared" ref="IAO28" si="3059">IAM28*$C$28</f>
        <v>4.2234286078842016E+17</v>
      </c>
      <c r="IAQ28" s="160">
        <f t="shared" ref="IAQ28" si="3060">IAO28*$C$28</f>
        <v>4.2656628939630438E+17</v>
      </c>
      <c r="IAS28" s="160">
        <f t="shared" ref="IAS28" si="3061">IAQ28*$C$28</f>
        <v>4.3083195229026746E+17</v>
      </c>
      <c r="IAU28" s="160">
        <f t="shared" ref="IAU28" si="3062">IAS28*$C$28</f>
        <v>4.3514027181317011E+17</v>
      </c>
      <c r="IAW28" s="160">
        <f t="shared" ref="IAW28" si="3063">IAU28*$C$28</f>
        <v>4.3949167453130182E+17</v>
      </c>
      <c r="IAY28" s="160">
        <f t="shared" ref="IAY28" si="3064">IAW28*$C$28</f>
        <v>4.4388659127661485E+17</v>
      </c>
      <c r="IBA28" s="160">
        <f t="shared" ref="IBA28" si="3065">IAY28*$C$28</f>
        <v>4.4832545718938099E+17</v>
      </c>
      <c r="IBC28" s="160">
        <f t="shared" ref="IBC28" si="3066">IBA28*$C$28</f>
        <v>4.5280871176127482E+17</v>
      </c>
      <c r="IBE28" s="160">
        <f t="shared" ref="IBE28" si="3067">IBC28*$C$28</f>
        <v>4.5733679887888755E+17</v>
      </c>
      <c r="IBG28" s="160">
        <f t="shared" ref="IBG28" si="3068">IBE28*$C$28</f>
        <v>4.6191016686767642E+17</v>
      </c>
      <c r="IBI28" s="160">
        <f t="shared" ref="IBI28" si="3069">IBG28*$C$28</f>
        <v>4.6652926853635322E+17</v>
      </c>
      <c r="IBK28" s="160">
        <f t="shared" ref="IBK28" si="3070">IBI28*$C$28</f>
        <v>4.7119456122171674E+17</v>
      </c>
      <c r="IBM28" s="160">
        <f t="shared" ref="IBM28" si="3071">IBK28*$C$28</f>
        <v>4.7590650683393389E+17</v>
      </c>
      <c r="IBO28" s="160">
        <f t="shared" ref="IBO28" si="3072">IBM28*$C$28</f>
        <v>4.8066557190227322E+17</v>
      </c>
      <c r="IBQ28" s="160">
        <f t="shared" ref="IBQ28" si="3073">IBO28*$C$28</f>
        <v>4.8547222762129594E+17</v>
      </c>
      <c r="IBS28" s="160">
        <f t="shared" ref="IBS28" si="3074">IBQ28*$C$28</f>
        <v>4.9032694989750893E+17</v>
      </c>
      <c r="IBU28" s="160">
        <f t="shared" ref="IBU28" si="3075">IBS28*$C$28</f>
        <v>4.9523021939648403E+17</v>
      </c>
      <c r="IBW28" s="160">
        <f t="shared" ref="IBW28" si="3076">IBU28*$C$28</f>
        <v>5.001825215904489E+17</v>
      </c>
      <c r="IBY28" s="160">
        <f t="shared" ref="IBY28" si="3077">IBW28*$C$28</f>
        <v>5.0518434680635341E+17</v>
      </c>
      <c r="ICA28" s="160">
        <f t="shared" ref="ICA28" si="3078">IBY28*$C$28</f>
        <v>5.1023619027441696E+17</v>
      </c>
      <c r="ICC28" s="160">
        <f t="shared" ref="ICC28" si="3079">ICA28*$C$28</f>
        <v>5.1533855217716115E+17</v>
      </c>
      <c r="ICE28" s="160">
        <f t="shared" ref="ICE28" si="3080">ICC28*$C$28</f>
        <v>5.204919376989328E+17</v>
      </c>
      <c r="ICG28" s="160">
        <f t="shared" ref="ICG28" si="3081">ICE28*$C$28</f>
        <v>5.2569685707592211E+17</v>
      </c>
      <c r="ICI28" s="160">
        <f t="shared" ref="ICI28" si="3082">ICG28*$C$28</f>
        <v>5.3095382564668134E+17</v>
      </c>
      <c r="ICK28" s="160">
        <f t="shared" ref="ICK28" si="3083">ICI28*$C$28</f>
        <v>5.3626336390314816E+17</v>
      </c>
      <c r="ICM28" s="160">
        <f t="shared" ref="ICM28" si="3084">ICK28*$C$28</f>
        <v>5.4162599754217965E+17</v>
      </c>
      <c r="ICO28" s="160">
        <f t="shared" ref="ICO28" si="3085">ICM28*$C$28</f>
        <v>5.4704225751760147E+17</v>
      </c>
      <c r="ICQ28" s="160">
        <f t="shared" ref="ICQ28" si="3086">ICO28*$C$28</f>
        <v>5.5251268009277747E+17</v>
      </c>
      <c r="ICS28" s="160">
        <f t="shared" ref="ICS28" si="3087">ICQ28*$C$28</f>
        <v>5.5803780689370528E+17</v>
      </c>
      <c r="ICU28" s="160">
        <f t="shared" ref="ICU28" si="3088">ICS28*$C$28</f>
        <v>5.6361818496264237E+17</v>
      </c>
      <c r="ICW28" s="160">
        <f t="shared" ref="ICW28" si="3089">ICU28*$C$28</f>
        <v>5.692543668122688E+17</v>
      </c>
      <c r="ICY28" s="160">
        <f t="shared" ref="ICY28" si="3090">ICW28*$C$28</f>
        <v>5.7494691048039149E+17</v>
      </c>
      <c r="IDA28" s="160">
        <f t="shared" ref="IDA28" si="3091">ICY28*$C$28</f>
        <v>5.8069637958519539E+17</v>
      </c>
      <c r="IDC28" s="160">
        <f t="shared" ref="IDC28" si="3092">IDA28*$C$28</f>
        <v>5.865033433810473E+17</v>
      </c>
      <c r="IDE28" s="160">
        <f t="shared" ref="IDE28" si="3093">IDC28*$C$28</f>
        <v>5.9236837681485773E+17</v>
      </c>
      <c r="IDG28" s="160">
        <f t="shared" ref="IDG28" si="3094">IDE28*$C$28</f>
        <v>5.9829206058300634E+17</v>
      </c>
      <c r="IDI28" s="160">
        <f t="shared" ref="IDI28" si="3095">IDG28*$C$28</f>
        <v>6.0427498118883635E+17</v>
      </c>
      <c r="IDK28" s="160">
        <f t="shared" ref="IDK28" si="3096">IDI28*$C$28</f>
        <v>6.1031773100072474E+17</v>
      </c>
      <c r="IDM28" s="160">
        <f t="shared" ref="IDM28" si="3097">IDK28*$C$28</f>
        <v>6.1642090831073203E+17</v>
      </c>
      <c r="IDO28" s="160">
        <f t="shared" ref="IDO28" si="3098">IDM28*$C$28</f>
        <v>6.2258511739383936E+17</v>
      </c>
      <c r="IDQ28" s="160">
        <f t="shared" ref="IDQ28" si="3099">IDO28*$C$28</f>
        <v>6.2881096856777779E+17</v>
      </c>
      <c r="IDS28" s="160">
        <f t="shared" ref="IDS28" si="3100">IDQ28*$C$28</f>
        <v>6.3509907825345562E+17</v>
      </c>
      <c r="IDU28" s="160">
        <f t="shared" ref="IDU28" si="3101">IDS28*$C$28</f>
        <v>6.4145006903599014E+17</v>
      </c>
      <c r="IDW28" s="160">
        <f t="shared" ref="IDW28" si="3102">IDU28*$C$28</f>
        <v>6.4786456972635008E+17</v>
      </c>
      <c r="IDY28" s="160">
        <f t="shared" ref="IDY28" si="3103">IDW28*$C$28</f>
        <v>6.5434321542361357E+17</v>
      </c>
      <c r="IEA28" s="160">
        <f t="shared" ref="IEA28" si="3104">IDY28*$C$28</f>
        <v>6.6088664757784973E+17</v>
      </c>
      <c r="IEC28" s="160">
        <f t="shared" ref="IEC28" si="3105">IEA28*$C$28</f>
        <v>6.6749551405362829E+17</v>
      </c>
      <c r="IEE28" s="160">
        <f t="shared" ref="IEE28" si="3106">IEC28*$C$28</f>
        <v>6.7417046919416461E+17</v>
      </c>
      <c r="IEG28" s="160">
        <f t="shared" ref="IEG28" si="3107">IEE28*$C$28</f>
        <v>6.8091217388610624E+17</v>
      </c>
      <c r="IEI28" s="160">
        <f t="shared" ref="IEI28" si="3108">IEG28*$C$28</f>
        <v>6.877212956249673E+17</v>
      </c>
      <c r="IEK28" s="160">
        <f t="shared" ref="IEK28" si="3109">IEI28*$C$28</f>
        <v>6.9459850858121702E+17</v>
      </c>
      <c r="IEM28" s="160">
        <f t="shared" ref="IEM28" si="3110">IEK28*$C$28</f>
        <v>7.0154449366702925E+17</v>
      </c>
      <c r="IEO28" s="160">
        <f t="shared" ref="IEO28" si="3111">IEM28*$C$28</f>
        <v>7.0855993860369958E+17</v>
      </c>
      <c r="IEQ28" s="160">
        <f t="shared" ref="IEQ28" si="3112">IEO28*$C$28</f>
        <v>7.1564553798973658E+17</v>
      </c>
      <c r="IES28" s="160">
        <f t="shared" ref="IES28" si="3113">IEQ28*$C$28</f>
        <v>7.2280199336963392E+17</v>
      </c>
      <c r="IEU28" s="160">
        <f t="shared" ref="IEU28" si="3114">IES28*$C$28</f>
        <v>7.300300133033303E+17</v>
      </c>
      <c r="IEW28" s="160">
        <f t="shared" ref="IEW28" si="3115">IEU28*$C$28</f>
        <v>7.3733031343636365E+17</v>
      </c>
      <c r="IEY28" s="160">
        <f t="shared" ref="IEY28" si="3116">IEW28*$C$28</f>
        <v>7.447036165707273E+17</v>
      </c>
      <c r="IFA28" s="160">
        <f t="shared" ref="IFA28" si="3117">IEY28*$C$28</f>
        <v>7.5215065273643456E+17</v>
      </c>
      <c r="IFC28" s="160">
        <f t="shared" ref="IFC28" si="3118">IFA28*$C$28</f>
        <v>7.5967215926379891E+17</v>
      </c>
      <c r="IFE28" s="160">
        <f t="shared" ref="IFE28" si="3119">IFC28*$C$28</f>
        <v>7.6726888085643686E+17</v>
      </c>
      <c r="IFG28" s="160">
        <f t="shared" ref="IFG28" si="3120">IFE28*$C$28</f>
        <v>7.7494156966500122E+17</v>
      </c>
      <c r="IFI28" s="160">
        <f t="shared" ref="IFI28" si="3121">IFG28*$C$28</f>
        <v>7.826909853616512E+17</v>
      </c>
      <c r="IFK28" s="160">
        <f t="shared" ref="IFK28" si="3122">IFI28*$C$28</f>
        <v>7.9051789521526771E+17</v>
      </c>
      <c r="IFM28" s="160">
        <f t="shared" ref="IFM28" si="3123">IFK28*$C$28</f>
        <v>7.9842307416742042E+17</v>
      </c>
      <c r="IFO28" s="160">
        <f t="shared" ref="IFO28" si="3124">IFM28*$C$28</f>
        <v>8.0640730490909466E+17</v>
      </c>
      <c r="IFQ28" s="160">
        <f t="shared" ref="IFQ28" si="3125">IFO28*$C$28</f>
        <v>8.144713779581856E+17</v>
      </c>
      <c r="IFS28" s="160">
        <f t="shared" ref="IFS28" si="3126">IFQ28*$C$28</f>
        <v>8.2261609173776742E+17</v>
      </c>
      <c r="IFU28" s="160">
        <f t="shared" ref="IFU28" si="3127">IFS28*$C$28</f>
        <v>8.3084225265514509E+17</v>
      </c>
      <c r="IFW28" s="160">
        <f t="shared" ref="IFW28" si="3128">IFU28*$C$28</f>
        <v>8.3915067518169651E+17</v>
      </c>
      <c r="IFY28" s="160">
        <f t="shared" ref="IFY28" si="3129">IFW28*$C$28</f>
        <v>8.4754218193351347E+17</v>
      </c>
      <c r="IGA28" s="160">
        <f t="shared" ref="IGA28" si="3130">IFY28*$C$28</f>
        <v>8.5601760375284864E+17</v>
      </c>
      <c r="IGC28" s="160">
        <f t="shared" ref="IGC28" si="3131">IGA28*$C$28</f>
        <v>8.6457777979037709E+17</v>
      </c>
      <c r="IGE28" s="160">
        <f t="shared" ref="IGE28" si="3132">IGC28*$C$28</f>
        <v>8.7322355758828083E+17</v>
      </c>
      <c r="IGG28" s="160">
        <f t="shared" ref="IGG28" si="3133">IGE28*$C$28</f>
        <v>8.8195579316416371E+17</v>
      </c>
      <c r="IGI28" s="160">
        <f t="shared" ref="IGI28" si="3134">IGG28*$C$28</f>
        <v>8.9077535109580531E+17</v>
      </c>
      <c r="IGK28" s="160">
        <f t="shared" ref="IGK28" si="3135">IGI28*$C$28</f>
        <v>8.9968310460676339E+17</v>
      </c>
      <c r="IGM28" s="160">
        <f t="shared" ref="IGM28" si="3136">IGK28*$C$28</f>
        <v>9.0867993565283098E+17</v>
      </c>
      <c r="IGO28" s="160">
        <f t="shared" ref="IGO28" si="3137">IGM28*$C$28</f>
        <v>9.1776673500935923E+17</v>
      </c>
      <c r="IGQ28" s="160">
        <f t="shared" ref="IGQ28" si="3138">IGO28*$C$28</f>
        <v>9.269444023594528E+17</v>
      </c>
      <c r="IGS28" s="160">
        <f t="shared" ref="IGS28" si="3139">IGQ28*$C$28</f>
        <v>9.362138463830473E+17</v>
      </c>
      <c r="IGU28" s="160">
        <f t="shared" ref="IGU28" si="3140">IGS28*$C$28</f>
        <v>9.4557598484687782E+17</v>
      </c>
      <c r="IGW28" s="160">
        <f t="shared" ref="IGW28" si="3141">IGU28*$C$28</f>
        <v>9.5503174469534656E+17</v>
      </c>
      <c r="IGY28" s="160">
        <f t="shared" ref="IGY28" si="3142">IGW28*$C$28</f>
        <v>9.6458206214230003E+17</v>
      </c>
      <c r="IHA28" s="160">
        <f t="shared" ref="IHA28" si="3143">IGY28*$C$28</f>
        <v>9.7422788276372301E+17</v>
      </c>
      <c r="IHC28" s="160">
        <f t="shared" ref="IHC28" si="3144">IHA28*$C$28</f>
        <v>9.8397016159136026E+17</v>
      </c>
      <c r="IHE28" s="160">
        <f t="shared" ref="IHE28" si="3145">IHC28*$C$28</f>
        <v>9.9380986320727386E+17</v>
      </c>
      <c r="IHG28" s="160">
        <f t="shared" ref="IHG28" si="3146">IHE28*$C$28</f>
        <v>1.0037479618393466E+18</v>
      </c>
      <c r="IHI28" s="160">
        <f t="shared" ref="IHI28" si="3147">IHG28*$C$28</f>
        <v>1.01378544145774E+18</v>
      </c>
      <c r="IHK28" s="160">
        <f t="shared" ref="IHK28" si="3148">IHI28*$C$28</f>
        <v>1.0239232958723174E+18</v>
      </c>
      <c r="IHM28" s="160">
        <f t="shared" ref="IHM28" si="3149">IHK28*$C$28</f>
        <v>1.0341625288310406E+18</v>
      </c>
      <c r="IHO28" s="160">
        <f t="shared" ref="IHO28" si="3150">IHM28*$C$28</f>
        <v>1.044504154119351E+18</v>
      </c>
      <c r="IHQ28" s="160">
        <f t="shared" ref="IHQ28" si="3151">IHO28*$C$28</f>
        <v>1.0549491956605445E+18</v>
      </c>
      <c r="IHS28" s="160">
        <f t="shared" ref="IHS28" si="3152">IHQ28*$C$28</f>
        <v>1.06549868761715E+18</v>
      </c>
      <c r="IHU28" s="160">
        <f t="shared" ref="IHU28" si="3153">IHS28*$C$28</f>
        <v>1.0761536744933215E+18</v>
      </c>
      <c r="IHW28" s="160">
        <f t="shared" ref="IHW28" si="3154">IHU28*$C$28</f>
        <v>1.0869152112382547E+18</v>
      </c>
      <c r="IHY28" s="160">
        <f t="shared" ref="IHY28" si="3155">IHW28*$C$28</f>
        <v>1.0977843633506373E+18</v>
      </c>
      <c r="IIA28" s="160">
        <f t="shared" ref="IIA28" si="3156">IHY28*$C$28</f>
        <v>1.1087622069841437E+18</v>
      </c>
      <c r="IIC28" s="160">
        <f t="shared" ref="IIC28" si="3157">IIA28*$C$28</f>
        <v>1.1198498290539852E+18</v>
      </c>
      <c r="IIE28" s="160">
        <f t="shared" ref="IIE28" si="3158">IIC28*$C$28</f>
        <v>1.1310483273445251E+18</v>
      </c>
      <c r="IIG28" s="160">
        <f t="shared" ref="IIG28" si="3159">IIE28*$C$28</f>
        <v>1.1423588106179703E+18</v>
      </c>
      <c r="III28" s="160">
        <f t="shared" ref="III28" si="3160">IIG28*$C$28</f>
        <v>1.15378239872415E+18</v>
      </c>
      <c r="IIK28" s="160">
        <f t="shared" ref="IIK28" si="3161">III28*$C$28</f>
        <v>1.1653202227113915E+18</v>
      </c>
      <c r="IIM28" s="160">
        <f t="shared" ref="IIM28" si="3162">IIK28*$C$28</f>
        <v>1.1769734249385055E+18</v>
      </c>
      <c r="IIO28" s="160">
        <f t="shared" ref="IIO28" si="3163">IIM28*$C$28</f>
        <v>1.1887431591878904E+18</v>
      </c>
      <c r="IIQ28" s="160">
        <f t="shared" ref="IIQ28" si="3164">IIO28*$C$28</f>
        <v>1.2006305907797693E+18</v>
      </c>
      <c r="IIS28" s="160">
        <f t="shared" ref="IIS28" si="3165">IIQ28*$C$28</f>
        <v>1.2126368966875671E+18</v>
      </c>
      <c r="IIU28" s="160">
        <f t="shared" ref="IIU28" si="3166">IIS28*$C$28</f>
        <v>1.2247632656544428E+18</v>
      </c>
      <c r="IIW28" s="160">
        <f t="shared" ref="IIW28" si="3167">IIU28*$C$28</f>
        <v>1.2370108983109873E+18</v>
      </c>
      <c r="IIY28" s="160">
        <f t="shared" ref="IIY28" si="3168">IIW28*$C$28</f>
        <v>1.2493810072940972E+18</v>
      </c>
      <c r="IJA28" s="160">
        <f t="shared" ref="IJA28" si="3169">IIY28*$C$28</f>
        <v>1.2618748173670382E+18</v>
      </c>
      <c r="IJC28" s="160">
        <f t="shared" ref="IJC28" si="3170">IJA28*$C$28</f>
        <v>1.2744935655407086E+18</v>
      </c>
      <c r="IJE28" s="160">
        <f t="shared" ref="IJE28" si="3171">IJC28*$C$28</f>
        <v>1.2872385011961157E+18</v>
      </c>
      <c r="IJG28" s="160">
        <f t="shared" ref="IJG28" si="3172">IJE28*$C$28</f>
        <v>1.3001108862080768E+18</v>
      </c>
      <c r="IJI28" s="160">
        <f t="shared" ref="IJI28" si="3173">IJG28*$C$28</f>
        <v>1.3131119950701576E+18</v>
      </c>
      <c r="IJK28" s="160">
        <f t="shared" ref="IJK28" si="3174">IJI28*$C$28</f>
        <v>1.3262431150208591E+18</v>
      </c>
      <c r="IJM28" s="160">
        <f t="shared" ref="IJM28" si="3175">IJK28*$C$28</f>
        <v>1.3395055461710676E+18</v>
      </c>
      <c r="IJO28" s="160">
        <f t="shared" ref="IJO28" si="3176">IJM28*$C$28</f>
        <v>1.3529006016327782E+18</v>
      </c>
      <c r="IJQ28" s="160">
        <f t="shared" ref="IJQ28" si="3177">IJO28*$C$28</f>
        <v>1.3664296076491059E+18</v>
      </c>
      <c r="IJS28" s="160">
        <f t="shared" ref="IJS28" si="3178">IJQ28*$C$28</f>
        <v>1.3800939037255969E+18</v>
      </c>
      <c r="IJU28" s="160">
        <f t="shared" ref="IJU28" si="3179">IJS28*$C$28</f>
        <v>1.3938948427628529E+18</v>
      </c>
      <c r="IJW28" s="160">
        <f t="shared" ref="IJW28" si="3180">IJU28*$C$28</f>
        <v>1.4078337911904814E+18</v>
      </c>
      <c r="IJY28" s="160">
        <f t="shared" ref="IJY28" si="3181">IJW28*$C$28</f>
        <v>1.4219121291023862E+18</v>
      </c>
      <c r="IKA28" s="160">
        <f t="shared" ref="IKA28" si="3182">IJY28*$C$28</f>
        <v>1.43613125039341E+18</v>
      </c>
      <c r="IKC28" s="160">
        <f t="shared" ref="IKC28" si="3183">IKA28*$C$28</f>
        <v>1.4504925628973443E+18</v>
      </c>
      <c r="IKE28" s="160">
        <f t="shared" ref="IKE28" si="3184">IKC28*$C$28</f>
        <v>1.4649974885263178E+18</v>
      </c>
      <c r="IKG28" s="160">
        <f t="shared" ref="IKG28" si="3185">IKE28*$C$28</f>
        <v>1.4796474634115809E+18</v>
      </c>
      <c r="IKI28" s="160">
        <f t="shared" ref="IKI28" si="3186">IKG28*$C$28</f>
        <v>1.4944439380456968E+18</v>
      </c>
      <c r="IKK28" s="160">
        <f t="shared" ref="IKK28" si="3187">IKI28*$C$28</f>
        <v>1.5093883774261537E+18</v>
      </c>
      <c r="IKM28" s="160">
        <f t="shared" ref="IKM28" si="3188">IKK28*$C$28</f>
        <v>1.5244822612004152E+18</v>
      </c>
      <c r="IKO28" s="160">
        <f t="shared" ref="IKO28" si="3189">IKM28*$C$28</f>
        <v>1.5397270838124193E+18</v>
      </c>
      <c r="IKQ28" s="160">
        <f t="shared" ref="IKQ28" si="3190">IKO28*$C$28</f>
        <v>1.5551243546505436E+18</v>
      </c>
      <c r="IKS28" s="160">
        <f t="shared" ref="IKS28" si="3191">IKQ28*$C$28</f>
        <v>1.5706755981970491E+18</v>
      </c>
      <c r="IKU28" s="160">
        <f t="shared" ref="IKU28" si="3192">IKS28*$C$28</f>
        <v>1.5863823541790195E+18</v>
      </c>
      <c r="IKW28" s="160">
        <f t="shared" ref="IKW28" si="3193">IKU28*$C$28</f>
        <v>1.6022461777208097E+18</v>
      </c>
      <c r="IKY28" s="160">
        <f t="shared" ref="IKY28" si="3194">IKW28*$C$28</f>
        <v>1.6182686394980178E+18</v>
      </c>
      <c r="ILA28" s="160">
        <f t="shared" ref="ILA28" si="3195">IKY28*$C$28</f>
        <v>1.6344513258929979E+18</v>
      </c>
      <c r="ILC28" s="160">
        <f t="shared" ref="ILC28" si="3196">ILA28*$C$28</f>
        <v>1.6507958391519278E+18</v>
      </c>
      <c r="ILE28" s="160">
        <f t="shared" ref="ILE28" si="3197">ILC28*$C$28</f>
        <v>1.667303797543447E+18</v>
      </c>
      <c r="ILG28" s="160">
        <f t="shared" ref="ILG28" si="3198">ILE28*$C$28</f>
        <v>1.6839768355188815E+18</v>
      </c>
      <c r="ILI28" s="160">
        <f t="shared" ref="ILI28" si="3199">ILG28*$C$28</f>
        <v>1.7008166038740703E+18</v>
      </c>
      <c r="ILK28" s="160">
        <f t="shared" ref="ILK28" si="3200">ILI28*$C$28</f>
        <v>1.717824769912811E+18</v>
      </c>
      <c r="ILM28" s="160">
        <f t="shared" ref="ILM28" si="3201">ILK28*$C$28</f>
        <v>1.7350030176119391E+18</v>
      </c>
      <c r="ILO28" s="160">
        <f t="shared" ref="ILO28" si="3202">ILM28*$C$28</f>
        <v>1.7523530477880584E+18</v>
      </c>
      <c r="ILQ28" s="160">
        <f t="shared" ref="ILQ28" si="3203">ILO28*$C$28</f>
        <v>1.7698765782659389E+18</v>
      </c>
      <c r="ILS28" s="160">
        <f t="shared" ref="ILS28" si="3204">ILQ28*$C$28</f>
        <v>1.7875753440485983E+18</v>
      </c>
      <c r="ILU28" s="160">
        <f t="shared" ref="ILU28" si="3205">ILS28*$C$28</f>
        <v>1.8054510974890842E+18</v>
      </c>
      <c r="ILW28" s="160">
        <f t="shared" ref="ILW28" si="3206">ILU28*$C$28</f>
        <v>1.8235056084639749E+18</v>
      </c>
      <c r="ILY28" s="160">
        <f t="shared" ref="ILY28" si="3207">ILW28*$C$28</f>
        <v>1.8417406645486147E+18</v>
      </c>
      <c r="IMA28" s="160">
        <f t="shared" ref="IMA28" si="3208">ILY28*$C$28</f>
        <v>1.8601580711941007E+18</v>
      </c>
      <c r="IMC28" s="160">
        <f t="shared" ref="IMC28" si="3209">IMA28*$C$28</f>
        <v>1.8787596519060419E+18</v>
      </c>
      <c r="IME28" s="160">
        <f t="shared" ref="IME28" si="3210">IMC28*$C$28</f>
        <v>1.8975472484251023E+18</v>
      </c>
      <c r="IMG28" s="160">
        <f t="shared" ref="IMG28" si="3211">IME28*$C$28</f>
        <v>1.9165227209093535E+18</v>
      </c>
      <c r="IMI28" s="160">
        <f t="shared" ref="IMI28" si="3212">IMG28*$C$28</f>
        <v>1.9356879481184471E+18</v>
      </c>
      <c r="IMK28" s="160">
        <f t="shared" ref="IMK28" si="3213">IMI28*$C$28</f>
        <v>1.9550448275996316E+18</v>
      </c>
      <c r="IMM28" s="160">
        <f t="shared" ref="IMM28" si="3214">IMK28*$C$28</f>
        <v>1.974595275875628E+18</v>
      </c>
      <c r="IMO28" s="160">
        <f t="shared" ref="IMO28" si="3215">IMM28*$C$28</f>
        <v>1.9943412286343844E+18</v>
      </c>
      <c r="IMQ28" s="160">
        <f t="shared" ref="IMQ28" si="3216">IMO28*$C$28</f>
        <v>2.0142846409207283E+18</v>
      </c>
      <c r="IMS28" s="160">
        <f t="shared" ref="IMS28" si="3217">IMQ28*$C$28</f>
        <v>2.0344274873299356E+18</v>
      </c>
      <c r="IMU28" s="160">
        <f t="shared" ref="IMU28" si="3218">IMS28*$C$28</f>
        <v>2.0547717622032351E+18</v>
      </c>
      <c r="IMW28" s="160">
        <f t="shared" ref="IMW28" si="3219">IMU28*$C$28</f>
        <v>2.0753194798252675E+18</v>
      </c>
      <c r="IMY28" s="160">
        <f t="shared" ref="IMY28" si="3220">IMW28*$C$28</f>
        <v>2.0960726746235203E+18</v>
      </c>
      <c r="INA28" s="160">
        <f t="shared" ref="INA28" si="3221">IMY28*$C$28</f>
        <v>2.1170334013697554E+18</v>
      </c>
      <c r="INC28" s="160">
        <f t="shared" ref="INC28" si="3222">INA28*$C$28</f>
        <v>2.1382037353834529E+18</v>
      </c>
      <c r="INE28" s="160">
        <f t="shared" ref="INE28" si="3223">INC28*$C$28</f>
        <v>2.1595857727372874E+18</v>
      </c>
      <c r="ING28" s="160">
        <f t="shared" ref="ING28" si="3224">INE28*$C$28</f>
        <v>2.1811816304646602E+18</v>
      </c>
      <c r="INI28" s="160">
        <f t="shared" ref="INI28" si="3225">ING28*$C$28</f>
        <v>2.2029934467693069E+18</v>
      </c>
      <c r="INK28" s="160">
        <f t="shared" ref="INK28" si="3226">INI28*$C$28</f>
        <v>2.2250233812369999E+18</v>
      </c>
      <c r="INM28" s="160">
        <f t="shared" ref="INM28" si="3227">INK28*$C$28</f>
        <v>2.2472736150493699E+18</v>
      </c>
      <c r="INO28" s="160">
        <f t="shared" ref="INO28" si="3228">INM28*$C$28</f>
        <v>2.2697463511998636E+18</v>
      </c>
      <c r="INQ28" s="160">
        <f t="shared" ref="INQ28" si="3229">INO28*$C$28</f>
        <v>2.2924438147118623E+18</v>
      </c>
      <c r="INS28" s="160">
        <f t="shared" ref="INS28" si="3230">INQ28*$C$28</f>
        <v>2.3153682528589809E+18</v>
      </c>
      <c r="INU28" s="160">
        <f t="shared" ref="INU28" si="3231">INS28*$C$28</f>
        <v>2.3385219353875707E+18</v>
      </c>
      <c r="INW28" s="160">
        <f t="shared" ref="INW28" si="3232">INU28*$C$28</f>
        <v>2.3619071547414467E+18</v>
      </c>
      <c r="INY28" s="160">
        <f t="shared" ref="INY28" si="3233">INW28*$C$28</f>
        <v>2.3855262262888612E+18</v>
      </c>
      <c r="IOA28" s="160">
        <f t="shared" ref="IOA28" si="3234">INY28*$C$28</f>
        <v>2.4093814885517496E+18</v>
      </c>
      <c r="IOC28" s="160">
        <f t="shared" ref="IOC28" si="3235">IOA28*$C$28</f>
        <v>2.4334753034372669E+18</v>
      </c>
      <c r="IOE28" s="160">
        <f t="shared" ref="IOE28" si="3236">IOC28*$C$28</f>
        <v>2.4578100564716396E+18</v>
      </c>
      <c r="IOG28" s="160">
        <f t="shared" ref="IOG28" si="3237">IOE28*$C$28</f>
        <v>2.4823881570363561E+18</v>
      </c>
      <c r="IOI28" s="160">
        <f t="shared" ref="IOI28" si="3238">IOG28*$C$28</f>
        <v>2.5072120386067195E+18</v>
      </c>
      <c r="IOK28" s="160">
        <f t="shared" ref="IOK28" si="3239">IOI28*$C$28</f>
        <v>2.5322841589927869E+18</v>
      </c>
      <c r="IOM28" s="160">
        <f t="shared" ref="IOM28" si="3240">IOK28*$C$28</f>
        <v>2.5576070005827149E+18</v>
      </c>
      <c r="IOO28" s="160">
        <f t="shared" ref="IOO28" si="3241">IOM28*$C$28</f>
        <v>2.583183070588542E+18</v>
      </c>
      <c r="IOQ28" s="160">
        <f t="shared" ref="IOQ28" si="3242">IOO28*$C$28</f>
        <v>2.6090149012944276E+18</v>
      </c>
      <c r="IOS28" s="160">
        <f t="shared" ref="IOS28" si="3243">IOQ28*$C$28</f>
        <v>2.635105050307372E+18</v>
      </c>
      <c r="IOU28" s="160">
        <f t="shared" ref="IOU28" si="3244">IOS28*$C$28</f>
        <v>2.6614561008104458E+18</v>
      </c>
      <c r="IOW28" s="160">
        <f t="shared" ref="IOW28" si="3245">IOU28*$C$28</f>
        <v>2.6880706618185503E+18</v>
      </c>
      <c r="IOY28" s="160">
        <f t="shared" ref="IOY28" si="3246">IOW28*$C$28</f>
        <v>2.714951368436736E+18</v>
      </c>
      <c r="IPA28" s="160">
        <f t="shared" ref="IPA28" si="3247">IOY28*$C$28</f>
        <v>2.7421008821211034E+18</v>
      </c>
      <c r="IPC28" s="160">
        <f t="shared" ref="IPC28" si="3248">IPA28*$C$28</f>
        <v>2.7695218909423145E+18</v>
      </c>
      <c r="IPE28" s="160">
        <f t="shared" ref="IPE28" si="3249">IPC28*$C$28</f>
        <v>2.7972171098517376E+18</v>
      </c>
      <c r="IPG28" s="160">
        <f t="shared" ref="IPG28" si="3250">IPE28*$C$28</f>
        <v>2.8251892809502551E+18</v>
      </c>
      <c r="IPI28" s="160">
        <f t="shared" ref="IPI28" si="3251">IPG28*$C$28</f>
        <v>2.8534411737597578E+18</v>
      </c>
      <c r="IPK28" s="160">
        <f t="shared" ref="IPK28" si="3252">IPI28*$C$28</f>
        <v>2.8819755854973553E+18</v>
      </c>
      <c r="IPM28" s="160">
        <f t="shared" ref="IPM28" si="3253">IPK28*$C$28</f>
        <v>2.9107953413523287E+18</v>
      </c>
      <c r="IPO28" s="160">
        <f t="shared" ref="IPO28" si="3254">IPM28*$C$28</f>
        <v>2.9399032947658522E+18</v>
      </c>
      <c r="IPQ28" s="160">
        <f t="shared" ref="IPQ28" si="3255">IPO28*$C$28</f>
        <v>2.9693023277135109E+18</v>
      </c>
      <c r="IPS28" s="160">
        <f t="shared" ref="IPS28" si="3256">IPQ28*$C$28</f>
        <v>2.9989953509906463E+18</v>
      </c>
      <c r="IPU28" s="160">
        <f t="shared" ref="IPU28" si="3257">IPS28*$C$28</f>
        <v>3.0289853045005527E+18</v>
      </c>
      <c r="IPW28" s="160">
        <f t="shared" ref="IPW28" si="3258">IPU28*$C$28</f>
        <v>3.059275157545558E+18</v>
      </c>
      <c r="IPY28" s="160">
        <f t="shared" ref="IPY28" si="3259">IPW28*$C$28</f>
        <v>3.0898679091210138E+18</v>
      </c>
      <c r="IQA28" s="160">
        <f t="shared" ref="IQA28" si="3260">IPY28*$C$28</f>
        <v>3.120766588212224E+18</v>
      </c>
      <c r="IQC28" s="160">
        <f t="shared" ref="IQC28" si="3261">IQA28*$C$28</f>
        <v>3.1519742540943462E+18</v>
      </c>
      <c r="IQE28" s="160">
        <f t="shared" ref="IQE28" si="3262">IQC28*$C$28</f>
        <v>3.1834939966352896E+18</v>
      </c>
      <c r="IQG28" s="160">
        <f t="shared" ref="IQG28" si="3263">IQE28*$C$28</f>
        <v>3.2153289366016425E+18</v>
      </c>
      <c r="IQI28" s="160">
        <f t="shared" ref="IQI28" si="3264">IQG28*$C$28</f>
        <v>3.247482225967659E+18</v>
      </c>
      <c r="IQK28" s="160">
        <f t="shared" ref="IQK28" si="3265">IQI28*$C$28</f>
        <v>3.2799570482273357E+18</v>
      </c>
      <c r="IQM28" s="160">
        <f t="shared" ref="IQM28" si="3266">IQK28*$C$28</f>
        <v>3.312756618709609E+18</v>
      </c>
      <c r="IQO28" s="160">
        <f t="shared" ref="IQO28" si="3267">IQM28*$C$28</f>
        <v>3.345884184896705E+18</v>
      </c>
      <c r="IQQ28" s="160">
        <f t="shared" ref="IQQ28" si="3268">IQO28*$C$28</f>
        <v>3.3793430267456722E+18</v>
      </c>
      <c r="IQS28" s="160">
        <f t="shared" ref="IQS28" si="3269">IQQ28*$C$28</f>
        <v>3.4131364570131287E+18</v>
      </c>
      <c r="IQU28" s="160">
        <f t="shared" ref="IQU28" si="3270">IQS28*$C$28</f>
        <v>3.4472678215832602E+18</v>
      </c>
      <c r="IQW28" s="160">
        <f t="shared" ref="IQW28" si="3271">IQU28*$C$28</f>
        <v>3.4817404997990927E+18</v>
      </c>
      <c r="IQY28" s="160">
        <f t="shared" ref="IQY28" si="3272">IQW28*$C$28</f>
        <v>3.5165579047970836E+18</v>
      </c>
      <c r="IRA28" s="160">
        <f t="shared" ref="IRA28" si="3273">IQY28*$C$28</f>
        <v>3.5517234838450545E+18</v>
      </c>
      <c r="IRC28" s="160">
        <f t="shared" ref="IRC28" si="3274">IRA28*$C$28</f>
        <v>3.5872407186835052E+18</v>
      </c>
      <c r="IRE28" s="160">
        <f t="shared" ref="IRE28" si="3275">IRC28*$C$28</f>
        <v>3.6231131258703401E+18</v>
      </c>
      <c r="IRG28" s="160">
        <f t="shared" ref="IRG28" si="3276">IRE28*$C$28</f>
        <v>3.6593442571290435E+18</v>
      </c>
      <c r="IRI28" s="160">
        <f t="shared" ref="IRI28" si="3277">IRG28*$C$28</f>
        <v>3.6959376997003341E+18</v>
      </c>
      <c r="IRK28" s="160">
        <f t="shared" ref="IRK28" si="3278">IRI28*$C$28</f>
        <v>3.7328970766973373E+18</v>
      </c>
      <c r="IRM28" s="160">
        <f t="shared" ref="IRM28" si="3279">IRK28*$C$28</f>
        <v>3.7702260474643108E+18</v>
      </c>
      <c r="IRO28" s="160">
        <f t="shared" ref="IRO28" si="3280">IRM28*$C$28</f>
        <v>3.8079283079389537E+18</v>
      </c>
      <c r="IRQ28" s="160">
        <f t="shared" ref="IRQ28" si="3281">IRO28*$C$28</f>
        <v>3.8460075910183434E+18</v>
      </c>
      <c r="IRS28" s="160">
        <f t="shared" ref="IRS28" si="3282">IRQ28*$C$28</f>
        <v>3.8844676669285268E+18</v>
      </c>
      <c r="IRU28" s="160">
        <f t="shared" ref="IRU28" si="3283">IRS28*$C$28</f>
        <v>3.9233123435978122E+18</v>
      </c>
      <c r="IRW28" s="160">
        <f t="shared" ref="IRW28" si="3284">IRU28*$C$28</f>
        <v>3.9625454670337905E+18</v>
      </c>
      <c r="IRY28" s="160">
        <f t="shared" ref="IRY28" si="3285">IRW28*$C$28</f>
        <v>4.0021709217041285E+18</v>
      </c>
      <c r="ISA28" s="160">
        <f t="shared" ref="ISA28" si="3286">IRY28*$C$28</f>
        <v>4.0421926309211699E+18</v>
      </c>
      <c r="ISC28" s="160">
        <f t="shared" ref="ISC28" si="3287">ISA28*$C$28</f>
        <v>4.0826145572303816E+18</v>
      </c>
      <c r="ISE28" s="160">
        <f t="shared" ref="ISE28" si="3288">ISC28*$C$28</f>
        <v>4.1234407028026854E+18</v>
      </c>
      <c r="ISG28" s="160">
        <f t="shared" ref="ISG28" si="3289">ISE28*$C$28</f>
        <v>4.1646751098307123E+18</v>
      </c>
      <c r="ISI28" s="160">
        <f t="shared" ref="ISI28" si="3290">ISG28*$C$28</f>
        <v>4.2063218609290194E+18</v>
      </c>
      <c r="ISK28" s="160">
        <f t="shared" ref="ISK28" si="3291">ISI28*$C$28</f>
        <v>4.2483850795383096E+18</v>
      </c>
      <c r="ISM28" s="160">
        <f t="shared" ref="ISM28" si="3292">ISK28*$C$28</f>
        <v>4.2908689303336929E+18</v>
      </c>
      <c r="ISO28" s="160">
        <f t="shared" ref="ISO28" si="3293">ISM28*$C$28</f>
        <v>4.3337776196370299E+18</v>
      </c>
      <c r="ISQ28" s="160">
        <f t="shared" ref="ISQ28" si="3294">ISO28*$C$28</f>
        <v>4.3771153958334003E+18</v>
      </c>
      <c r="ISS28" s="160">
        <f t="shared" ref="ISS28" si="3295">ISQ28*$C$28</f>
        <v>4.4208865497917343E+18</v>
      </c>
      <c r="ISU28" s="160">
        <f t="shared" ref="ISU28" si="3296">ISS28*$C$28</f>
        <v>4.4650954152896517E+18</v>
      </c>
      <c r="ISW28" s="160">
        <f t="shared" ref="ISW28" si="3297">ISU28*$C$28</f>
        <v>4.5097463694425482E+18</v>
      </c>
      <c r="ISY28" s="160">
        <f t="shared" ref="ISY28" si="3298">ISW28*$C$28</f>
        <v>4.5548438331369738E+18</v>
      </c>
      <c r="ITA28" s="160">
        <f t="shared" ref="ITA28" si="3299">ISY28*$C$28</f>
        <v>4.6003922714683438E+18</v>
      </c>
      <c r="ITC28" s="160">
        <f t="shared" ref="ITC28" si="3300">ITA28*$C$28</f>
        <v>4.6463961941830277E+18</v>
      </c>
      <c r="ITE28" s="160">
        <f t="shared" ref="ITE28" si="3301">ITC28*$C$28</f>
        <v>4.6928601561248584E+18</v>
      </c>
      <c r="ITG28" s="160">
        <f t="shared" ref="ITG28" si="3302">ITE28*$C$28</f>
        <v>4.7397887576861071E+18</v>
      </c>
      <c r="ITI28" s="160">
        <f t="shared" ref="ITI28" si="3303">ITG28*$C$28</f>
        <v>4.7871866452629678E+18</v>
      </c>
      <c r="ITK28" s="160">
        <f t="shared" ref="ITK28" si="3304">ITI28*$C$28</f>
        <v>4.8350585117155973E+18</v>
      </c>
      <c r="ITM28" s="160">
        <f t="shared" ref="ITM28" si="3305">ITK28*$C$28</f>
        <v>4.8834090968327537E+18</v>
      </c>
      <c r="ITO28" s="160">
        <f t="shared" ref="ITO28" si="3306">ITM28*$C$28</f>
        <v>4.9322431878010808E+18</v>
      </c>
      <c r="ITQ28" s="160">
        <f t="shared" ref="ITQ28" si="3307">ITO28*$C$28</f>
        <v>4.9815656196790917E+18</v>
      </c>
      <c r="ITS28" s="160">
        <f t="shared" ref="ITS28" si="3308">ITQ28*$C$28</f>
        <v>5.031381275875883E+18</v>
      </c>
      <c r="ITU28" s="160">
        <f t="shared" ref="ITU28" si="3309">ITS28*$C$28</f>
        <v>5.0816950886346414E+18</v>
      </c>
      <c r="ITW28" s="160">
        <f t="shared" ref="ITW28" si="3310">ITU28*$C$28</f>
        <v>5.1325120395209882E+18</v>
      </c>
      <c r="ITY28" s="160">
        <f t="shared" ref="ITY28" si="3311">ITW28*$C$28</f>
        <v>5.1838371599161979E+18</v>
      </c>
      <c r="IUA28" s="160">
        <f t="shared" ref="IUA28" si="3312">ITY28*$C$28</f>
        <v>5.2356755315153603E+18</v>
      </c>
      <c r="IUC28" s="160">
        <f t="shared" ref="IUC28" si="3313">IUA28*$C$28</f>
        <v>5.2880322868305142E+18</v>
      </c>
      <c r="IUE28" s="160">
        <f t="shared" ref="IUE28" si="3314">IUC28*$C$28</f>
        <v>5.3409126096988191E+18</v>
      </c>
      <c r="IUG28" s="160">
        <f t="shared" ref="IUG28" si="3315">IUE28*$C$28</f>
        <v>5.3943217357958072E+18</v>
      </c>
      <c r="IUI28" s="160">
        <f t="shared" ref="IUI28" si="3316">IUG28*$C$28</f>
        <v>5.4482649531537654E+18</v>
      </c>
      <c r="IUK28" s="160">
        <f t="shared" ref="IUK28" si="3317">IUI28*$C$28</f>
        <v>5.5027476026853028E+18</v>
      </c>
      <c r="IUM28" s="160">
        <f t="shared" ref="IUM28" si="3318">IUK28*$C$28</f>
        <v>5.5577750787121562E+18</v>
      </c>
      <c r="IUO28" s="160">
        <f t="shared" ref="IUO28" si="3319">IUM28*$C$28</f>
        <v>5.6133528294992773E+18</v>
      </c>
      <c r="IUQ28" s="160">
        <f t="shared" ref="IUQ28" si="3320">IUO28*$C$28</f>
        <v>5.6694863577942702E+18</v>
      </c>
      <c r="IUS28" s="160">
        <f t="shared" ref="IUS28" si="3321">IUQ28*$C$28</f>
        <v>5.7261812213722132E+18</v>
      </c>
      <c r="IUU28" s="160">
        <f t="shared" ref="IUU28" si="3322">IUS28*$C$28</f>
        <v>5.7834430335859354E+18</v>
      </c>
      <c r="IUW28" s="160">
        <f t="shared" ref="IUW28" si="3323">IUU28*$C$28</f>
        <v>5.8412774639217951E+18</v>
      </c>
      <c r="IUY28" s="160">
        <f t="shared" ref="IUY28" si="3324">IUW28*$C$28</f>
        <v>5.8996902385610127E+18</v>
      </c>
      <c r="IVA28" s="160">
        <f t="shared" ref="IVA28" si="3325">IUY28*$C$28</f>
        <v>5.9586871409466225E+18</v>
      </c>
      <c r="IVC28" s="160">
        <f t="shared" ref="IVC28" si="3326">IVA28*$C$28</f>
        <v>6.0182740123560888E+18</v>
      </c>
      <c r="IVE28" s="160">
        <f t="shared" ref="IVE28" si="3327">IVC28*$C$28</f>
        <v>6.0784567524796498E+18</v>
      </c>
      <c r="IVG28" s="160">
        <f t="shared" ref="IVG28" si="3328">IVE28*$C$28</f>
        <v>6.1392413200044462E+18</v>
      </c>
      <c r="IVI28" s="160">
        <f t="shared" ref="IVI28" si="3329">IVG28*$C$28</f>
        <v>6.2006337332044902E+18</v>
      </c>
      <c r="IVK28" s="160">
        <f t="shared" ref="IVK28" si="3330">IVI28*$C$28</f>
        <v>6.262640070536535E+18</v>
      </c>
      <c r="IVM28" s="160">
        <f t="shared" ref="IVM28" si="3331">IVK28*$C$28</f>
        <v>6.3252664712419E+18</v>
      </c>
      <c r="IVO28" s="160">
        <f t="shared" ref="IVO28" si="3332">IVM28*$C$28</f>
        <v>6.3885191359543194E+18</v>
      </c>
      <c r="IVQ28" s="160">
        <f t="shared" ref="IVQ28" si="3333">IVO28*$C$28</f>
        <v>6.4524043273138627E+18</v>
      </c>
      <c r="IVS28" s="160">
        <f t="shared" ref="IVS28" si="3334">IVQ28*$C$28</f>
        <v>6.5169283705870008E+18</v>
      </c>
      <c r="IVU28" s="160">
        <f t="shared" ref="IVU28" si="3335">IVS28*$C$28</f>
        <v>6.5820976542928712E+18</v>
      </c>
      <c r="IVW28" s="160">
        <f t="shared" ref="IVW28" si="3336">IVU28*$C$28</f>
        <v>6.6479186308358001E+18</v>
      </c>
      <c r="IVY28" s="160">
        <f t="shared" ref="IVY28" si="3337">IVW28*$C$28</f>
        <v>6.7143978171441582E+18</v>
      </c>
      <c r="IWA28" s="160">
        <f t="shared" ref="IWA28" si="3338">IVY28*$C$28</f>
        <v>6.7815417953155994E+18</v>
      </c>
      <c r="IWC28" s="160">
        <f t="shared" ref="IWC28" si="3339">IWA28*$C$28</f>
        <v>6.8493572132687555E+18</v>
      </c>
      <c r="IWE28" s="160">
        <f t="shared" ref="IWE28" si="3340">IWC28*$C$28</f>
        <v>6.9178507854014433E+18</v>
      </c>
      <c r="IWG28" s="160">
        <f t="shared" ref="IWG28" si="3341">IWE28*$C$28</f>
        <v>6.9870292932554578E+18</v>
      </c>
      <c r="IWI28" s="160">
        <f t="shared" ref="IWI28" si="3342">IWG28*$C$28</f>
        <v>7.0568995861880125E+18</v>
      </c>
      <c r="IWK28" s="160">
        <f t="shared" ref="IWK28" si="3343">IWI28*$C$28</f>
        <v>7.1274685820498924E+18</v>
      </c>
      <c r="IWM28" s="160">
        <f t="shared" ref="IWM28" si="3344">IWK28*$C$28</f>
        <v>7.1987432678703913E+18</v>
      </c>
      <c r="IWO28" s="160">
        <f t="shared" ref="IWO28" si="3345">IWM28*$C$28</f>
        <v>7.2707307005490954E+18</v>
      </c>
      <c r="IWQ28" s="160">
        <f t="shared" ref="IWQ28" si="3346">IWO28*$C$28</f>
        <v>7.3434380075545866E+18</v>
      </c>
      <c r="IWS28" s="160">
        <f t="shared" ref="IWS28" si="3347">IWQ28*$C$28</f>
        <v>7.4168723876301322E+18</v>
      </c>
      <c r="IWU28" s="160">
        <f t="shared" ref="IWU28" si="3348">IWS28*$C$28</f>
        <v>7.491041111506434E+18</v>
      </c>
      <c r="IWW28" s="160">
        <f t="shared" ref="IWW28" si="3349">IWU28*$C$28</f>
        <v>7.5659515226214984E+18</v>
      </c>
      <c r="IWY28" s="160">
        <f t="shared" ref="IWY28" si="3350">IWW28*$C$28</f>
        <v>7.6416110378477138E+18</v>
      </c>
      <c r="IXA28" s="160">
        <f t="shared" ref="IXA28" si="3351">IWY28*$C$28</f>
        <v>7.7180271482261914E+18</v>
      </c>
      <c r="IXC28" s="160">
        <f t="shared" ref="IXC28" si="3352">IXA28*$C$28</f>
        <v>7.7952074197084529E+18</v>
      </c>
      <c r="IXE28" s="160">
        <f t="shared" ref="IXE28" si="3353">IXC28*$C$28</f>
        <v>7.873159493905537E+18</v>
      </c>
      <c r="IXG28" s="160">
        <f t="shared" ref="IXG28" si="3354">IXE28*$C$28</f>
        <v>7.9518910888445921E+18</v>
      </c>
      <c r="IXI28" s="160">
        <f t="shared" ref="IXI28" si="3355">IXG28*$C$28</f>
        <v>8.0314099997330381E+18</v>
      </c>
      <c r="IXK28" s="160">
        <f t="shared" ref="IXK28" si="3356">IXI28*$C$28</f>
        <v>8.1117240997303685E+18</v>
      </c>
      <c r="IXM28" s="160">
        <f t="shared" ref="IXM28" si="3357">IXK28*$C$28</f>
        <v>8.1928413407276718E+18</v>
      </c>
      <c r="IXO28" s="160">
        <f t="shared" ref="IXO28" si="3358">IXM28*$C$28</f>
        <v>8.2747697541349489E+18</v>
      </c>
      <c r="IXQ28" s="160">
        <f t="shared" ref="IXQ28" si="3359">IXO28*$C$28</f>
        <v>8.3575174516762982E+18</v>
      </c>
      <c r="IXS28" s="160">
        <f t="shared" ref="IXS28" si="3360">IXQ28*$C$28</f>
        <v>8.4410926261930609E+18</v>
      </c>
      <c r="IXU28" s="160">
        <f t="shared" ref="IXU28" si="3361">IXS28*$C$28</f>
        <v>8.5255035524549919E+18</v>
      </c>
      <c r="IXW28" s="160">
        <f t="shared" ref="IXW28" si="3362">IXU28*$C$28</f>
        <v>8.6107585879795415E+18</v>
      </c>
      <c r="IXY28" s="160">
        <f t="shared" ref="IXY28" si="3363">IXW28*$C$28</f>
        <v>8.6968661738593372E+18</v>
      </c>
      <c r="IYA28" s="160">
        <f t="shared" ref="IYA28" si="3364">IXY28*$C$28</f>
        <v>8.7838348355979305E+18</v>
      </c>
      <c r="IYC28" s="160">
        <f t="shared" ref="IYC28" si="3365">IYA28*$C$28</f>
        <v>8.8716731839539098E+18</v>
      </c>
      <c r="IYE28" s="160">
        <f t="shared" ref="IYE28" si="3366">IYC28*$C$28</f>
        <v>8.960389915793449E+18</v>
      </c>
      <c r="IYG28" s="160">
        <f t="shared" ref="IYG28" si="3367">IYE28*$C$28</f>
        <v>9.049993814951383E+18</v>
      </c>
      <c r="IYI28" s="160">
        <f t="shared" ref="IYI28" si="3368">IYG28*$C$28</f>
        <v>9.1404937531008973E+18</v>
      </c>
      <c r="IYK28" s="160">
        <f t="shared" ref="IYK28" si="3369">IYI28*$C$28</f>
        <v>9.2318986906319073E+18</v>
      </c>
      <c r="IYM28" s="160">
        <f t="shared" ref="IYM28" si="3370">IYK28*$C$28</f>
        <v>9.3242176775382262E+18</v>
      </c>
      <c r="IYO28" s="160">
        <f t="shared" ref="IYO28" si="3371">IYM28*$C$28</f>
        <v>9.4174598543136092E+18</v>
      </c>
      <c r="IYQ28" s="160">
        <f t="shared" ref="IYQ28" si="3372">IYO28*$C$28</f>
        <v>9.511634452856746E+18</v>
      </c>
      <c r="IYS28" s="160">
        <f t="shared" ref="IYS28" si="3373">IYQ28*$C$28</f>
        <v>9.6067507973853143E+18</v>
      </c>
      <c r="IYU28" s="160">
        <f t="shared" ref="IYU28" si="3374">IYS28*$C$28</f>
        <v>9.7028183053591675E+18</v>
      </c>
      <c r="IYW28" s="160">
        <f t="shared" ref="IYW28" si="3375">IYU28*$C$28</f>
        <v>9.7998464884127601E+18</v>
      </c>
      <c r="IYY28" s="160">
        <f t="shared" ref="IYY28" si="3376">IYW28*$C$28</f>
        <v>9.8978449532968878E+18</v>
      </c>
      <c r="IZA28" s="160">
        <f t="shared" ref="IZA28" si="3377">IYY28*$C$28</f>
        <v>9.9968234028298568E+18</v>
      </c>
      <c r="IZC28" s="160">
        <f t="shared" ref="IZC28" si="3378">IZA28*$C$28</f>
        <v>1.0096791636858155E+19</v>
      </c>
      <c r="IZE28" s="160">
        <f t="shared" ref="IZE28" si="3379">IZC28*$C$28</f>
        <v>1.0197759553226738E+19</v>
      </c>
      <c r="IZG28" s="160">
        <f t="shared" ref="IZG28" si="3380">IZE28*$C$28</f>
        <v>1.0299737148759005E+19</v>
      </c>
      <c r="IZI28" s="160">
        <f t="shared" ref="IZI28" si="3381">IZG28*$C$28</f>
        <v>1.0402734520246596E+19</v>
      </c>
      <c r="IZK28" s="160">
        <f t="shared" ref="IZK28" si="3382">IZI28*$C$28</f>
        <v>1.0506761865449062E+19</v>
      </c>
      <c r="IZM28" s="160">
        <f t="shared" ref="IZM28" si="3383">IZK28*$C$28</f>
        <v>1.0611829484103553E+19</v>
      </c>
      <c r="IZO28" s="160">
        <f t="shared" ref="IZO28" si="3384">IZM28*$C$28</f>
        <v>1.0717947778944588E+19</v>
      </c>
      <c r="IZQ28" s="160">
        <f t="shared" ref="IZQ28" si="3385">IZO28*$C$28</f>
        <v>1.0825127256734034E+19</v>
      </c>
      <c r="IZS28" s="160">
        <f t="shared" ref="IZS28" si="3386">IZQ28*$C$28</f>
        <v>1.0933378529301375E+19</v>
      </c>
      <c r="IZU28" s="160">
        <f t="shared" ref="IZU28" si="3387">IZS28*$C$28</f>
        <v>1.1042712314594388E+19</v>
      </c>
      <c r="IZW28" s="160">
        <f t="shared" ref="IZW28" si="3388">IZU28*$C$28</f>
        <v>1.1153139437740331E+19</v>
      </c>
      <c r="IZY28" s="160">
        <f t="shared" ref="IZY28" si="3389">IZW28*$C$28</f>
        <v>1.1264670832117735E+19</v>
      </c>
      <c r="JAA28" s="160">
        <f t="shared" ref="JAA28" si="3390">IZY28*$C$28</f>
        <v>1.1377317540438913E+19</v>
      </c>
      <c r="JAC28" s="160">
        <f t="shared" ref="JAC28" si="3391">JAA28*$C$28</f>
        <v>1.1491090715843301E+19</v>
      </c>
      <c r="JAE28" s="160">
        <f t="shared" ref="JAE28" si="3392">JAC28*$C$28</f>
        <v>1.1606001623001735E+19</v>
      </c>
      <c r="JAG28" s="160">
        <f t="shared" ref="JAG28" si="3393">JAE28*$C$28</f>
        <v>1.1722061639231752E+19</v>
      </c>
      <c r="JAI28" s="160">
        <f t="shared" ref="JAI28" si="3394">JAG28*$C$28</f>
        <v>1.1839282255624069E+19</v>
      </c>
      <c r="JAK28" s="160">
        <f t="shared" ref="JAK28" si="3395">JAI28*$C$28</f>
        <v>1.1957675078180309E+19</v>
      </c>
      <c r="JAM28" s="160">
        <f t="shared" ref="JAM28" si="3396">JAK28*$C$28</f>
        <v>1.2077251828962111E+19</v>
      </c>
      <c r="JAO28" s="160">
        <f t="shared" ref="JAO28" si="3397">JAM28*$C$28</f>
        <v>1.2198024347251732E+19</v>
      </c>
      <c r="JAQ28" s="160">
        <f t="shared" ref="JAQ28" si="3398">JAO28*$C$28</f>
        <v>1.232000459072425E+19</v>
      </c>
      <c r="JAS28" s="160">
        <f t="shared" ref="JAS28" si="3399">JAQ28*$C$28</f>
        <v>1.2443204636631493E+19</v>
      </c>
      <c r="JAU28" s="160">
        <f t="shared" ref="JAU28" si="3400">JAS28*$C$28</f>
        <v>1.2567636682997807E+19</v>
      </c>
      <c r="JAW28" s="160">
        <f t="shared" ref="JAW28" si="3401">JAU28*$C$28</f>
        <v>1.2693313049827785E+19</v>
      </c>
      <c r="JAY28" s="160">
        <f t="shared" ref="JAY28" si="3402">JAW28*$C$28</f>
        <v>1.2820246180326062E+19</v>
      </c>
      <c r="JBA28" s="160">
        <f t="shared" ref="JBA28" si="3403">JAY28*$C$28</f>
        <v>1.2948448642129322E+19</v>
      </c>
      <c r="JBC28" s="160">
        <f t="shared" ref="JBC28" si="3404">JBA28*$C$28</f>
        <v>1.3077933128550615E+19</v>
      </c>
      <c r="JBE28" s="160">
        <f t="shared" ref="JBE28" si="3405">JBC28*$C$28</f>
        <v>1.3208712459836121E+19</v>
      </c>
      <c r="JBG28" s="160">
        <f t="shared" ref="JBG28" si="3406">JBE28*$C$28</f>
        <v>1.3340799584434483E+19</v>
      </c>
      <c r="JBI28" s="160">
        <f t="shared" ref="JBI28" si="3407">JBG28*$C$28</f>
        <v>1.3474207580278829E+19</v>
      </c>
      <c r="JBK28" s="160">
        <f t="shared" ref="JBK28" si="3408">JBI28*$C$28</f>
        <v>1.3608949656081617E+19</v>
      </c>
      <c r="JBM28" s="160">
        <f t="shared" ref="JBM28" si="3409">JBK28*$C$28</f>
        <v>1.3745039152642433E+19</v>
      </c>
      <c r="JBO28" s="160">
        <f t="shared" ref="JBO28" si="3410">JBM28*$C$28</f>
        <v>1.3882489544168858E+19</v>
      </c>
      <c r="JBQ28" s="160">
        <f t="shared" ref="JBQ28" si="3411">JBO28*$C$28</f>
        <v>1.4021314439610546E+19</v>
      </c>
      <c r="JBS28" s="160">
        <f t="shared" ref="JBS28" si="3412">JBQ28*$C$28</f>
        <v>1.4161527584006652E+19</v>
      </c>
      <c r="JBU28" s="160">
        <f t="shared" ref="JBU28" si="3413">JBS28*$C$28</f>
        <v>1.4303142859846719E+19</v>
      </c>
      <c r="JBW28" s="160">
        <f t="shared" ref="JBW28" si="3414">JBU28*$C$28</f>
        <v>1.4446174288445186E+19</v>
      </c>
      <c r="JBY28" s="160">
        <f t="shared" ref="JBY28" si="3415">JBW28*$C$28</f>
        <v>1.4590636031329638E+19</v>
      </c>
      <c r="JCA28" s="160">
        <f t="shared" ref="JCA28" si="3416">JBY28*$C$28</f>
        <v>1.4736542391642935E+19</v>
      </c>
      <c r="JCC28" s="160">
        <f t="shared" ref="JCC28" si="3417">JCA28*$C$28</f>
        <v>1.4883907815559365E+19</v>
      </c>
      <c r="JCE28" s="160">
        <f t="shared" ref="JCE28" si="3418">JCC28*$C$28</f>
        <v>1.5032746893714958E+19</v>
      </c>
      <c r="JCG28" s="160">
        <f t="shared" ref="JCG28" si="3419">JCE28*$C$28</f>
        <v>1.5183074362652109E+19</v>
      </c>
      <c r="JCI28" s="160">
        <f t="shared" ref="JCI28" si="3420">JCG28*$C$28</f>
        <v>1.5334905106278629E+19</v>
      </c>
      <c r="JCK28" s="160">
        <f t="shared" ref="JCK28" si="3421">JCI28*$C$28</f>
        <v>1.5488254157341415E+19</v>
      </c>
      <c r="JCM28" s="160">
        <f t="shared" ref="JCM28" si="3422">JCK28*$C$28</f>
        <v>1.564313669891483E+19</v>
      </c>
      <c r="JCO28" s="160">
        <f t="shared" ref="JCO28" si="3423">JCM28*$C$28</f>
        <v>1.5799568065903978E+19</v>
      </c>
      <c r="JCQ28" s="160">
        <f t="shared" ref="JCQ28" si="3424">JCO28*$C$28</f>
        <v>1.5957563746563019E+19</v>
      </c>
      <c r="JCS28" s="160">
        <f t="shared" ref="JCS28" si="3425">JCQ28*$C$28</f>
        <v>1.6117139384028649E+19</v>
      </c>
      <c r="JCU28" s="160">
        <f t="shared" ref="JCU28" si="3426">JCS28*$C$28</f>
        <v>1.6278310777868935E+19</v>
      </c>
      <c r="JCW28" s="160">
        <f t="shared" ref="JCW28" si="3427">JCU28*$C$28</f>
        <v>1.6441093885647624E+19</v>
      </c>
      <c r="JCY28" s="160">
        <f t="shared" ref="JCY28" si="3428">JCW28*$C$28</f>
        <v>1.6605504824504101E+19</v>
      </c>
      <c r="JDA28" s="160">
        <f t="shared" ref="JDA28" si="3429">JCY28*$C$28</f>
        <v>1.6771559872749142E+19</v>
      </c>
      <c r="JDC28" s="160">
        <f t="shared" ref="JDC28" si="3430">JDA28*$C$28</f>
        <v>1.6939275471476634E+19</v>
      </c>
      <c r="JDE28" s="160">
        <f t="shared" ref="JDE28" si="3431">JDC28*$C$28</f>
        <v>1.7108668226191401E+19</v>
      </c>
      <c r="JDG28" s="160">
        <f t="shared" ref="JDG28" si="3432">JDE28*$C$28</f>
        <v>1.7279754908453315E+19</v>
      </c>
      <c r="JDI28" s="160">
        <f t="shared" ref="JDI28" si="3433">JDG28*$C$28</f>
        <v>1.7452552457537847E+19</v>
      </c>
      <c r="JDK28" s="160">
        <f t="shared" ref="JDK28" si="3434">JDI28*$C$28</f>
        <v>1.7627077982113227E+19</v>
      </c>
      <c r="JDM28" s="160">
        <f t="shared" ref="JDM28" si="3435">JDK28*$C$28</f>
        <v>1.7803348761934359E+19</v>
      </c>
      <c r="JDO28" s="160">
        <f t="shared" ref="JDO28" si="3436">JDM28*$C$28</f>
        <v>1.7981382249553703E+19</v>
      </c>
      <c r="JDQ28" s="160">
        <f t="shared" ref="JDQ28" si="3437">JDO28*$C$28</f>
        <v>1.816119607204924E+19</v>
      </c>
      <c r="JDS28" s="160">
        <f t="shared" ref="JDS28" si="3438">JDQ28*$C$28</f>
        <v>1.8342808032769733E+19</v>
      </c>
      <c r="JDU28" s="160">
        <f t="shared" ref="JDU28" si="3439">JDS28*$C$28</f>
        <v>1.8526236113097429E+19</v>
      </c>
      <c r="JDW28" s="160">
        <f t="shared" ref="JDW28" si="3440">JDU28*$C$28</f>
        <v>1.8711498474228404E+19</v>
      </c>
      <c r="JDY28" s="160">
        <f t="shared" ref="JDY28" si="3441">JDW28*$C$28</f>
        <v>1.889861345897069E+19</v>
      </c>
      <c r="JEA28" s="160">
        <f t="shared" ref="JEA28" si="3442">JDY28*$C$28</f>
        <v>1.9087599593560396E+19</v>
      </c>
      <c r="JEC28" s="160">
        <f t="shared" ref="JEC28" si="3443">JEA28*$C$28</f>
        <v>1.9278475589496001E+19</v>
      </c>
      <c r="JEE28" s="160">
        <f t="shared" ref="JEE28" si="3444">JEC28*$C$28</f>
        <v>1.9471260345390961E+19</v>
      </c>
      <c r="JEG28" s="160">
        <f t="shared" ref="JEG28" si="3445">JEE28*$C$28</f>
        <v>1.9665972948844872E+19</v>
      </c>
      <c r="JEI28" s="160">
        <f t="shared" ref="JEI28" si="3446">JEG28*$C$28</f>
        <v>1.9862632678333321E+19</v>
      </c>
      <c r="JEK28" s="160">
        <f t="shared" ref="JEK28" si="3447">JEI28*$C$28</f>
        <v>2.0061259005116654E+19</v>
      </c>
      <c r="JEM28" s="160">
        <f t="shared" ref="JEM28" si="3448">JEK28*$C$28</f>
        <v>2.0261871595167822E+19</v>
      </c>
      <c r="JEO28" s="160">
        <f t="shared" ref="JEO28" si="3449">JEM28*$C$28</f>
        <v>2.0464490311119499E+19</v>
      </c>
      <c r="JEQ28" s="160">
        <f t="shared" ref="JEQ28" si="3450">JEO28*$C$28</f>
        <v>2.0669135214230696E+19</v>
      </c>
      <c r="JES28" s="160">
        <f t="shared" ref="JES28" si="3451">JEQ28*$C$28</f>
        <v>2.0875826566373003E+19</v>
      </c>
      <c r="JEU28" s="160">
        <f t="shared" ref="JEU28" si="3452">JES28*$C$28</f>
        <v>2.1084584832036733E+19</v>
      </c>
      <c r="JEW28" s="160">
        <f t="shared" ref="JEW28" si="3453">JEU28*$C$28</f>
        <v>2.1295430680357102E+19</v>
      </c>
      <c r="JEY28" s="160">
        <f t="shared" ref="JEY28" si="3454">JEW28*$C$28</f>
        <v>2.1508384987160674E+19</v>
      </c>
      <c r="JFA28" s="160">
        <f t="shared" ref="JFA28" si="3455">JEY28*$C$28</f>
        <v>2.172346883703228E+19</v>
      </c>
      <c r="JFC28" s="160">
        <f t="shared" ref="JFC28" si="3456">JFA28*$C$28</f>
        <v>2.1940703525402604E+19</v>
      </c>
      <c r="JFE28" s="160">
        <f t="shared" ref="JFE28" si="3457">JFC28*$C$28</f>
        <v>2.216011056065663E+19</v>
      </c>
      <c r="JFG28" s="160">
        <f t="shared" ref="JFG28" si="3458">JFE28*$C$28</f>
        <v>2.2381711666263196E+19</v>
      </c>
      <c r="JFI28" s="160">
        <f t="shared" ref="JFI28" si="3459">JFG28*$C$28</f>
        <v>2.2605528782925828E+19</v>
      </c>
      <c r="JFK28" s="160">
        <f t="shared" ref="JFK28" si="3460">JFI28*$C$28</f>
        <v>2.2831584070755086E+19</v>
      </c>
      <c r="JFM28" s="160">
        <f t="shared" ref="JFM28" si="3461">JFK28*$C$28</f>
        <v>2.3059899911462638E+19</v>
      </c>
      <c r="JFO28" s="160">
        <f t="shared" ref="JFO28" si="3462">JFM28*$C$28</f>
        <v>2.3290498910577263E+19</v>
      </c>
      <c r="JFQ28" s="160">
        <f t="shared" ref="JFQ28" si="3463">JFO28*$C$28</f>
        <v>2.3523403899683037E+19</v>
      </c>
      <c r="JFS28" s="160">
        <f t="shared" ref="JFS28" si="3464">JFQ28*$C$28</f>
        <v>2.3758637938679869E+19</v>
      </c>
      <c r="JFU28" s="160">
        <f t="shared" ref="JFU28" si="3465">JFS28*$C$28</f>
        <v>2.3996224318066668E+19</v>
      </c>
      <c r="JFW28" s="160">
        <f t="shared" ref="JFW28" si="3466">JFU28*$C$28</f>
        <v>2.4236186561247334E+19</v>
      </c>
      <c r="JFY28" s="160">
        <f t="shared" ref="JFY28" si="3467">JFW28*$C$28</f>
        <v>2.4478548426859807E+19</v>
      </c>
      <c r="JGA28" s="160">
        <f t="shared" ref="JGA28" si="3468">JFY28*$C$28</f>
        <v>2.4723333911128404E+19</v>
      </c>
      <c r="JGC28" s="160">
        <f t="shared" ref="JGC28" si="3469">JGA28*$C$28</f>
        <v>2.4970567250239689E+19</v>
      </c>
      <c r="JGE28" s="160">
        <f t="shared" ref="JGE28" si="3470">JGC28*$C$28</f>
        <v>2.5220272922742088E+19</v>
      </c>
      <c r="JGG28" s="160">
        <f t="shared" ref="JGG28" si="3471">JGE28*$C$28</f>
        <v>2.5472475651969507E+19</v>
      </c>
      <c r="JGI28" s="160">
        <f t="shared" ref="JGI28" si="3472">JGG28*$C$28</f>
        <v>2.5727200408489202E+19</v>
      </c>
      <c r="JGK28" s="160">
        <f t="shared" ref="JGK28" si="3473">JGI28*$C$28</f>
        <v>2.5984472412574093E+19</v>
      </c>
      <c r="JGM28" s="160">
        <f t="shared" ref="JGM28" si="3474">JGK28*$C$28</f>
        <v>2.6244317136699834E+19</v>
      </c>
      <c r="JGO28" s="160">
        <f t="shared" ref="JGO28" si="3475">JGM28*$C$28</f>
        <v>2.6506760308066832E+19</v>
      </c>
      <c r="JGQ28" s="160">
        <f t="shared" ref="JGQ28" si="3476">JGO28*$C$28</f>
        <v>2.67718279111475E+19</v>
      </c>
      <c r="JGS28" s="160">
        <f t="shared" ref="JGS28" si="3477">JGQ28*$C$28</f>
        <v>2.7039546190258975E+19</v>
      </c>
      <c r="JGU28" s="160">
        <f t="shared" ref="JGU28" si="3478">JGS28*$C$28</f>
        <v>2.7309941652161565E+19</v>
      </c>
      <c r="JGW28" s="160">
        <f t="shared" ref="JGW28" si="3479">JGU28*$C$28</f>
        <v>2.7583041068683182E+19</v>
      </c>
      <c r="JGY28" s="160">
        <f t="shared" ref="JGY28" si="3480">JGW28*$C$28</f>
        <v>2.7858871479370015E+19</v>
      </c>
      <c r="JHA28" s="160">
        <f t="shared" ref="JHA28" si="3481">JGY28*$C$28</f>
        <v>2.8137460194163716E+19</v>
      </c>
      <c r="JHC28" s="160">
        <f t="shared" ref="JHC28" si="3482">JHA28*$C$28</f>
        <v>2.8418834796105355E+19</v>
      </c>
      <c r="JHE28" s="160">
        <f t="shared" ref="JHE28" si="3483">JHC28*$C$28</f>
        <v>2.8703023144066408E+19</v>
      </c>
      <c r="JHG28" s="160">
        <f t="shared" ref="JHG28" si="3484">JHE28*$C$28</f>
        <v>2.8990053375507071E+19</v>
      </c>
      <c r="JHI28" s="160">
        <f t="shared" ref="JHI28" si="3485">JHG28*$C$28</f>
        <v>2.9279953909262143E+19</v>
      </c>
      <c r="JHK28" s="160">
        <f t="shared" ref="JHK28" si="3486">JHI28*$C$28</f>
        <v>2.9572753448354767E+19</v>
      </c>
      <c r="JHM28" s="160">
        <f t="shared" ref="JHM28" si="3487">JHK28*$C$28</f>
        <v>2.9868480982838313E+19</v>
      </c>
      <c r="JHO28" s="160">
        <f t="shared" ref="JHO28" si="3488">JHM28*$C$28</f>
        <v>3.0167165792666698E+19</v>
      </c>
      <c r="JHQ28" s="160">
        <f t="shared" ref="JHQ28" si="3489">JHO28*$C$28</f>
        <v>3.0468837450593366E+19</v>
      </c>
      <c r="JHS28" s="160">
        <f t="shared" ref="JHS28" si="3490">JHQ28*$C$28</f>
        <v>3.0773525825099301E+19</v>
      </c>
      <c r="JHU28" s="160">
        <f t="shared" ref="JHU28" si="3491">JHS28*$C$28</f>
        <v>3.1081261083350295E+19</v>
      </c>
      <c r="JHW28" s="160">
        <f t="shared" ref="JHW28" si="3492">JHU28*$C$28</f>
        <v>3.1392073694183797E+19</v>
      </c>
      <c r="JHY28" s="160">
        <f t="shared" ref="JHY28" si="3493">JHW28*$C$28</f>
        <v>3.1705994431125635E+19</v>
      </c>
      <c r="JIA28" s="160">
        <f t="shared" ref="JIA28" si="3494">JHY28*$C$28</f>
        <v>3.202305437543689E+19</v>
      </c>
      <c r="JIC28" s="160">
        <f t="shared" ref="JIC28" si="3495">JIA28*$C$28</f>
        <v>3.2343284919191261E+19</v>
      </c>
      <c r="JIE28" s="160">
        <f t="shared" ref="JIE28" si="3496">JIC28*$C$28</f>
        <v>3.2666717768383173E+19</v>
      </c>
      <c r="JIG28" s="160">
        <f t="shared" ref="JIG28" si="3497">JIE28*$C$28</f>
        <v>3.2993384946067005E+19</v>
      </c>
      <c r="JII28" s="160">
        <f t="shared" ref="JII28" si="3498">JIG28*$C$28</f>
        <v>3.3323318795527676E+19</v>
      </c>
      <c r="JIK28" s="160">
        <f t="shared" ref="JIK28" si="3499">JII28*$C$28</f>
        <v>3.3656551983482954E+19</v>
      </c>
      <c r="JIM28" s="160">
        <f t="shared" ref="JIM28" si="3500">JIK28*$C$28</f>
        <v>3.3993117503317783E+19</v>
      </c>
      <c r="JIO28" s="160">
        <f t="shared" ref="JIO28" si="3501">JIM28*$C$28</f>
        <v>3.4333048678350963E+19</v>
      </c>
      <c r="JIQ28" s="160">
        <f t="shared" ref="JIQ28" si="3502">JIO28*$C$28</f>
        <v>3.4676379165134471E+19</v>
      </c>
      <c r="JIS28" s="160">
        <f t="shared" ref="JIS28" si="3503">JIQ28*$C$28</f>
        <v>3.5023142956785816E+19</v>
      </c>
      <c r="JIU28" s="160">
        <f t="shared" ref="JIU28" si="3504">JIS28*$C$28</f>
        <v>3.5373374386353672E+19</v>
      </c>
      <c r="JIW28" s="160">
        <f t="shared" ref="JIW28" si="3505">JIU28*$C$28</f>
        <v>3.572710813021721E+19</v>
      </c>
      <c r="JIY28" s="160">
        <f t="shared" ref="JIY28" si="3506">JIW28*$C$28</f>
        <v>3.6084379211519382E+19</v>
      </c>
      <c r="JJA28" s="160">
        <f t="shared" ref="JJA28" si="3507">JIY28*$C$28</f>
        <v>3.6445223003634577E+19</v>
      </c>
      <c r="JJC28" s="160">
        <f t="shared" ref="JJC28" si="3508">JJA28*$C$28</f>
        <v>3.6809675233670922E+19</v>
      </c>
      <c r="JJE28" s="160">
        <f t="shared" ref="JJE28" si="3509">JJC28*$C$28</f>
        <v>3.717777198600763E+19</v>
      </c>
      <c r="JJG28" s="160">
        <f t="shared" ref="JJG28" si="3510">JJE28*$C$28</f>
        <v>3.7549549705867706E+19</v>
      </c>
      <c r="JJI28" s="160">
        <f t="shared" ref="JJI28" si="3511">JJG28*$C$28</f>
        <v>3.7925045202926387E+19</v>
      </c>
      <c r="JJK28" s="160">
        <f t="shared" ref="JJK28" si="3512">JJI28*$C$28</f>
        <v>3.8304295654955655E+19</v>
      </c>
      <c r="JJM28" s="160">
        <f t="shared" ref="JJM28" si="3513">JJK28*$C$28</f>
        <v>3.8687338611505209E+19</v>
      </c>
      <c r="JJO28" s="160">
        <f t="shared" ref="JJO28" si="3514">JJM28*$C$28</f>
        <v>3.9074211997620265E+19</v>
      </c>
      <c r="JJQ28" s="160">
        <f t="shared" ref="JJQ28" si="3515">JJO28*$C$28</f>
        <v>3.9464954117596471E+19</v>
      </c>
      <c r="JJS28" s="160">
        <f t="shared" ref="JJS28" si="3516">JJQ28*$C$28</f>
        <v>3.9859603658772439E+19</v>
      </c>
      <c r="JJU28" s="160">
        <f t="shared" ref="JJU28" si="3517">JJS28*$C$28</f>
        <v>4.0258199695360164E+19</v>
      </c>
      <c r="JJW28" s="160">
        <f t="shared" ref="JJW28" si="3518">JJU28*$C$28</f>
        <v>4.0660781692313764E+19</v>
      </c>
      <c r="JJY28" s="160">
        <f t="shared" ref="JJY28" si="3519">JJW28*$C$28</f>
        <v>4.10673895092369E+19</v>
      </c>
      <c r="JKA28" s="160">
        <f t="shared" ref="JKA28" si="3520">JJY28*$C$28</f>
        <v>4.1478063404329271E+19</v>
      </c>
      <c r="JKC28" s="160">
        <f t="shared" ref="JKC28" si="3521">JKA28*$C$28</f>
        <v>4.1892844038372565E+19</v>
      </c>
      <c r="JKE28" s="160">
        <f t="shared" ref="JKE28" si="3522">JKC28*$C$28</f>
        <v>4.2311772478756291E+19</v>
      </c>
      <c r="JKG28" s="160">
        <f t="shared" ref="JKG28" si="3523">JKE28*$C$28</f>
        <v>4.2734890203543855E+19</v>
      </c>
      <c r="JKI28" s="160">
        <f t="shared" ref="JKI28" si="3524">JKG28*$C$28</f>
        <v>4.3162239105579295E+19</v>
      </c>
      <c r="JKK28" s="160">
        <f t="shared" ref="JKK28" si="3525">JKI28*$C$28</f>
        <v>4.3593861496635089E+19</v>
      </c>
      <c r="JKM28" s="160">
        <f t="shared" ref="JKM28" si="3526">JKK28*$C$28</f>
        <v>4.4029800111601443E+19</v>
      </c>
      <c r="JKO28" s="160">
        <f t="shared" ref="JKO28" si="3527">JKM28*$C$28</f>
        <v>4.4470098112717455E+19</v>
      </c>
      <c r="JKQ28" s="160">
        <f t="shared" ref="JKQ28" si="3528">JKO28*$C$28</f>
        <v>4.4914799093844632E+19</v>
      </c>
      <c r="JKS28" s="160">
        <f t="shared" ref="JKS28" si="3529">JKQ28*$C$28</f>
        <v>4.5363947084783075E+19</v>
      </c>
      <c r="JKU28" s="160">
        <f t="shared" ref="JKU28" si="3530">JKS28*$C$28</f>
        <v>4.5817586555630903E+19</v>
      </c>
      <c r="JKW28" s="160">
        <f t="shared" ref="JKW28" si="3531">JKU28*$C$28</f>
        <v>4.6275762421187215E+19</v>
      </c>
      <c r="JKY28" s="160">
        <f t="shared" ref="JKY28" si="3532">JKW28*$C$28</f>
        <v>4.6738520045399089E+19</v>
      </c>
      <c r="JLA28" s="160">
        <f t="shared" ref="JLA28" si="3533">JKY28*$C$28</f>
        <v>4.7205905245853082E+19</v>
      </c>
      <c r="JLC28" s="160">
        <f t="shared" ref="JLC28" si="3534">JLA28*$C$28</f>
        <v>4.7677964298311614E+19</v>
      </c>
      <c r="JLE28" s="160">
        <f t="shared" ref="JLE28" si="3535">JLC28*$C$28</f>
        <v>4.8154743941294727E+19</v>
      </c>
      <c r="JLG28" s="160">
        <f t="shared" ref="JLG28" si="3536">JLE28*$C$28</f>
        <v>4.8636291380707672E+19</v>
      </c>
      <c r="JLI28" s="160">
        <f t="shared" ref="JLI28" si="3537">JLG28*$C$28</f>
        <v>4.9122654294514745E+19</v>
      </c>
      <c r="JLK28" s="160">
        <f t="shared" ref="JLK28" si="3538">JLI28*$C$28</f>
        <v>4.9613880837459894E+19</v>
      </c>
      <c r="JLM28" s="160">
        <f t="shared" ref="JLM28" si="3539">JLK28*$C$28</f>
        <v>5.0110019645834494E+19</v>
      </c>
      <c r="JLO28" s="160">
        <f t="shared" ref="JLO28" si="3540">JLM28*$C$28</f>
        <v>5.0611119842292842E+19</v>
      </c>
      <c r="JLQ28" s="160">
        <f t="shared" ref="JLQ28" si="3541">JLO28*$C$28</f>
        <v>5.1117231040715768E+19</v>
      </c>
      <c r="JLS28" s="160">
        <f t="shared" ref="JLS28" si="3542">JLQ28*$C$28</f>
        <v>5.1628403351122928E+19</v>
      </c>
      <c r="JLU28" s="160">
        <f t="shared" ref="JLU28" si="3543">JLS28*$C$28</f>
        <v>5.2144687384634155E+19</v>
      </c>
      <c r="JLW28" s="160">
        <f t="shared" ref="JLW28" si="3544">JLU28*$C$28</f>
        <v>5.2666134258480497E+19</v>
      </c>
      <c r="JLY28" s="160">
        <f t="shared" ref="JLY28" si="3545">JLW28*$C$28</f>
        <v>5.3192795601065304E+19</v>
      </c>
      <c r="JMA28" s="160">
        <f t="shared" ref="JMA28" si="3546">JLY28*$C$28</f>
        <v>5.372472355707596E+19</v>
      </c>
      <c r="JMC28" s="160">
        <f t="shared" ref="JMC28" si="3547">JMA28*$C$28</f>
        <v>5.4261970792646722E+19</v>
      </c>
      <c r="JME28" s="160">
        <f t="shared" ref="JME28" si="3548">JMC28*$C$28</f>
        <v>5.4804590500573192E+19</v>
      </c>
      <c r="JMG28" s="160">
        <f t="shared" ref="JMG28" si="3549">JME28*$C$28</f>
        <v>5.5352636405578924E+19</v>
      </c>
      <c r="JMI28" s="160">
        <f t="shared" ref="JMI28" si="3550">JMG28*$C$28</f>
        <v>5.5906162769634714E+19</v>
      </c>
      <c r="JMK28" s="160">
        <f t="shared" ref="JMK28" si="3551">JMI28*$C$28</f>
        <v>5.6465224397331063E+19</v>
      </c>
      <c r="JMM28" s="160">
        <f t="shared" ref="JMM28" si="3552">JMK28*$C$28</f>
        <v>5.7029876641304371E+19</v>
      </c>
      <c r="JMO28" s="160">
        <f t="shared" ref="JMO28" si="3553">JMM28*$C$28</f>
        <v>5.7600175407717417E+19</v>
      </c>
      <c r="JMQ28" s="160">
        <f t="shared" ref="JMQ28" si="3554">JMO28*$C$28</f>
        <v>5.8176177161794593E+19</v>
      </c>
      <c r="JMS28" s="160">
        <f t="shared" ref="JMS28" si="3555">JMQ28*$C$28</f>
        <v>5.8757938933412536E+19</v>
      </c>
      <c r="JMU28" s="160">
        <f t="shared" ref="JMU28" si="3556">JMS28*$C$28</f>
        <v>5.9345518322746663E+19</v>
      </c>
      <c r="JMW28" s="160">
        <f t="shared" ref="JMW28" si="3557">JMU28*$C$28</f>
        <v>5.9938973505974133E+19</v>
      </c>
      <c r="JMY28" s="160">
        <f t="shared" ref="JMY28" si="3558">JMW28*$C$28</f>
        <v>6.0538363241033875E+19</v>
      </c>
      <c r="JNA28" s="160">
        <f t="shared" ref="JNA28" si="3559">JMY28*$C$28</f>
        <v>6.1143746873444213E+19</v>
      </c>
      <c r="JNC28" s="160">
        <f t="shared" ref="JNC28" si="3560">JNA28*$C$28</f>
        <v>6.1755184342178652E+19</v>
      </c>
      <c r="JNE28" s="160">
        <f t="shared" ref="JNE28" si="3561">JNC28*$C$28</f>
        <v>6.2372736185600442E+19</v>
      </c>
      <c r="JNG28" s="160">
        <f t="shared" ref="JNG28" si="3562">JNE28*$C$28</f>
        <v>6.2996463547456446E+19</v>
      </c>
      <c r="JNI28" s="160">
        <f t="shared" ref="JNI28" si="3563">JNG28*$C$28</f>
        <v>6.3626428182931014E+19</v>
      </c>
      <c r="JNK28" s="160">
        <f t="shared" ref="JNK28" si="3564">JNI28*$C$28</f>
        <v>6.4262692464760324E+19</v>
      </c>
      <c r="JNM28" s="160">
        <f t="shared" ref="JNM28" si="3565">JNK28*$C$28</f>
        <v>6.4905319389407928E+19</v>
      </c>
      <c r="JNO28" s="160">
        <f t="shared" ref="JNO28" si="3566">JNM28*$C$28</f>
        <v>6.5554372583302005E+19</v>
      </c>
      <c r="JNQ28" s="160">
        <f t="shared" ref="JNQ28" si="3567">JNO28*$C$28</f>
        <v>6.6209916309135024E+19</v>
      </c>
      <c r="JNS28" s="160">
        <f t="shared" ref="JNS28" si="3568">JNQ28*$C$28</f>
        <v>6.6872015472226378E+19</v>
      </c>
      <c r="JNU28" s="160">
        <f t="shared" ref="JNU28" si="3569">JNS28*$C$28</f>
        <v>6.7540735626948641E+19</v>
      </c>
      <c r="JNW28" s="160">
        <f t="shared" ref="JNW28" si="3570">JNU28*$C$28</f>
        <v>6.8216142983218127E+19</v>
      </c>
      <c r="JNY28" s="160">
        <f t="shared" ref="JNY28" si="3571">JNW28*$C$28</f>
        <v>6.8898304413050307E+19</v>
      </c>
      <c r="JOA28" s="160">
        <f t="shared" ref="JOA28" si="3572">JNY28*$C$28</f>
        <v>6.9587287457180811E+19</v>
      </c>
      <c r="JOC28" s="160">
        <f t="shared" ref="JOC28" si="3573">JOA28*$C$28</f>
        <v>7.028316033175262E+19</v>
      </c>
      <c r="JOE28" s="160">
        <f t="shared" ref="JOE28" si="3574">JOC28*$C$28</f>
        <v>7.0985991935070151E+19</v>
      </c>
      <c r="JOG28" s="160">
        <f t="shared" ref="JOG28" si="3575">JOE28*$C$28</f>
        <v>7.1695851854420853E+19</v>
      </c>
      <c r="JOI28" s="160">
        <f t="shared" ref="JOI28" si="3576">JOG28*$C$28</f>
        <v>7.2412810372965065E+19</v>
      </c>
      <c r="JOK28" s="160">
        <f t="shared" ref="JOK28" si="3577">JOI28*$C$28</f>
        <v>7.3136938476694716E+19</v>
      </c>
      <c r="JOM28" s="160">
        <f t="shared" ref="JOM28" si="3578">JOK28*$C$28</f>
        <v>7.3868307861461664E+19</v>
      </c>
      <c r="JOO28" s="160">
        <f t="shared" ref="JOO28" si="3579">JOM28*$C$28</f>
        <v>7.4606990940076278E+19</v>
      </c>
      <c r="JOQ28" s="160">
        <f t="shared" ref="JOQ28" si="3580">JOO28*$C$28</f>
        <v>7.5353060849477042E+19</v>
      </c>
      <c r="JOS28" s="160">
        <f t="shared" ref="JOS28" si="3581">JOQ28*$C$28</f>
        <v>7.6106591457971814E+19</v>
      </c>
      <c r="JOU28" s="160">
        <f t="shared" ref="JOU28" si="3582">JOS28*$C$28</f>
        <v>7.6867657372551528E+19</v>
      </c>
      <c r="JOW28" s="160">
        <f t="shared" ref="JOW28" si="3583">JOU28*$C$28</f>
        <v>7.7636333946277052E+19</v>
      </c>
      <c r="JOY28" s="160">
        <f t="shared" ref="JOY28" si="3584">JOW28*$C$28</f>
        <v>7.8412697285739823E+19</v>
      </c>
      <c r="JPA28" s="160">
        <f t="shared" ref="JPA28" si="3585">JOY28*$C$28</f>
        <v>7.9196824258597224E+19</v>
      </c>
      <c r="JPC28" s="160">
        <f t="shared" ref="JPC28" si="3586">JPA28*$C$28</f>
        <v>7.9988792501183201E+19</v>
      </c>
      <c r="JPE28" s="160">
        <f t="shared" ref="JPE28" si="3587">JPC28*$C$28</f>
        <v>8.0788680426195026E+19</v>
      </c>
      <c r="JPG28" s="160">
        <f t="shared" ref="JPG28" si="3588">JPE28*$C$28</f>
        <v>8.1596567230456971E+19</v>
      </c>
      <c r="JPI28" s="160">
        <f t="shared" ref="JPI28" si="3589">JPG28*$C$28</f>
        <v>8.2412532902761546E+19</v>
      </c>
      <c r="JPK28" s="160">
        <f t="shared" ref="JPK28" si="3590">JPI28*$C$28</f>
        <v>8.3236658231789158E+19</v>
      </c>
      <c r="JPM28" s="160">
        <f t="shared" ref="JPM28" si="3591">JPK28*$C$28</f>
        <v>8.406902481410705E+19</v>
      </c>
      <c r="JPO28" s="160">
        <f t="shared" ref="JPO28" si="3592">JPM28*$C$28</f>
        <v>8.4909715062248129E+19</v>
      </c>
      <c r="JPQ28" s="160">
        <f t="shared" ref="JPQ28" si="3593">JPO28*$C$28</f>
        <v>8.5758812212870611E+19</v>
      </c>
      <c r="JPS28" s="160">
        <f t="shared" ref="JPS28" si="3594">JPQ28*$C$28</f>
        <v>8.6616400334999323E+19</v>
      </c>
      <c r="JPU28" s="160">
        <f t="shared" ref="JPU28" si="3595">JPS28*$C$28</f>
        <v>8.748256433834931E+19</v>
      </c>
      <c r="JPW28" s="160">
        <f t="shared" ref="JPW28" si="3596">JPU28*$C$28</f>
        <v>8.8357389981732798E+19</v>
      </c>
      <c r="JPY28" s="160">
        <f t="shared" ref="JPY28" si="3597">JPW28*$C$28</f>
        <v>8.9240963881550135E+19</v>
      </c>
      <c r="JQA28" s="160">
        <f t="shared" ref="JQA28" si="3598">JPY28*$C$28</f>
        <v>9.0133373520365634E+19</v>
      </c>
      <c r="JQC28" s="160">
        <f t="shared" ref="JQC28" si="3599">JQA28*$C$28</f>
        <v>9.1034707255569285E+19</v>
      </c>
      <c r="JQE28" s="160">
        <f t="shared" ref="JQE28" si="3600">JQC28*$C$28</f>
        <v>9.1945054328124981E+19</v>
      </c>
      <c r="JQG28" s="160">
        <f t="shared" ref="JQG28" si="3601">JQE28*$C$28</f>
        <v>9.286450487140624E+19</v>
      </c>
      <c r="JQI28" s="160">
        <f t="shared" ref="JQI28" si="3602">JQG28*$C$28</f>
        <v>9.3793149920120308E+19</v>
      </c>
      <c r="JQK28" s="160">
        <f t="shared" ref="JQK28" si="3603">JQI28*$C$28</f>
        <v>9.4731081419321508E+19</v>
      </c>
      <c r="JQM28" s="160">
        <f t="shared" ref="JQM28" si="3604">JQK28*$C$28</f>
        <v>9.5678392233514729E+19</v>
      </c>
      <c r="JQO28" s="160">
        <f t="shared" ref="JQO28" si="3605">JQM28*$C$28</f>
        <v>9.6635176155849884E+19</v>
      </c>
      <c r="JQQ28" s="160">
        <f t="shared" ref="JQQ28" si="3606">JQO28*$C$28</f>
        <v>9.7601527917408387E+19</v>
      </c>
      <c r="JQS28" s="160">
        <f t="shared" ref="JQS28" si="3607">JQQ28*$C$28</f>
        <v>9.8577543196582478E+19</v>
      </c>
      <c r="JQU28" s="160">
        <f t="shared" ref="JQU28" si="3608">JQS28*$C$28</f>
        <v>9.9563318628548297E+19</v>
      </c>
      <c r="JQW28" s="160">
        <f t="shared" ref="JQW28" si="3609">JQU28*$C$28</f>
        <v>1.0055895181483378E+20</v>
      </c>
      <c r="JQY28" s="160">
        <f t="shared" ref="JQY28" si="3610">JQW28*$C$28</f>
        <v>1.0156454133298212E+20</v>
      </c>
      <c r="JRA28" s="160">
        <f t="shared" ref="JRA28" si="3611">JQY28*$C$28</f>
        <v>1.0258018674631195E+20</v>
      </c>
      <c r="JRC28" s="160">
        <f t="shared" ref="JRC28" si="3612">JRA28*$C$28</f>
        <v>1.0360598861377507E+20</v>
      </c>
      <c r="JRE28" s="160">
        <f t="shared" ref="JRE28" si="3613">JRC28*$C$28</f>
        <v>1.0464204849991282E+20</v>
      </c>
      <c r="JRG28" s="160">
        <f t="shared" ref="JRG28" si="3614">JRE28*$C$28</f>
        <v>1.0568846898491195E+20</v>
      </c>
      <c r="JRI28" s="160">
        <f t="shared" ref="JRI28" si="3615">JRG28*$C$28</f>
        <v>1.0674535367476108E+20</v>
      </c>
      <c r="JRK28" s="160">
        <f t="shared" ref="JRK28" si="3616">JRI28*$C$28</f>
        <v>1.078128072115087E+20</v>
      </c>
      <c r="JRM28" s="160">
        <f t="shared" ref="JRM28" si="3617">JRK28*$C$28</f>
        <v>1.0889093528362379E+20</v>
      </c>
      <c r="JRO28" s="160">
        <f t="shared" ref="JRO28" si="3618">JRM28*$C$28</f>
        <v>1.0997984463646002E+20</v>
      </c>
      <c r="JRQ28" s="160">
        <f t="shared" ref="JRQ28" si="3619">JRO28*$C$28</f>
        <v>1.1107964308282463E+20</v>
      </c>
      <c r="JRS28" s="160">
        <f t="shared" ref="JRS28" si="3620">JRQ28*$C$28</f>
        <v>1.1219043951365287E+20</v>
      </c>
      <c r="JRU28" s="160">
        <f t="shared" ref="JRU28" si="3621">JRS28*$C$28</f>
        <v>1.133123439087894E+20</v>
      </c>
      <c r="JRW28" s="160">
        <f t="shared" ref="JRW28" si="3622">JRU28*$C$28</f>
        <v>1.144454673478773E+20</v>
      </c>
      <c r="JRY28" s="160">
        <f t="shared" ref="JRY28" si="3623">JRW28*$C$28</f>
        <v>1.1558992202135608E+20</v>
      </c>
      <c r="JSA28" s="160">
        <f t="shared" ref="JSA28" si="3624">JRY28*$C$28</f>
        <v>1.1674582124156964E+20</v>
      </c>
      <c r="JSC28" s="160">
        <f t="shared" ref="JSC28" si="3625">JSA28*$C$28</f>
        <v>1.1791327945398534E+20</v>
      </c>
      <c r="JSE28" s="160">
        <f t="shared" ref="JSE28" si="3626">JSC28*$C$28</f>
        <v>1.1909241224852519E+20</v>
      </c>
      <c r="JSG28" s="160">
        <f t="shared" ref="JSG28" si="3627">JSE28*$C$28</f>
        <v>1.2028333637101045E+20</v>
      </c>
      <c r="JSI28" s="160">
        <f t="shared" ref="JSI28" si="3628">JSG28*$C$28</f>
        <v>1.2148616973472055E+20</v>
      </c>
      <c r="JSK28" s="160">
        <f t="shared" ref="JSK28" si="3629">JSI28*$C$28</f>
        <v>1.2270103143206776E+20</v>
      </c>
      <c r="JSM28" s="160">
        <f t="shared" ref="JSM28" si="3630">JSK28*$C$28</f>
        <v>1.2392804174638843E+20</v>
      </c>
      <c r="JSO28" s="160">
        <f t="shared" ref="JSO28" si="3631">JSM28*$C$28</f>
        <v>1.2516732216385231E+20</v>
      </c>
      <c r="JSQ28" s="160">
        <f t="shared" ref="JSQ28" si="3632">JSO28*$C$28</f>
        <v>1.2641899538549083E+20</v>
      </c>
      <c r="JSS28" s="160">
        <f t="shared" ref="JSS28" si="3633">JSQ28*$C$28</f>
        <v>1.2768318533934575E+20</v>
      </c>
      <c r="JSU28" s="160">
        <f t="shared" ref="JSU28" si="3634">JSS28*$C$28</f>
        <v>1.2896001719273921E+20</v>
      </c>
      <c r="JSW28" s="160">
        <f t="shared" ref="JSW28" si="3635">JSU28*$C$28</f>
        <v>1.302496173646666E+20</v>
      </c>
      <c r="JSY28" s="160">
        <f t="shared" ref="JSY28" si="3636">JSW28*$C$28</f>
        <v>1.3155211353831326E+20</v>
      </c>
      <c r="JTA28" s="160">
        <f t="shared" ref="JTA28" si="3637">JSY28*$C$28</f>
        <v>1.3286763467369639E+20</v>
      </c>
      <c r="JTC28" s="160">
        <f t="shared" ref="JTC28" si="3638">JTA28*$C$28</f>
        <v>1.3419631102043336E+20</v>
      </c>
      <c r="JTE28" s="160">
        <f t="shared" ref="JTE28" si="3639">JTC28*$C$28</f>
        <v>1.355382741306377E+20</v>
      </c>
      <c r="JTG28" s="160">
        <f t="shared" ref="JTG28" si="3640">JTE28*$C$28</f>
        <v>1.3689365687194408E+20</v>
      </c>
      <c r="JTI28" s="160">
        <f t="shared" ref="JTI28" si="3641">JTG28*$C$28</f>
        <v>1.3826259344066352E+20</v>
      </c>
      <c r="JTK28" s="160">
        <f t="shared" ref="JTK28" si="3642">JTI28*$C$28</f>
        <v>1.3964521937507015E+20</v>
      </c>
      <c r="JTM28" s="160">
        <f t="shared" ref="JTM28" si="3643">JTK28*$C$28</f>
        <v>1.4104167156882085E+20</v>
      </c>
      <c r="JTO28" s="160">
        <f t="shared" ref="JTO28" si="3644">JTM28*$C$28</f>
        <v>1.4245208828450906E+20</v>
      </c>
      <c r="JTQ28" s="160">
        <f t="shared" ref="JTQ28" si="3645">JTO28*$C$28</f>
        <v>1.4387660916735415E+20</v>
      </c>
      <c r="JTS28" s="160">
        <f t="shared" ref="JTS28" si="3646">JTQ28*$C$28</f>
        <v>1.453153752590277E+20</v>
      </c>
      <c r="JTU28" s="160">
        <f t="shared" ref="JTU28" si="3647">JTS28*$C$28</f>
        <v>1.4676852901161797E+20</v>
      </c>
      <c r="JTW28" s="160">
        <f t="shared" ref="JTW28" si="3648">JTU28*$C$28</f>
        <v>1.4823621430173414E+20</v>
      </c>
      <c r="JTY28" s="160">
        <f t="shared" ref="JTY28" si="3649">JTW28*$C$28</f>
        <v>1.4971857644475148E+20</v>
      </c>
      <c r="JUA28" s="160">
        <f t="shared" ref="JUA28" si="3650">JTY28*$C$28</f>
        <v>1.51215762209199E+20</v>
      </c>
      <c r="JUC28" s="160">
        <f t="shared" ref="JUC28" si="3651">JUA28*$C$28</f>
        <v>1.52727919831291E+20</v>
      </c>
      <c r="JUE28" s="160">
        <f t="shared" ref="JUE28" si="3652">JUC28*$C$28</f>
        <v>1.5425519902960393E+20</v>
      </c>
      <c r="JUG28" s="160">
        <f t="shared" ref="JUG28" si="3653">JUE28*$C$28</f>
        <v>1.5579775101989998E+20</v>
      </c>
      <c r="JUI28" s="160">
        <f t="shared" ref="JUI28" si="3654">JUG28*$C$28</f>
        <v>1.5735572853009898E+20</v>
      </c>
      <c r="JUK28" s="160">
        <f t="shared" ref="JUK28" si="3655">JUI28*$C$28</f>
        <v>1.5892928581539997E+20</v>
      </c>
      <c r="JUM28" s="160">
        <f t="shared" ref="JUM28" si="3656">JUK28*$C$28</f>
        <v>1.6051857867355397E+20</v>
      </c>
      <c r="JUO28" s="160">
        <f t="shared" ref="JUO28" si="3657">JUM28*$C$28</f>
        <v>1.6212376446028949E+20</v>
      </c>
      <c r="JUQ28" s="160">
        <f t="shared" ref="JUQ28" si="3658">JUO28*$C$28</f>
        <v>1.6374500210489239E+20</v>
      </c>
      <c r="JUS28" s="160">
        <f t="shared" ref="JUS28" si="3659">JUQ28*$C$28</f>
        <v>1.653824521259413E+20</v>
      </c>
      <c r="JUU28" s="160">
        <f t="shared" ref="JUU28" si="3660">JUS28*$C$28</f>
        <v>1.6703627664720072E+20</v>
      </c>
      <c r="JUW28" s="160">
        <f t="shared" ref="JUW28" si="3661">JUU28*$C$28</f>
        <v>1.6870663941367274E+20</v>
      </c>
      <c r="JUY28" s="160">
        <f t="shared" ref="JUY28" si="3662">JUW28*$C$28</f>
        <v>1.7039370580780948E+20</v>
      </c>
      <c r="JVA28" s="160">
        <f t="shared" ref="JVA28" si="3663">JUY28*$C$28</f>
        <v>1.7209764286588758E+20</v>
      </c>
      <c r="JVC28" s="160">
        <f t="shared" ref="JVC28" si="3664">JVA28*$C$28</f>
        <v>1.7381861929454646E+20</v>
      </c>
      <c r="JVE28" s="160">
        <f t="shared" ref="JVE28" si="3665">JVC28*$C$28</f>
        <v>1.7555680548749194E+20</v>
      </c>
      <c r="JVG28" s="160">
        <f t="shared" ref="JVG28" si="3666">JVE28*$C$28</f>
        <v>1.7731237354236687E+20</v>
      </c>
      <c r="JVI28" s="160">
        <f t="shared" ref="JVI28" si="3667">JVG28*$C$28</f>
        <v>1.7908549727779055E+20</v>
      </c>
      <c r="JVK28" s="160">
        <f t="shared" ref="JVK28" si="3668">JVI28*$C$28</f>
        <v>1.8087635225056847E+20</v>
      </c>
      <c r="JVM28" s="160">
        <f t="shared" ref="JVM28" si="3669">JVK28*$C$28</f>
        <v>1.8268511577307415E+20</v>
      </c>
      <c r="JVO28" s="160">
        <f t="shared" ref="JVO28" si="3670">JVM28*$C$28</f>
        <v>1.845119669308049E+20</v>
      </c>
      <c r="JVQ28" s="160">
        <f t="shared" ref="JVQ28" si="3671">JVO28*$C$28</f>
        <v>1.8635708660011296E+20</v>
      </c>
      <c r="JVS28" s="160">
        <f t="shared" ref="JVS28" si="3672">JVQ28*$C$28</f>
        <v>1.8822065746611408E+20</v>
      </c>
      <c r="JVU28" s="160">
        <f t="shared" ref="JVU28" si="3673">JVS28*$C$28</f>
        <v>1.9010286404077522E+20</v>
      </c>
      <c r="JVW28" s="160">
        <f t="shared" ref="JVW28" si="3674">JVU28*$C$28</f>
        <v>1.9200389268118297E+20</v>
      </c>
      <c r="JVY28" s="160">
        <f t="shared" ref="JVY28" si="3675">JVW28*$C$28</f>
        <v>1.9392393160799479E+20</v>
      </c>
      <c r="JWA28" s="160">
        <f t="shared" ref="JWA28" si="3676">JVY28*$C$28</f>
        <v>1.9586317092407473E+20</v>
      </c>
      <c r="JWC28" s="160">
        <f t="shared" ref="JWC28" si="3677">JWA28*$C$28</f>
        <v>1.9782180263331548E+20</v>
      </c>
      <c r="JWE28" s="160">
        <f t="shared" ref="JWE28" si="3678">JWC28*$C$28</f>
        <v>1.9980002065964863E+20</v>
      </c>
      <c r="JWG28" s="160">
        <f t="shared" ref="JWG28" si="3679">JWE28*$C$28</f>
        <v>2.017980208662451E+20</v>
      </c>
      <c r="JWI28" s="160">
        <f t="shared" ref="JWI28" si="3680">JWG28*$C$28</f>
        <v>2.0381600107490755E+20</v>
      </c>
      <c r="JWK28" s="160">
        <f t="shared" ref="JWK28" si="3681">JWI28*$C$28</f>
        <v>2.0585416108565663E+20</v>
      </c>
      <c r="JWM28" s="160">
        <f t="shared" ref="JWM28" si="3682">JWK28*$C$28</f>
        <v>2.0791270269651321E+20</v>
      </c>
      <c r="JWO28" s="160">
        <f t="shared" ref="JWO28" si="3683">JWM28*$C$28</f>
        <v>2.0999182972347833E+20</v>
      </c>
      <c r="JWQ28" s="160">
        <f t="shared" ref="JWQ28" si="3684">JWO28*$C$28</f>
        <v>2.1209174802071313E+20</v>
      </c>
      <c r="JWS28" s="160">
        <f t="shared" ref="JWS28" si="3685">JWQ28*$C$28</f>
        <v>2.1421266550092025E+20</v>
      </c>
      <c r="JWU28" s="160">
        <f t="shared" ref="JWU28" si="3686">JWS28*$C$28</f>
        <v>2.1635479215592944E+20</v>
      </c>
      <c r="JWW28" s="160">
        <f t="shared" ref="JWW28" si="3687">JWU28*$C$28</f>
        <v>2.1851834007748873E+20</v>
      </c>
      <c r="JWY28" s="160">
        <f t="shared" ref="JWY28" si="3688">JWW28*$C$28</f>
        <v>2.2070352347826363E+20</v>
      </c>
      <c r="JXA28" s="160">
        <f t="shared" ref="JXA28" si="3689">JWY28*$C$28</f>
        <v>2.2291055871304627E+20</v>
      </c>
      <c r="JXC28" s="160">
        <f t="shared" ref="JXC28" si="3690">JXA28*$C$28</f>
        <v>2.2513966430017674E+20</v>
      </c>
      <c r="JXE28" s="160">
        <f t="shared" ref="JXE28" si="3691">JXC28*$C$28</f>
        <v>2.273910609431785E+20</v>
      </c>
      <c r="JXG28" s="160">
        <f t="shared" ref="JXG28" si="3692">JXE28*$C$28</f>
        <v>2.2966497155261029E+20</v>
      </c>
      <c r="JXI28" s="160">
        <f t="shared" ref="JXI28" si="3693">JXG28*$C$28</f>
        <v>2.3196162126813639E+20</v>
      </c>
      <c r="JXK28" s="160">
        <f t="shared" ref="JXK28" si="3694">JXI28*$C$28</f>
        <v>2.3428123748081775E+20</v>
      </c>
      <c r="JXM28" s="160">
        <f t="shared" ref="JXM28" si="3695">JXK28*$C$28</f>
        <v>2.3662404985562592E+20</v>
      </c>
      <c r="JXO28" s="160">
        <f t="shared" ref="JXO28" si="3696">JXM28*$C$28</f>
        <v>2.3899029035418219E+20</v>
      </c>
      <c r="JXQ28" s="160">
        <f t="shared" ref="JXQ28" si="3697">JXO28*$C$28</f>
        <v>2.4138019325772402E+20</v>
      </c>
      <c r="JXS28" s="160">
        <f t="shared" ref="JXS28" si="3698">JXQ28*$C$28</f>
        <v>2.4379399519030126E+20</v>
      </c>
      <c r="JXU28" s="160">
        <f t="shared" ref="JXU28" si="3699">JXS28*$C$28</f>
        <v>2.4623193514220428E+20</v>
      </c>
      <c r="JXW28" s="160">
        <f t="shared" ref="JXW28" si="3700">JXU28*$C$28</f>
        <v>2.4869425449362634E+20</v>
      </c>
      <c r="JXY28" s="160">
        <f t="shared" ref="JXY28" si="3701">JXW28*$C$28</f>
        <v>2.5118119703856261E+20</v>
      </c>
      <c r="JYA28" s="160">
        <f t="shared" ref="JYA28" si="3702">JXY28*$C$28</f>
        <v>2.5369300900894825E+20</v>
      </c>
      <c r="JYC28" s="160">
        <f t="shared" ref="JYC28" si="3703">JYA28*$C$28</f>
        <v>2.5622993909903773E+20</v>
      </c>
      <c r="JYE28" s="160">
        <f t="shared" ref="JYE28" si="3704">JYC28*$C$28</f>
        <v>2.5879223849002811E+20</v>
      </c>
      <c r="JYG28" s="160">
        <f t="shared" ref="JYG28" si="3705">JYE28*$C$28</f>
        <v>2.6138016087492841E+20</v>
      </c>
      <c r="JYI28" s="160">
        <f t="shared" ref="JYI28" si="3706">JYG28*$C$28</f>
        <v>2.6399396248367769E+20</v>
      </c>
      <c r="JYK28" s="160">
        <f t="shared" ref="JYK28" si="3707">JYI28*$C$28</f>
        <v>2.6663390210851448E+20</v>
      </c>
      <c r="JYM28" s="160">
        <f t="shared" ref="JYM28" si="3708">JYK28*$C$28</f>
        <v>2.6930024112959963E+20</v>
      </c>
      <c r="JYO28" s="160">
        <f t="shared" ref="JYO28" si="3709">JYM28*$C$28</f>
        <v>2.7199324354089563E+20</v>
      </c>
      <c r="JYQ28" s="160">
        <f t="shared" ref="JYQ28" si="3710">JYO28*$C$28</f>
        <v>2.7471317597630457E+20</v>
      </c>
      <c r="JYS28" s="160">
        <f t="shared" ref="JYS28" si="3711">JYQ28*$C$28</f>
        <v>2.7746030773606764E+20</v>
      </c>
      <c r="JYU28" s="160">
        <f t="shared" ref="JYU28" si="3712">JYS28*$C$28</f>
        <v>2.8023491081342832E+20</v>
      </c>
      <c r="JYW28" s="160">
        <f t="shared" ref="JYW28" si="3713">JYU28*$C$28</f>
        <v>2.830372599215626E+20</v>
      </c>
      <c r="JYY28" s="160">
        <f t="shared" ref="JYY28" si="3714">JYW28*$C$28</f>
        <v>2.8586763252077822E+20</v>
      </c>
      <c r="JZA28" s="160">
        <f t="shared" ref="JZA28" si="3715">JYY28*$C$28</f>
        <v>2.8872630884598599E+20</v>
      </c>
      <c r="JZC28" s="160">
        <f t="shared" ref="JZC28" si="3716">JZA28*$C$28</f>
        <v>2.9161357193444586E+20</v>
      </c>
      <c r="JZE28" s="160">
        <f t="shared" ref="JZE28" si="3717">JZC28*$C$28</f>
        <v>2.9452970765379033E+20</v>
      </c>
      <c r="JZG28" s="160">
        <f t="shared" ref="JZG28" si="3718">JZE28*$C$28</f>
        <v>2.9747500473032822E+20</v>
      </c>
      <c r="JZI28" s="160">
        <f t="shared" ref="JZI28" si="3719">JZG28*$C$28</f>
        <v>3.0044975477763152E+20</v>
      </c>
      <c r="JZK28" s="160">
        <f t="shared" ref="JZK28" si="3720">JZI28*$C$28</f>
        <v>3.0345425232540782E+20</v>
      </c>
      <c r="JZM28" s="160">
        <f t="shared" ref="JZM28" si="3721">JZK28*$C$28</f>
        <v>3.0648879484866193E+20</v>
      </c>
      <c r="JZO28" s="160">
        <f t="shared" ref="JZO28" si="3722">JZM28*$C$28</f>
        <v>3.0955368279714857E+20</v>
      </c>
      <c r="JZQ28" s="160">
        <f t="shared" ref="JZQ28" si="3723">JZO28*$C$28</f>
        <v>3.1264921962512004E+20</v>
      </c>
      <c r="JZS28" s="160">
        <f t="shared" ref="JZS28" si="3724">JZQ28*$C$28</f>
        <v>3.1577571182137121E+20</v>
      </c>
      <c r="JZU28" s="160">
        <f t="shared" ref="JZU28" si="3725">JZS28*$C$28</f>
        <v>3.1893346893958493E+20</v>
      </c>
      <c r="JZW28" s="160">
        <f t="shared" ref="JZW28" si="3726">JZU28*$C$28</f>
        <v>3.2212280362898076E+20</v>
      </c>
      <c r="JZY28" s="160">
        <f t="shared" ref="JZY28" si="3727">JZW28*$C$28</f>
        <v>3.2534403166527055E+20</v>
      </c>
      <c r="KAA28" s="160">
        <f t="shared" ref="KAA28" si="3728">JZY28*$C$28</f>
        <v>3.2859747198192327E+20</v>
      </c>
      <c r="KAC28" s="160">
        <f t="shared" ref="KAC28" si="3729">KAA28*$C$28</f>
        <v>3.3188344670174249E+20</v>
      </c>
      <c r="KAE28" s="160">
        <f t="shared" ref="KAE28" si="3730">KAC28*$C$28</f>
        <v>3.3520228116875995E+20</v>
      </c>
      <c r="KAG28" s="160">
        <f t="shared" ref="KAG28" si="3731">KAE28*$C$28</f>
        <v>3.3855430398044753E+20</v>
      </c>
      <c r="KAI28" s="160">
        <f t="shared" ref="KAI28" si="3732">KAG28*$C$28</f>
        <v>3.4193984702025204E+20</v>
      </c>
      <c r="KAK28" s="160">
        <f t="shared" ref="KAK28" si="3733">KAI28*$C$28</f>
        <v>3.4535924549045453E+20</v>
      </c>
      <c r="KAM28" s="160">
        <f t="shared" ref="KAM28" si="3734">KAK28*$C$28</f>
        <v>3.4881283794535907E+20</v>
      </c>
      <c r="KAO28" s="160">
        <f t="shared" ref="KAO28" si="3735">KAM28*$C$28</f>
        <v>3.5230096632481264E+20</v>
      </c>
      <c r="KAQ28" s="160">
        <f t="shared" ref="KAQ28" si="3736">KAO28*$C$28</f>
        <v>3.5582397598806075E+20</v>
      </c>
      <c r="KAS28" s="160">
        <f t="shared" ref="KAS28" si="3737">KAQ28*$C$28</f>
        <v>3.5938221574794137E+20</v>
      </c>
      <c r="KAU28" s="160">
        <f t="shared" ref="KAU28" si="3738">KAS28*$C$28</f>
        <v>3.6297603790542078E+20</v>
      </c>
      <c r="KAW28" s="160">
        <f t="shared" ref="KAW28" si="3739">KAU28*$C$28</f>
        <v>3.6660579828447497E+20</v>
      </c>
      <c r="KAY28" s="160">
        <f t="shared" ref="KAY28" si="3740">KAW28*$C$28</f>
        <v>3.7027185626731971E+20</v>
      </c>
      <c r="KBA28" s="160">
        <f t="shared" ref="KBA28" si="3741">KAY28*$C$28</f>
        <v>3.7397457482999294E+20</v>
      </c>
      <c r="KBC28" s="160">
        <f t="shared" ref="KBC28" si="3742">KBA28*$C$28</f>
        <v>3.7771432057829288E+20</v>
      </c>
      <c r="KBE28" s="160">
        <f t="shared" ref="KBE28" si="3743">KBC28*$C$28</f>
        <v>3.8149146378407582E+20</v>
      </c>
      <c r="KBG28" s="160">
        <f t="shared" ref="KBG28" si="3744">KBE28*$C$28</f>
        <v>3.853063784219166E+20</v>
      </c>
      <c r="KBI28" s="160">
        <f t="shared" ref="KBI28" si="3745">KBG28*$C$28</f>
        <v>3.8915944220613575E+20</v>
      </c>
      <c r="KBK28" s="160">
        <f t="shared" ref="KBK28" si="3746">KBI28*$C$28</f>
        <v>3.9305103662819711E+20</v>
      </c>
      <c r="KBM28" s="160">
        <f t="shared" ref="KBM28" si="3747">KBK28*$C$28</f>
        <v>3.9698154699447907E+20</v>
      </c>
      <c r="KBO28" s="160">
        <f t="shared" ref="KBO28" si="3748">KBM28*$C$28</f>
        <v>4.0095136246442387E+20</v>
      </c>
      <c r="KBQ28" s="160">
        <f t="shared" ref="KBQ28" si="3749">KBO28*$C$28</f>
        <v>4.0496087608906809E+20</v>
      </c>
      <c r="KBS28" s="160">
        <f t="shared" ref="KBS28" si="3750">KBQ28*$C$28</f>
        <v>4.0901048484995878E+20</v>
      </c>
      <c r="KBU28" s="160">
        <f t="shared" ref="KBU28" si="3751">KBS28*$C$28</f>
        <v>4.1310058969845839E+20</v>
      </c>
      <c r="KBW28" s="160">
        <f t="shared" ref="KBW28" si="3752">KBU28*$C$28</f>
        <v>4.1723159559544295E+20</v>
      </c>
      <c r="KBY28" s="160">
        <f t="shared" ref="KBY28" si="3753">KBW28*$C$28</f>
        <v>4.214039115513974E+20</v>
      </c>
      <c r="KCA28" s="160">
        <f t="shared" ref="KCA28" si="3754">KBY28*$C$28</f>
        <v>4.2561795066691138E+20</v>
      </c>
      <c r="KCC28" s="160">
        <f t="shared" ref="KCC28" si="3755">KCA28*$C$28</f>
        <v>4.2987413017358048E+20</v>
      </c>
      <c r="KCE28" s="160">
        <f t="shared" ref="KCE28" si="3756">KCC28*$C$28</f>
        <v>4.3417287147531626E+20</v>
      </c>
      <c r="KCG28" s="160">
        <f t="shared" ref="KCG28" si="3757">KCE28*$C$28</f>
        <v>4.3851460019006944E+20</v>
      </c>
      <c r="KCI28" s="160">
        <f t="shared" ref="KCI28" si="3758">KCG28*$C$28</f>
        <v>4.4289974619197014E+20</v>
      </c>
      <c r="KCK28" s="160">
        <f t="shared" ref="KCK28" si="3759">KCI28*$C$28</f>
        <v>4.4732874365388987E+20</v>
      </c>
      <c r="KCM28" s="160">
        <f t="shared" ref="KCM28" si="3760">KCK28*$C$28</f>
        <v>4.5180203109042874E+20</v>
      </c>
      <c r="KCO28" s="160">
        <f t="shared" ref="KCO28" si="3761">KCM28*$C$28</f>
        <v>4.5632005140133301E+20</v>
      </c>
      <c r="KCQ28" s="160">
        <f t="shared" ref="KCQ28" si="3762">KCO28*$C$28</f>
        <v>4.6088325191534635E+20</v>
      </c>
      <c r="KCS28" s="160">
        <f t="shared" ref="KCS28" si="3763">KCQ28*$C$28</f>
        <v>4.654920844344998E+20</v>
      </c>
      <c r="KCU28" s="160">
        <f t="shared" ref="KCU28" si="3764">KCS28*$C$28</f>
        <v>4.7014700527884481E+20</v>
      </c>
      <c r="KCW28" s="160">
        <f t="shared" ref="KCW28" si="3765">KCU28*$C$28</f>
        <v>4.7484847533163328E+20</v>
      </c>
      <c r="KCY28" s="160">
        <f t="shared" ref="KCY28" si="3766">KCW28*$C$28</f>
        <v>4.795969600849496E+20</v>
      </c>
      <c r="KDA28" s="160">
        <f t="shared" ref="KDA28" si="3767">KCY28*$C$28</f>
        <v>4.8439292968579911E+20</v>
      </c>
      <c r="KDC28" s="160">
        <f t="shared" ref="KDC28" si="3768">KDA28*$C$28</f>
        <v>4.892368589826571E+20</v>
      </c>
      <c r="KDE28" s="160">
        <f t="shared" ref="KDE28" si="3769">KDC28*$C$28</f>
        <v>4.9412922757248365E+20</v>
      </c>
      <c r="KDG28" s="160">
        <f t="shared" ref="KDG28" si="3770">KDE28*$C$28</f>
        <v>4.990705198482085E+20</v>
      </c>
      <c r="KDI28" s="160">
        <f t="shared" ref="KDI28" si="3771">KDG28*$C$28</f>
        <v>5.0406122504669056E+20</v>
      </c>
      <c r="KDK28" s="160">
        <f t="shared" ref="KDK28" si="3772">KDI28*$C$28</f>
        <v>5.0910183729715747E+20</v>
      </c>
      <c r="KDM28" s="160">
        <f t="shared" ref="KDM28" si="3773">KDK28*$C$28</f>
        <v>5.1419285567012903E+20</v>
      </c>
      <c r="KDO28" s="160">
        <f t="shared" ref="KDO28" si="3774">KDM28*$C$28</f>
        <v>5.1933478422683032E+20</v>
      </c>
      <c r="KDQ28" s="160">
        <f t="shared" ref="KDQ28" si="3775">KDO28*$C$28</f>
        <v>5.2452813206909865E+20</v>
      </c>
      <c r="KDS28" s="160">
        <f t="shared" ref="KDS28" si="3776">KDQ28*$C$28</f>
        <v>5.2977341338978963E+20</v>
      </c>
      <c r="KDU28" s="160">
        <f t="shared" ref="KDU28" si="3777">KDS28*$C$28</f>
        <v>5.3507114752368751E+20</v>
      </c>
      <c r="KDW28" s="160">
        <f t="shared" ref="KDW28" si="3778">KDU28*$C$28</f>
        <v>5.4042185899892441E+20</v>
      </c>
      <c r="KDY28" s="160">
        <f t="shared" ref="KDY28" si="3779">KDW28*$C$28</f>
        <v>5.4582607758891365E+20</v>
      </c>
      <c r="KEA28" s="160">
        <f t="shared" ref="KEA28" si="3780">KDY28*$C$28</f>
        <v>5.5128433836480279E+20</v>
      </c>
      <c r="KEC28" s="160">
        <f t="shared" ref="KEC28" si="3781">KEA28*$C$28</f>
        <v>5.5679718174845082E+20</v>
      </c>
      <c r="KEE28" s="160">
        <f t="shared" ref="KEE28" si="3782">KEC28*$C$28</f>
        <v>5.6236515356593534E+20</v>
      </c>
      <c r="KEG28" s="160">
        <f t="shared" ref="KEG28" si="3783">KEE28*$C$28</f>
        <v>5.6798880510159467E+20</v>
      </c>
      <c r="KEI28" s="160">
        <f t="shared" ref="KEI28" si="3784">KEG28*$C$28</f>
        <v>5.7366869315261065E+20</v>
      </c>
      <c r="KEK28" s="160">
        <f t="shared" ref="KEK28" si="3785">KEI28*$C$28</f>
        <v>5.7940538008413674E+20</v>
      </c>
      <c r="KEM28" s="160">
        <f t="shared" ref="KEM28" si="3786">KEK28*$C$28</f>
        <v>5.8519943388497812E+20</v>
      </c>
      <c r="KEO28" s="160">
        <f t="shared" ref="KEO28" si="3787">KEM28*$C$28</f>
        <v>5.9105142822382797E+20</v>
      </c>
      <c r="KEQ28" s="160">
        <f t="shared" ref="KEQ28" si="3788">KEO28*$C$28</f>
        <v>5.9696194250606628E+20</v>
      </c>
      <c r="KES28" s="160">
        <f t="shared" ref="KES28" si="3789">KEQ28*$C$28</f>
        <v>6.02931561931127E+20</v>
      </c>
      <c r="KEU28" s="160">
        <f t="shared" ref="KEU28" si="3790">KES28*$C$28</f>
        <v>6.0896087755043832E+20</v>
      </c>
      <c r="KEW28" s="160">
        <f t="shared" ref="KEW28" si="3791">KEU28*$C$28</f>
        <v>6.1505048632594268E+20</v>
      </c>
      <c r="KEY28" s="160">
        <f t="shared" ref="KEY28" si="3792">KEW28*$C$28</f>
        <v>6.2120099118920211E+20</v>
      </c>
      <c r="KFA28" s="160">
        <f t="shared" ref="KFA28" si="3793">KEY28*$C$28</f>
        <v>6.2741300110109416E+20</v>
      </c>
      <c r="KFC28" s="160">
        <f t="shared" ref="KFC28" si="3794">KFA28*$C$28</f>
        <v>6.3368713111210505E+20</v>
      </c>
      <c r="KFE28" s="160">
        <f t="shared" ref="KFE28" si="3795">KFC28*$C$28</f>
        <v>6.4002400242322611E+20</v>
      </c>
      <c r="KFG28" s="160">
        <f t="shared" ref="KFG28" si="3796">KFE28*$C$28</f>
        <v>6.4642424244745837E+20</v>
      </c>
      <c r="KFI28" s="160">
        <f t="shared" ref="KFI28" si="3797">KFG28*$C$28</f>
        <v>6.52888484871933E+20</v>
      </c>
      <c r="KFK28" s="160">
        <f t="shared" ref="KFK28" si="3798">KFI28*$C$28</f>
        <v>6.594173697206523E+20</v>
      </c>
      <c r="KFM28" s="160">
        <f t="shared" ref="KFM28" si="3799">KFK28*$C$28</f>
        <v>6.6601154341785882E+20</v>
      </c>
      <c r="KFO28" s="160">
        <f t="shared" ref="KFO28" si="3800">KFM28*$C$28</f>
        <v>6.7267165885203743E+20</v>
      </c>
      <c r="KFQ28" s="160">
        <f t="shared" ref="KFQ28" si="3801">KFO28*$C$28</f>
        <v>6.793983754405578E+20</v>
      </c>
      <c r="KFS28" s="160">
        <f t="shared" ref="KFS28" si="3802">KFQ28*$C$28</f>
        <v>6.8619235919496335E+20</v>
      </c>
      <c r="KFU28" s="160">
        <f t="shared" ref="KFU28" si="3803">KFS28*$C$28</f>
        <v>6.9305428278691299E+20</v>
      </c>
      <c r="KFW28" s="160">
        <f t="shared" ref="KFW28" si="3804">KFU28*$C$28</f>
        <v>6.9998482561478217E+20</v>
      </c>
      <c r="KFY28" s="160">
        <f t="shared" ref="KFY28" si="3805">KFW28*$C$28</f>
        <v>7.0698467387092999E+20</v>
      </c>
      <c r="KGA28" s="160">
        <f t="shared" ref="KGA28" si="3806">KFY28*$C$28</f>
        <v>7.1405452060963924E+20</v>
      </c>
      <c r="KGC28" s="160">
        <f t="shared" ref="KGC28" si="3807">KGA28*$C$28</f>
        <v>7.211950658157356E+20</v>
      </c>
      <c r="KGE28" s="160">
        <f t="shared" ref="KGE28" si="3808">KGC28*$C$28</f>
        <v>7.2840701647389301E+20</v>
      </c>
      <c r="KGG28" s="160">
        <f t="shared" ref="KGG28" si="3809">KGE28*$C$28</f>
        <v>7.3569108663863201E+20</v>
      </c>
      <c r="KGI28" s="160">
        <f t="shared" ref="KGI28" si="3810">KGG28*$C$28</f>
        <v>7.430479975050184E+20</v>
      </c>
      <c r="KGK28" s="160">
        <f t="shared" ref="KGK28" si="3811">KGI28*$C$28</f>
        <v>7.5047847748006864E+20</v>
      </c>
      <c r="KGM28" s="160">
        <f t="shared" ref="KGM28" si="3812">KGK28*$C$28</f>
        <v>7.5798326225486938E+20</v>
      </c>
      <c r="KGO28" s="160">
        <f t="shared" ref="KGO28" si="3813">KGM28*$C$28</f>
        <v>7.6556309487741803E+20</v>
      </c>
      <c r="KGQ28" s="160">
        <f t="shared" ref="KGQ28" si="3814">KGO28*$C$28</f>
        <v>7.7321872582619221E+20</v>
      </c>
      <c r="KGS28" s="160">
        <f t="shared" ref="KGS28" si="3815">KGQ28*$C$28</f>
        <v>7.8095091308445408E+20</v>
      </c>
      <c r="KGU28" s="160">
        <f t="shared" ref="KGU28" si="3816">KGS28*$C$28</f>
        <v>7.8876042221529858E+20</v>
      </c>
      <c r="KGW28" s="160">
        <f t="shared" ref="KGW28" si="3817">KGU28*$C$28</f>
        <v>7.9664802643745151E+20</v>
      </c>
      <c r="KGY28" s="160">
        <f t="shared" ref="KGY28" si="3818">KGW28*$C$28</f>
        <v>8.0461450670182603E+20</v>
      </c>
      <c r="KHA28" s="160">
        <f t="shared" ref="KHA28" si="3819">KGY28*$C$28</f>
        <v>8.1266065176884426E+20</v>
      </c>
      <c r="KHC28" s="160">
        <f t="shared" ref="KHC28" si="3820">KHA28*$C$28</f>
        <v>8.2078725828653272E+20</v>
      </c>
      <c r="KHE28" s="160">
        <f t="shared" ref="KHE28" si="3821">KHC28*$C$28</f>
        <v>8.2899513086939811E+20</v>
      </c>
      <c r="KHG28" s="160">
        <f t="shared" ref="KHG28" si="3822">KHE28*$C$28</f>
        <v>8.3728508217809214E+20</v>
      </c>
      <c r="KHI28" s="160">
        <f t="shared" ref="KHI28" si="3823">KHG28*$C$28</f>
        <v>8.45657932999873E+20</v>
      </c>
      <c r="KHK28" s="160">
        <f t="shared" ref="KHK28" si="3824">KHI28*$C$28</f>
        <v>8.5411451232987172E+20</v>
      </c>
      <c r="KHM28" s="160">
        <f t="shared" ref="KHM28" si="3825">KHK28*$C$28</f>
        <v>8.6265565745317046E+20</v>
      </c>
      <c r="KHO28" s="160">
        <f t="shared" ref="KHO28" si="3826">KHM28*$C$28</f>
        <v>8.7128221402770217E+20</v>
      </c>
      <c r="KHQ28" s="160">
        <f t="shared" ref="KHQ28" si="3827">KHO28*$C$28</f>
        <v>8.7999503616797914E+20</v>
      </c>
      <c r="KHS28" s="160">
        <f t="shared" ref="KHS28" si="3828">KHQ28*$C$28</f>
        <v>8.887949865296589E+20</v>
      </c>
      <c r="KHU28" s="160">
        <f t="shared" ref="KHU28" si="3829">KHS28*$C$28</f>
        <v>8.9768293639495549E+20</v>
      </c>
      <c r="KHW28" s="160">
        <f t="shared" ref="KHW28" si="3830">KHU28*$C$28</f>
        <v>9.0665976575890502E+20</v>
      </c>
      <c r="KHY28" s="160">
        <f t="shared" ref="KHY28" si="3831">KHW28*$C$28</f>
        <v>9.1572636341649408E+20</v>
      </c>
      <c r="KIA28" s="160">
        <f t="shared" ref="KIA28" si="3832">KHY28*$C$28</f>
        <v>9.2488362705065909E+20</v>
      </c>
      <c r="KIC28" s="160">
        <f t="shared" ref="KIC28" si="3833">KIA28*$C$28</f>
        <v>9.3413246332116573E+20</v>
      </c>
      <c r="KIE28" s="160">
        <f t="shared" ref="KIE28" si="3834">KIC28*$C$28</f>
        <v>9.4347378795437739E+20</v>
      </c>
      <c r="KIG28" s="160">
        <f t="shared" ref="KIG28" si="3835">KIE28*$C$28</f>
        <v>9.5290852583392123E+20</v>
      </c>
      <c r="KII28" s="160">
        <f t="shared" ref="KII28" si="3836">KIG28*$C$28</f>
        <v>9.6243761109226042E+20</v>
      </c>
      <c r="KIK28" s="160">
        <f t="shared" ref="KIK28" si="3837">KII28*$C$28</f>
        <v>9.7206198720318302E+20</v>
      </c>
      <c r="KIM28" s="160">
        <f t="shared" ref="KIM28" si="3838">KIK28*$C$28</f>
        <v>9.8178260707521488E+20</v>
      </c>
      <c r="KIO28" s="160">
        <f t="shared" ref="KIO28" si="3839">KIM28*$C$28</f>
        <v>9.9160043314596702E+20</v>
      </c>
      <c r="KIQ28" s="160">
        <f t="shared" ref="KIQ28" si="3840">KIO28*$C$28</f>
        <v>1.0015164374774267E+21</v>
      </c>
      <c r="KIS28" s="160">
        <f t="shared" ref="KIS28" si="3841">KIQ28*$C$28</f>
        <v>1.011531601852201E+21</v>
      </c>
      <c r="KIU28" s="160">
        <f t="shared" ref="KIU28" si="3842">KIS28*$C$28</f>
        <v>1.021646917870723E+21</v>
      </c>
      <c r="KIW28" s="160">
        <f t="shared" ref="KIW28" si="3843">KIU28*$C$28</f>
        <v>1.0318633870494302E+21</v>
      </c>
      <c r="KIY28" s="160">
        <f t="shared" ref="KIY28" si="3844">KIW28*$C$28</f>
        <v>1.0421820209199245E+21</v>
      </c>
      <c r="KJA28" s="160">
        <f t="shared" ref="KJA28" si="3845">KIY28*$C$28</f>
        <v>1.0526038411291238E+21</v>
      </c>
      <c r="KJC28" s="160">
        <f t="shared" ref="KJC28" si="3846">KJA28*$C$28</f>
        <v>1.0631298795404151E+21</v>
      </c>
      <c r="KJE28" s="160">
        <f t="shared" ref="KJE28" si="3847">KJC28*$C$28</f>
        <v>1.0737611783358192E+21</v>
      </c>
      <c r="KJG28" s="160">
        <f t="shared" ref="KJG28" si="3848">KJE28*$C$28</f>
        <v>1.0844987901191775E+21</v>
      </c>
      <c r="KJI28" s="160">
        <f t="shared" ref="KJI28" si="3849">KJG28*$C$28</f>
        <v>1.0953437780203692E+21</v>
      </c>
      <c r="KJK28" s="160">
        <f t="shared" ref="KJK28" si="3850">KJI28*$C$28</f>
        <v>1.1062972158005729E+21</v>
      </c>
      <c r="KJM28" s="160">
        <f t="shared" ref="KJM28" si="3851">KJK28*$C$28</f>
        <v>1.1173601879585786E+21</v>
      </c>
      <c r="KJO28" s="160">
        <f t="shared" ref="KJO28" si="3852">KJM28*$C$28</f>
        <v>1.1285337898381645E+21</v>
      </c>
      <c r="KJQ28" s="160">
        <f t="shared" ref="KJQ28" si="3853">KJO28*$C$28</f>
        <v>1.1398191277365461E+21</v>
      </c>
      <c r="KJS28" s="160">
        <f t="shared" ref="KJS28" si="3854">KJQ28*$C$28</f>
        <v>1.1512173190139116E+21</v>
      </c>
      <c r="KJU28" s="160">
        <f t="shared" ref="KJU28" si="3855">KJS28*$C$28</f>
        <v>1.1627294922040507E+21</v>
      </c>
      <c r="KJW28" s="160">
        <f t="shared" ref="KJW28" si="3856">KJU28*$C$28</f>
        <v>1.1743567871260913E+21</v>
      </c>
      <c r="KJY28" s="160">
        <f t="shared" ref="KJY28" si="3857">KJW28*$C$28</f>
        <v>1.1861003549973521E+21</v>
      </c>
      <c r="KKA28" s="160">
        <f t="shared" ref="KKA28" si="3858">KJY28*$C$28</f>
        <v>1.1979613585473256E+21</v>
      </c>
      <c r="KKC28" s="160">
        <f t="shared" ref="KKC28" si="3859">KKA28*$C$28</f>
        <v>1.2099409721327988E+21</v>
      </c>
      <c r="KKE28" s="160">
        <f t="shared" ref="KKE28" si="3860">KKC28*$C$28</f>
        <v>1.2220403818541267E+21</v>
      </c>
      <c r="KKG28" s="160">
        <f t="shared" ref="KKG28" si="3861">KKE28*$C$28</f>
        <v>1.2342607856726681E+21</v>
      </c>
      <c r="KKI28" s="160">
        <f t="shared" ref="KKI28" si="3862">KKG28*$C$28</f>
        <v>1.2466033935293948E+21</v>
      </c>
      <c r="KKK28" s="160">
        <f t="shared" ref="KKK28" si="3863">KKI28*$C$28</f>
        <v>1.2590694274646886E+21</v>
      </c>
      <c r="KKM28" s="160">
        <f t="shared" ref="KKM28" si="3864">KKK28*$C$28</f>
        <v>1.2716601217393356E+21</v>
      </c>
      <c r="KKO28" s="160">
        <f t="shared" ref="KKO28" si="3865">KKM28*$C$28</f>
        <v>1.2843767229567289E+21</v>
      </c>
      <c r="KKQ28" s="160">
        <f t="shared" ref="KKQ28" si="3866">KKO28*$C$28</f>
        <v>1.2972204901862961E+21</v>
      </c>
      <c r="KKS28" s="160">
        <f t="shared" ref="KKS28" si="3867">KKQ28*$C$28</f>
        <v>1.3101926950881591E+21</v>
      </c>
      <c r="KKU28" s="160">
        <f t="shared" ref="KKU28" si="3868">KKS28*$C$28</f>
        <v>1.3232946220390409E+21</v>
      </c>
      <c r="KKW28" s="160">
        <f t="shared" ref="KKW28" si="3869">KKU28*$C$28</f>
        <v>1.3365275682594313E+21</v>
      </c>
      <c r="KKY28" s="160">
        <f t="shared" ref="KKY28" si="3870">KKW28*$C$28</f>
        <v>1.3498928439420256E+21</v>
      </c>
      <c r="KLA28" s="160">
        <f t="shared" ref="KLA28" si="3871">KKY28*$C$28</f>
        <v>1.3633917723814459E+21</v>
      </c>
      <c r="KLC28" s="160">
        <f t="shared" ref="KLC28" si="3872">KLA28*$C$28</f>
        <v>1.3770256901052603E+21</v>
      </c>
      <c r="KLE28" s="160">
        <f t="shared" ref="KLE28" si="3873">KLC28*$C$28</f>
        <v>1.3907959470063128E+21</v>
      </c>
      <c r="KLG28" s="160">
        <f t="shared" ref="KLG28" si="3874">KLE28*$C$28</f>
        <v>1.4047039064763759E+21</v>
      </c>
      <c r="KLI28" s="160">
        <f t="shared" ref="KLI28" si="3875">KLG28*$C$28</f>
        <v>1.4187509455411397E+21</v>
      </c>
      <c r="KLK28" s="160">
        <f t="shared" ref="KLK28" si="3876">KLI28*$C$28</f>
        <v>1.4329384549965512E+21</v>
      </c>
      <c r="KLM28" s="160">
        <f t="shared" ref="KLM28" si="3877">KLK28*$C$28</f>
        <v>1.4472678395465168E+21</v>
      </c>
      <c r="KLO28" s="160">
        <f t="shared" ref="KLO28" si="3878">KLM28*$C$28</f>
        <v>1.461740517941982E+21</v>
      </c>
      <c r="KLQ28" s="160">
        <f t="shared" ref="KLQ28" si="3879">KLO28*$C$28</f>
        <v>1.476357923121402E+21</v>
      </c>
      <c r="KLS28" s="160">
        <f t="shared" ref="KLS28" si="3880">KLQ28*$C$28</f>
        <v>1.4911215023526159E+21</v>
      </c>
      <c r="KLU28" s="160">
        <f t="shared" ref="KLU28" si="3881">KLS28*$C$28</f>
        <v>1.5060327173761422E+21</v>
      </c>
      <c r="KLW28" s="160">
        <f t="shared" ref="KLW28" si="3882">KLU28*$C$28</f>
        <v>1.5210930445499037E+21</v>
      </c>
      <c r="KLY28" s="160">
        <f t="shared" ref="KLY28" si="3883">KLW28*$C$28</f>
        <v>1.5363039749954027E+21</v>
      </c>
      <c r="KMA28" s="160">
        <f t="shared" ref="KMA28" si="3884">KLY28*$C$28</f>
        <v>1.5516670147453568E+21</v>
      </c>
      <c r="KMC28" s="160">
        <f t="shared" ref="KMC28" si="3885">KMA28*$C$28</f>
        <v>1.5671836848928103E+21</v>
      </c>
      <c r="KME28" s="160">
        <f t="shared" ref="KME28" si="3886">KMC28*$C$28</f>
        <v>1.5828555217417383E+21</v>
      </c>
      <c r="KMG28" s="160">
        <f t="shared" ref="KMG28" si="3887">KME28*$C$28</f>
        <v>1.5986840769591556E+21</v>
      </c>
      <c r="KMI28" s="160">
        <f t="shared" ref="KMI28" si="3888">KMG28*$C$28</f>
        <v>1.6146709177287471E+21</v>
      </c>
      <c r="KMK28" s="160">
        <f t="shared" ref="KMK28" si="3889">KMI28*$C$28</f>
        <v>1.6308176269060347E+21</v>
      </c>
      <c r="KMM28" s="160">
        <f t="shared" ref="KMM28" si="3890">KMK28*$C$28</f>
        <v>1.647125803175095E+21</v>
      </c>
      <c r="KMO28" s="160">
        <f t="shared" ref="KMO28" si="3891">KMM28*$C$28</f>
        <v>1.6635970612068459E+21</v>
      </c>
      <c r="KMQ28" s="160">
        <f t="shared" ref="KMQ28" si="3892">KMO28*$C$28</f>
        <v>1.6802330318189143E+21</v>
      </c>
      <c r="KMS28" s="160">
        <f t="shared" ref="KMS28" si="3893">KMQ28*$C$28</f>
        <v>1.6970353621371034E+21</v>
      </c>
      <c r="KMU28" s="160">
        <f t="shared" ref="KMU28" si="3894">KMS28*$C$28</f>
        <v>1.7140057157584743E+21</v>
      </c>
      <c r="KMW28" s="160">
        <f t="shared" ref="KMW28" si="3895">KMU28*$C$28</f>
        <v>1.7311457729160591E+21</v>
      </c>
      <c r="KMY28" s="160">
        <f t="shared" ref="KMY28" si="3896">KMW28*$C$28</f>
        <v>1.7484572306452198E+21</v>
      </c>
      <c r="KNA28" s="160">
        <f t="shared" ref="KNA28" si="3897">KMY28*$C$28</f>
        <v>1.7659418029516721E+21</v>
      </c>
      <c r="KNC28" s="160">
        <f t="shared" ref="KNC28" si="3898">KNA28*$C$28</f>
        <v>1.7836012209811887E+21</v>
      </c>
      <c r="KNE28" s="160">
        <f t="shared" ref="KNE28" si="3899">KNC28*$C$28</f>
        <v>1.8014372331910007E+21</v>
      </c>
      <c r="KNG28" s="160">
        <f t="shared" ref="KNG28" si="3900">KNE28*$C$28</f>
        <v>1.8194516055229108E+21</v>
      </c>
      <c r="KNI28" s="160">
        <f t="shared" ref="KNI28" si="3901">KNG28*$C$28</f>
        <v>1.83764612157814E+21</v>
      </c>
      <c r="KNK28" s="160">
        <f t="shared" ref="KNK28" si="3902">KNI28*$C$28</f>
        <v>1.8560225827939214E+21</v>
      </c>
      <c r="KNM28" s="160">
        <f t="shared" ref="KNM28" si="3903">KNK28*$C$28</f>
        <v>1.8745828086218605E+21</v>
      </c>
      <c r="KNO28" s="160">
        <f t="shared" ref="KNO28" si="3904">KNM28*$C$28</f>
        <v>1.8933286367080793E+21</v>
      </c>
      <c r="KNQ28" s="160">
        <f t="shared" ref="KNQ28" si="3905">KNO28*$C$28</f>
        <v>1.91226192307516E+21</v>
      </c>
      <c r="KNS28" s="160">
        <f t="shared" ref="KNS28" si="3906">KNQ28*$C$28</f>
        <v>1.9313845423059116E+21</v>
      </c>
      <c r="KNU28" s="160">
        <f t="shared" ref="KNU28" si="3907">KNS28*$C$28</f>
        <v>1.9506983877289708E+21</v>
      </c>
      <c r="KNW28" s="160">
        <f t="shared" ref="KNW28" si="3908">KNU28*$C$28</f>
        <v>1.9702053716062605E+21</v>
      </c>
      <c r="KNY28" s="160">
        <f t="shared" ref="KNY28" si="3909">KNW28*$C$28</f>
        <v>1.9899074253223231E+21</v>
      </c>
      <c r="KOA28" s="160">
        <f t="shared" ref="KOA28" si="3910">KNY28*$C$28</f>
        <v>2.0098064995755465E+21</v>
      </c>
      <c r="KOC28" s="160">
        <f t="shared" ref="KOC28" si="3911">KOA28*$C$28</f>
        <v>2.029904564571302E+21</v>
      </c>
      <c r="KOE28" s="160">
        <f t="shared" ref="KOE28" si="3912">KOC28*$C$28</f>
        <v>2.0502036102170151E+21</v>
      </c>
      <c r="KOG28" s="160">
        <f t="shared" ref="KOG28" si="3913">KOE28*$C$28</f>
        <v>2.0707056463191854E+21</v>
      </c>
      <c r="KOI28" s="160">
        <f t="shared" ref="KOI28" si="3914">KOG28*$C$28</f>
        <v>2.0914127027823774E+21</v>
      </c>
      <c r="KOK28" s="160">
        <f t="shared" ref="KOK28" si="3915">KOI28*$C$28</f>
        <v>2.1123268298102011E+21</v>
      </c>
      <c r="KOM28" s="160">
        <f t="shared" ref="KOM28" si="3916">KOK28*$C$28</f>
        <v>2.1334500981083031E+21</v>
      </c>
      <c r="KOO28" s="160">
        <f t="shared" ref="KOO28" si="3917">KOM28*$C$28</f>
        <v>2.1547845990893861E+21</v>
      </c>
      <c r="KOQ28" s="160">
        <f t="shared" ref="KOQ28" si="3918">KOO28*$C$28</f>
        <v>2.1763324450802801E+21</v>
      </c>
      <c r="KOS28" s="160">
        <f t="shared" ref="KOS28" si="3919">KOQ28*$C$28</f>
        <v>2.1980957695310829E+21</v>
      </c>
      <c r="KOU28" s="160">
        <f t="shared" ref="KOU28" si="3920">KOS28*$C$28</f>
        <v>2.2200767272263937E+21</v>
      </c>
      <c r="KOW28" s="160">
        <f t="shared" ref="KOW28" si="3921">KOU28*$C$28</f>
        <v>2.2422774944986576E+21</v>
      </c>
      <c r="KOY28" s="160">
        <f t="shared" ref="KOY28" si="3922">KOW28*$C$28</f>
        <v>2.2647002694436441E+21</v>
      </c>
      <c r="KPA28" s="160">
        <f t="shared" ref="KPA28" si="3923">KOY28*$C$28</f>
        <v>2.2873472721380806E+21</v>
      </c>
      <c r="KPC28" s="160">
        <f t="shared" ref="KPC28" si="3924">KPA28*$C$28</f>
        <v>2.3102207448594614E+21</v>
      </c>
      <c r="KPE28" s="160">
        <f t="shared" ref="KPE28" si="3925">KPC28*$C$28</f>
        <v>2.3333229523080559E+21</v>
      </c>
      <c r="KPG28" s="160">
        <f t="shared" ref="KPG28" si="3926">KPE28*$C$28</f>
        <v>2.3566561818311364E+21</v>
      </c>
      <c r="KPI28" s="160">
        <f t="shared" ref="KPI28" si="3927">KPG28*$C$28</f>
        <v>2.3802227436494478E+21</v>
      </c>
      <c r="KPK28" s="160">
        <f t="shared" ref="KPK28" si="3928">KPI28*$C$28</f>
        <v>2.4040249710859424E+21</v>
      </c>
      <c r="KPM28" s="160">
        <f t="shared" ref="KPM28" si="3929">KPK28*$C$28</f>
        <v>2.4280652207968019E+21</v>
      </c>
      <c r="KPO28" s="160">
        <f t="shared" ref="KPO28" si="3930">KPM28*$C$28</f>
        <v>2.4523458730047701E+21</v>
      </c>
      <c r="KPQ28" s="160">
        <f t="shared" ref="KPQ28" si="3931">KPO28*$C$28</f>
        <v>2.4768693317348177E+21</v>
      </c>
      <c r="KPS28" s="160">
        <f t="shared" ref="KPS28" si="3932">KPQ28*$C$28</f>
        <v>2.5016380250521658E+21</v>
      </c>
      <c r="KPU28" s="160">
        <f t="shared" ref="KPU28" si="3933">KPS28*$C$28</f>
        <v>2.5266544053026874E+21</v>
      </c>
      <c r="KPW28" s="160">
        <f t="shared" ref="KPW28" si="3934">KPU28*$C$28</f>
        <v>2.5519209493557144E+21</v>
      </c>
      <c r="KPY28" s="160">
        <f t="shared" ref="KPY28" si="3935">KPW28*$C$28</f>
        <v>2.5774401588492716E+21</v>
      </c>
      <c r="KQA28" s="160">
        <f t="shared" ref="KQA28" si="3936">KPY28*$C$28</f>
        <v>2.6032145604377644E+21</v>
      </c>
      <c r="KQC28" s="160">
        <f t="shared" ref="KQC28" si="3937">KQA28*$C$28</f>
        <v>2.6292467060421422E+21</v>
      </c>
      <c r="KQE28" s="160">
        <f t="shared" ref="KQE28" si="3938">KQC28*$C$28</f>
        <v>2.6555391731025639E+21</v>
      </c>
      <c r="KQG28" s="160">
        <f t="shared" ref="KQG28" si="3939">KQE28*$C$28</f>
        <v>2.6820945648335895E+21</v>
      </c>
      <c r="KQI28" s="160">
        <f t="shared" ref="KQI28" si="3940">KQG28*$C$28</f>
        <v>2.7089155104819254E+21</v>
      </c>
      <c r="KQK28" s="160">
        <f t="shared" ref="KQK28" si="3941">KQI28*$C$28</f>
        <v>2.7360046655867448E+21</v>
      </c>
      <c r="KQM28" s="160">
        <f t="shared" ref="KQM28" si="3942">KQK28*$C$28</f>
        <v>2.7633647122426123E+21</v>
      </c>
      <c r="KQO28" s="160">
        <f t="shared" ref="KQO28" si="3943">KQM28*$C$28</f>
        <v>2.7909983593650386E+21</v>
      </c>
      <c r="KQQ28" s="160">
        <f t="shared" ref="KQQ28" si="3944">KQO28*$C$28</f>
        <v>2.8189083429586888E+21</v>
      </c>
      <c r="KQS28" s="160">
        <f t="shared" ref="KQS28" si="3945">KQQ28*$C$28</f>
        <v>2.8470974263882757E+21</v>
      </c>
      <c r="KQU28" s="160">
        <f t="shared" ref="KQU28" si="3946">KQS28*$C$28</f>
        <v>2.8755684006521586E+21</v>
      </c>
      <c r="KQW28" s="160">
        <f t="shared" ref="KQW28" si="3947">KQU28*$C$28</f>
        <v>2.9043240846586801E+21</v>
      </c>
      <c r="KQY28" s="160">
        <f t="shared" ref="KQY28" si="3948">KQW28*$C$28</f>
        <v>2.9333673255052672E+21</v>
      </c>
      <c r="KRA28" s="160">
        <f t="shared" ref="KRA28" si="3949">KQY28*$C$28</f>
        <v>2.9627009987603197E+21</v>
      </c>
      <c r="KRC28" s="160">
        <f t="shared" ref="KRC28" si="3950">KRA28*$C$28</f>
        <v>2.9923280087479228E+21</v>
      </c>
      <c r="KRE28" s="160">
        <f t="shared" ref="KRE28" si="3951">KRC28*$C$28</f>
        <v>3.022251288835402E+21</v>
      </c>
      <c r="KRG28" s="160">
        <f t="shared" ref="KRG28" si="3952">KRE28*$C$28</f>
        <v>3.0524738017237559E+21</v>
      </c>
      <c r="KRI28" s="160">
        <f t="shared" ref="KRI28" si="3953">KRG28*$C$28</f>
        <v>3.0829985397409936E+21</v>
      </c>
      <c r="KRK28" s="160">
        <f t="shared" ref="KRK28" si="3954">KRI28*$C$28</f>
        <v>3.1138285251384034E+21</v>
      </c>
      <c r="KRM28" s="160">
        <f t="shared" ref="KRM28" si="3955">KRK28*$C$28</f>
        <v>3.1449668103897874E+21</v>
      </c>
      <c r="KRO28" s="160">
        <f t="shared" ref="KRO28" si="3956">KRM28*$C$28</f>
        <v>3.1764164784936856E+21</v>
      </c>
      <c r="KRQ28" s="160">
        <f t="shared" ref="KRQ28" si="3957">KRO28*$C$28</f>
        <v>3.2081806432786223E+21</v>
      </c>
      <c r="KRS28" s="160">
        <f t="shared" ref="KRS28" si="3958">KRQ28*$C$28</f>
        <v>3.2402624497114085E+21</v>
      </c>
      <c r="KRU28" s="160">
        <f t="shared" ref="KRU28" si="3959">KRS28*$C$28</f>
        <v>3.2726650742085224E+21</v>
      </c>
      <c r="KRW28" s="160">
        <f t="shared" ref="KRW28" si="3960">KRU28*$C$28</f>
        <v>3.3053917249506074E+21</v>
      </c>
      <c r="KRY28" s="160">
        <f t="shared" ref="KRY28" si="3961">KRW28*$C$28</f>
        <v>3.3384456422001135E+21</v>
      </c>
      <c r="KSA28" s="160">
        <f t="shared" ref="KSA28" si="3962">KRY28*$C$28</f>
        <v>3.3718300986221144E+21</v>
      </c>
      <c r="KSC28" s="160">
        <f t="shared" ref="KSC28" si="3963">KSA28*$C$28</f>
        <v>3.4055483996083354E+21</v>
      </c>
      <c r="KSE28" s="160">
        <f t="shared" ref="KSE28" si="3964">KSC28*$C$28</f>
        <v>3.439603883604419E+21</v>
      </c>
      <c r="KSG28" s="160">
        <f t="shared" ref="KSG28" si="3965">KSE28*$C$28</f>
        <v>3.4739999224404635E+21</v>
      </c>
      <c r="KSI28" s="160">
        <f t="shared" ref="KSI28" si="3966">KSG28*$C$28</f>
        <v>3.5087399216648684E+21</v>
      </c>
      <c r="KSK28" s="160">
        <f t="shared" ref="KSK28" si="3967">KSI28*$C$28</f>
        <v>3.5438273208815169E+21</v>
      </c>
      <c r="KSM28" s="160">
        <f t="shared" ref="KSM28" si="3968">KSK28*$C$28</f>
        <v>3.5792655940903324E+21</v>
      </c>
      <c r="KSO28" s="160">
        <f t="shared" ref="KSO28" si="3969">KSM28*$C$28</f>
        <v>3.6150582500312356E+21</v>
      </c>
      <c r="KSQ28" s="160">
        <f t="shared" ref="KSQ28" si="3970">KSO28*$C$28</f>
        <v>3.6512088325315478E+21</v>
      </c>
      <c r="KSS28" s="160">
        <f t="shared" ref="KSS28" si="3971">KSQ28*$C$28</f>
        <v>3.6877209208568634E+21</v>
      </c>
      <c r="KSU28" s="160">
        <f t="shared" ref="KSU28" si="3972">KSS28*$C$28</f>
        <v>3.7245981300654321E+21</v>
      </c>
      <c r="KSW28" s="160">
        <f t="shared" ref="KSW28" si="3973">KSU28*$C$28</f>
        <v>3.7618441113660865E+21</v>
      </c>
      <c r="KSY28" s="160">
        <f t="shared" ref="KSY28" si="3974">KSW28*$C$28</f>
        <v>3.7994625524797475E+21</v>
      </c>
      <c r="KTA28" s="160">
        <f t="shared" ref="KTA28" si="3975">KSY28*$C$28</f>
        <v>3.8374571780045448E+21</v>
      </c>
      <c r="KTC28" s="160">
        <f t="shared" ref="KTC28" si="3976">KTA28*$C$28</f>
        <v>3.8758317497845904E+21</v>
      </c>
      <c r="KTE28" s="160">
        <f t="shared" ref="KTE28" si="3977">KTC28*$C$28</f>
        <v>3.9145900672824362E+21</v>
      </c>
      <c r="KTG28" s="160">
        <f t="shared" ref="KTG28" si="3978">KTE28*$C$28</f>
        <v>3.9537359679552608E+21</v>
      </c>
      <c r="KTI28" s="160">
        <f t="shared" ref="KTI28" si="3979">KTG28*$C$28</f>
        <v>3.9932733276348136E+21</v>
      </c>
      <c r="KTK28" s="160">
        <f t="shared" ref="KTK28" si="3980">KTI28*$C$28</f>
        <v>4.0332060609111618E+21</v>
      </c>
      <c r="KTM28" s="160">
        <f t="shared" ref="KTM28" si="3981">KTK28*$C$28</f>
        <v>4.0735381215202734E+21</v>
      </c>
      <c r="KTO28" s="160">
        <f t="shared" ref="KTO28" si="3982">KTM28*$C$28</f>
        <v>4.1142735027354762E+21</v>
      </c>
      <c r="KTQ28" s="160">
        <f t="shared" ref="KTQ28" si="3983">KTO28*$C$28</f>
        <v>4.1554162377628309E+21</v>
      </c>
      <c r="KTS28" s="160">
        <f t="shared" ref="KTS28" si="3984">KTQ28*$C$28</f>
        <v>4.1969704001404592E+21</v>
      </c>
      <c r="KTU28" s="160">
        <f t="shared" ref="KTU28" si="3985">KTS28*$C$28</f>
        <v>4.2389401041418636E+21</v>
      </c>
      <c r="KTW28" s="160">
        <f t="shared" ref="KTW28" si="3986">KTU28*$C$28</f>
        <v>4.2813295051832825E+21</v>
      </c>
      <c r="KTY28" s="160">
        <f t="shared" ref="KTY28" si="3987">KTW28*$C$28</f>
        <v>4.3241428002351156E+21</v>
      </c>
      <c r="KUA28" s="160">
        <f t="shared" ref="KUA28" si="3988">KTY28*$C$28</f>
        <v>4.3673842282374669E+21</v>
      </c>
      <c r="KUC28" s="160">
        <f t="shared" ref="KUC28" si="3989">KUA28*$C$28</f>
        <v>4.4110580705198416E+21</v>
      </c>
      <c r="KUE28" s="160">
        <f t="shared" ref="KUE28" si="3990">KUC28*$C$28</f>
        <v>4.4551686512250402E+21</v>
      </c>
      <c r="KUG28" s="160">
        <f t="shared" ref="KUG28" si="3991">KUE28*$C$28</f>
        <v>4.4997203377372906E+21</v>
      </c>
      <c r="KUI28" s="160">
        <f t="shared" ref="KUI28" si="3992">KUG28*$C$28</f>
        <v>4.5447175411146634E+21</v>
      </c>
      <c r="KUK28" s="160">
        <f t="shared" ref="KUK28" si="3993">KUI28*$C$28</f>
        <v>4.5901647165258098E+21</v>
      </c>
      <c r="KUM28" s="160">
        <f t="shared" ref="KUM28" si="3994">KUK28*$C$28</f>
        <v>4.636066363691068E+21</v>
      </c>
      <c r="KUO28" s="160">
        <f t="shared" ref="KUO28" si="3995">KUM28*$C$28</f>
        <v>4.6824270273279788E+21</v>
      </c>
      <c r="KUQ28" s="160">
        <f t="shared" ref="KUQ28" si="3996">KUO28*$C$28</f>
        <v>4.7292512976012585E+21</v>
      </c>
      <c r="KUS28" s="160">
        <f t="shared" ref="KUS28" si="3997">KUQ28*$C$28</f>
        <v>4.7765438105772716E+21</v>
      </c>
      <c r="KUU28" s="160">
        <f t="shared" ref="KUU28" si="3998">KUS28*$C$28</f>
        <v>4.8243092486830445E+21</v>
      </c>
      <c r="KUW28" s="160">
        <f t="shared" ref="KUW28" si="3999">KUU28*$C$28</f>
        <v>4.8725523411698755E+21</v>
      </c>
      <c r="KUY28" s="160">
        <f t="shared" ref="KUY28" si="4000">KUW28*$C$28</f>
        <v>4.9212778645815747E+21</v>
      </c>
      <c r="KVA28" s="160">
        <f t="shared" ref="KVA28" si="4001">KUY28*$C$28</f>
        <v>4.97049064322739E+21</v>
      </c>
      <c r="KVC28" s="160">
        <f t="shared" ref="KVC28" si="4002">KVA28*$C$28</f>
        <v>5.0201955496596634E+21</v>
      </c>
      <c r="KVE28" s="160">
        <f t="shared" ref="KVE28" si="4003">KVC28*$C$28</f>
        <v>5.0703975051562603E+21</v>
      </c>
      <c r="KVG28" s="160">
        <f t="shared" ref="KVG28" si="4004">KVE28*$C$28</f>
        <v>5.1211014802078234E+21</v>
      </c>
      <c r="KVI28" s="160">
        <f t="shared" ref="KVI28" si="4005">KVG28*$C$28</f>
        <v>5.1723124950099013E+21</v>
      </c>
      <c r="KVK28" s="160">
        <f t="shared" ref="KVK28" si="4006">KVI28*$C$28</f>
        <v>5.2240356199600006E+21</v>
      </c>
      <c r="KVM28" s="160">
        <f t="shared" ref="KVM28" si="4007">KVK28*$C$28</f>
        <v>5.2762759761596011E+21</v>
      </c>
      <c r="KVO28" s="160">
        <f t="shared" ref="KVO28" si="4008">KVM28*$C$28</f>
        <v>5.3290387359211968E+21</v>
      </c>
      <c r="KVQ28" s="160">
        <f t="shared" ref="KVQ28" si="4009">KVO28*$C$28</f>
        <v>5.3823291232804091E+21</v>
      </c>
      <c r="KVS28" s="160">
        <f t="shared" ref="KVS28" si="4010">KVQ28*$C$28</f>
        <v>5.4361524145132132E+21</v>
      </c>
      <c r="KVU28" s="160">
        <f t="shared" ref="KVU28" si="4011">KVS28*$C$28</f>
        <v>5.4905139386583456E+21</v>
      </c>
      <c r="KVW28" s="160">
        <f t="shared" ref="KVW28" si="4012">KVU28*$C$28</f>
        <v>5.5454190780449292E+21</v>
      </c>
      <c r="KVY28" s="160">
        <f t="shared" ref="KVY28" si="4013">KVW28*$C$28</f>
        <v>5.6008732688253788E+21</v>
      </c>
      <c r="KWA28" s="160">
        <f t="shared" ref="KWA28" si="4014">KVY28*$C$28</f>
        <v>5.6568820015136328E+21</v>
      </c>
      <c r="KWC28" s="160">
        <f t="shared" ref="KWC28" si="4015">KWA28*$C$28</f>
        <v>5.7134508215287687E+21</v>
      </c>
      <c r="KWE28" s="160">
        <f t="shared" ref="KWE28" si="4016">KWC28*$C$28</f>
        <v>5.7705853297440567E+21</v>
      </c>
      <c r="KWG28" s="160">
        <f t="shared" ref="KWG28" si="4017">KWE28*$C$28</f>
        <v>5.8282911830414973E+21</v>
      </c>
      <c r="KWI28" s="160">
        <f t="shared" ref="KWI28" si="4018">KWG28*$C$28</f>
        <v>5.8865740948719125E+21</v>
      </c>
      <c r="KWK28" s="160">
        <f t="shared" ref="KWK28" si="4019">KWI28*$C$28</f>
        <v>5.9454398358206315E+21</v>
      </c>
      <c r="KWM28" s="160">
        <f t="shared" ref="KWM28" si="4020">KWK28*$C$28</f>
        <v>6.0048942341788375E+21</v>
      </c>
      <c r="KWO28" s="160">
        <f t="shared" ref="KWO28" si="4021">KWM28*$C$28</f>
        <v>6.0649431765206256E+21</v>
      </c>
      <c r="KWQ28" s="160">
        <f t="shared" ref="KWQ28" si="4022">KWO28*$C$28</f>
        <v>6.1255926082858322E+21</v>
      </c>
      <c r="KWS28" s="160">
        <f t="shared" ref="KWS28" si="4023">KWQ28*$C$28</f>
        <v>6.1868485343686909E+21</v>
      </c>
      <c r="KWU28" s="160">
        <f t="shared" ref="KWU28" si="4024">KWS28*$C$28</f>
        <v>6.2487170197123781E+21</v>
      </c>
      <c r="KWW28" s="160">
        <f t="shared" ref="KWW28" si="4025">KWU28*$C$28</f>
        <v>6.3112041899095019E+21</v>
      </c>
      <c r="KWY28" s="160">
        <f t="shared" ref="KWY28" si="4026">KWW28*$C$28</f>
        <v>6.3743162318085968E+21</v>
      </c>
      <c r="KXA28" s="160">
        <f t="shared" ref="KXA28" si="4027">KWY28*$C$28</f>
        <v>6.4380593941266825E+21</v>
      </c>
      <c r="KXC28" s="160">
        <f t="shared" ref="KXC28" si="4028">KXA28*$C$28</f>
        <v>6.5024399880679493E+21</v>
      </c>
      <c r="KXE28" s="160">
        <f t="shared" ref="KXE28" si="4029">KXC28*$C$28</f>
        <v>6.5674643879486292E+21</v>
      </c>
      <c r="KXG28" s="160">
        <f t="shared" ref="KXG28" si="4030">KXE28*$C$28</f>
        <v>6.6331390318281155E+21</v>
      </c>
      <c r="KXI28" s="160">
        <f t="shared" ref="KXI28" si="4031">KXG28*$C$28</f>
        <v>6.6994704221463967E+21</v>
      </c>
      <c r="KXK28" s="160">
        <f t="shared" ref="KXK28" si="4032">KXI28*$C$28</f>
        <v>6.7664651263678611E+21</v>
      </c>
      <c r="KXM28" s="160">
        <f t="shared" ref="KXM28" si="4033">KXK28*$C$28</f>
        <v>6.8341297776315398E+21</v>
      </c>
      <c r="KXO28" s="160">
        <f t="shared" ref="KXO28" si="4034">KXM28*$C$28</f>
        <v>6.9024710754078556E+21</v>
      </c>
      <c r="KXQ28" s="160">
        <f t="shared" ref="KXQ28" si="4035">KXO28*$C$28</f>
        <v>6.9714957861619342E+21</v>
      </c>
      <c r="KXS28" s="160">
        <f t="shared" ref="KXS28" si="4036">KXQ28*$C$28</f>
        <v>7.0412107440235531E+21</v>
      </c>
      <c r="KXU28" s="160">
        <f t="shared" ref="KXU28" si="4037">KXS28*$C$28</f>
        <v>7.1116228514637886E+21</v>
      </c>
      <c r="KXW28" s="160">
        <f t="shared" ref="KXW28" si="4038">KXU28*$C$28</f>
        <v>7.1827390799784266E+21</v>
      </c>
      <c r="KXY28" s="160">
        <f t="shared" ref="KXY28" si="4039">KXW28*$C$28</f>
        <v>7.254566470778211E+21</v>
      </c>
      <c r="KYA28" s="160">
        <f t="shared" ref="KYA28" si="4040">KXY28*$C$28</f>
        <v>7.327112135485993E+21</v>
      </c>
      <c r="KYC28" s="160">
        <f t="shared" ref="KYC28" si="4041">KYA28*$C$28</f>
        <v>7.4003832568408525E+21</v>
      </c>
      <c r="KYE28" s="160">
        <f t="shared" ref="KYE28" si="4042">KYC28*$C$28</f>
        <v>7.4743870894092614E+21</v>
      </c>
      <c r="KYG28" s="160">
        <f t="shared" ref="KYG28" si="4043">KYE28*$C$28</f>
        <v>7.5491309603033543E+21</v>
      </c>
      <c r="KYI28" s="160">
        <f t="shared" ref="KYI28" si="4044">KYG28*$C$28</f>
        <v>7.6246222699063883E+21</v>
      </c>
      <c r="KYK28" s="160">
        <f t="shared" ref="KYK28" si="4045">KYI28*$C$28</f>
        <v>7.7008684926054527E+21</v>
      </c>
      <c r="KYM28" s="160">
        <f t="shared" ref="KYM28" si="4046">KYK28*$C$28</f>
        <v>7.7778771775315069E+21</v>
      </c>
      <c r="KYO28" s="160">
        <f t="shared" ref="KYO28" si="4047">KYM28*$C$28</f>
        <v>7.8556559493068216E+21</v>
      </c>
      <c r="KYQ28" s="160">
        <f t="shared" ref="KYQ28" si="4048">KYO28*$C$28</f>
        <v>7.9342125087998901E+21</v>
      </c>
      <c r="KYS28" s="160">
        <f t="shared" ref="KYS28" si="4049">KYQ28*$C$28</f>
        <v>8.0135546338878895E+21</v>
      </c>
      <c r="KYU28" s="160">
        <f t="shared" ref="KYU28" si="4050">KYS28*$C$28</f>
        <v>8.0936901802267687E+21</v>
      </c>
      <c r="KYW28" s="160">
        <f t="shared" ref="KYW28" si="4051">KYU28*$C$28</f>
        <v>8.1746270820290359E+21</v>
      </c>
      <c r="KYY28" s="160">
        <f t="shared" ref="KYY28" si="4052">KYW28*$C$28</f>
        <v>8.2563733528493267E+21</v>
      </c>
      <c r="KZA28" s="160">
        <f t="shared" ref="KZA28" si="4053">KYY28*$C$28</f>
        <v>8.3389370863778204E+21</v>
      </c>
      <c r="KZC28" s="160">
        <f t="shared" ref="KZC28" si="4054">KZA28*$C$28</f>
        <v>8.4223264572415987E+21</v>
      </c>
      <c r="KZE28" s="160">
        <f t="shared" ref="KZE28" si="4055">KZC28*$C$28</f>
        <v>8.5065497218140151E+21</v>
      </c>
      <c r="KZG28" s="160">
        <f t="shared" ref="KZG28" si="4056">KZE28*$C$28</f>
        <v>8.5916152190321558E+21</v>
      </c>
      <c r="KZI28" s="160">
        <f t="shared" ref="KZI28" si="4057">KZG28*$C$28</f>
        <v>8.677531371222477E+21</v>
      </c>
      <c r="KZK28" s="160">
        <f t="shared" ref="KZK28" si="4058">KZI28*$C$28</f>
        <v>8.764306684934702E+21</v>
      </c>
      <c r="KZM28" s="160">
        <f t="shared" ref="KZM28" si="4059">KZK28*$C$28</f>
        <v>8.8519497517840487E+21</v>
      </c>
      <c r="KZO28" s="160">
        <f t="shared" ref="KZO28" si="4060">KZM28*$C$28</f>
        <v>8.9404692493018889E+21</v>
      </c>
      <c r="KZQ28" s="160">
        <f t="shared" ref="KZQ28" si="4061">KZO28*$C$28</f>
        <v>9.029873941794908E+21</v>
      </c>
      <c r="KZS28" s="160">
        <f t="shared" ref="KZS28" si="4062">KZQ28*$C$28</f>
        <v>9.1201726812128574E+21</v>
      </c>
      <c r="KZU28" s="160">
        <f t="shared" ref="KZU28" si="4063">KZS28*$C$28</f>
        <v>9.2113744080249857E+21</v>
      </c>
      <c r="KZW28" s="160">
        <f t="shared" ref="KZW28" si="4064">KZU28*$C$28</f>
        <v>9.303488152105236E+21</v>
      </c>
      <c r="KZY28" s="160">
        <f t="shared" ref="KZY28" si="4065">KZW28*$C$28</f>
        <v>9.3965230336262883E+21</v>
      </c>
      <c r="LAA28" s="160">
        <f t="shared" ref="LAA28" si="4066">KZY28*$C$28</f>
        <v>9.4904882639625509E+21</v>
      </c>
      <c r="LAC28" s="160">
        <f t="shared" ref="LAC28" si="4067">LAA28*$C$28</f>
        <v>9.5853931466021761E+21</v>
      </c>
      <c r="LAE28" s="160">
        <f t="shared" ref="LAE28" si="4068">LAC28*$C$28</f>
        <v>9.681247078068198E+21</v>
      </c>
      <c r="LAG28" s="160">
        <f t="shared" ref="LAG28" si="4069">LAE28*$C$28</f>
        <v>9.7780595488488811E+21</v>
      </c>
      <c r="LAI28" s="160">
        <f t="shared" ref="LAI28" si="4070">LAG28*$C$28</f>
        <v>9.8758401443373693E+21</v>
      </c>
      <c r="LAK28" s="160">
        <f t="shared" ref="LAK28" si="4071">LAI28*$C$28</f>
        <v>9.9745985457807436E+21</v>
      </c>
      <c r="LAM28" s="160">
        <f t="shared" ref="LAM28" si="4072">LAK28*$C$28</f>
        <v>1.0074344531238551E+22</v>
      </c>
      <c r="LAO28" s="160">
        <f t="shared" ref="LAO28" si="4073">LAM28*$C$28</f>
        <v>1.0175087976550937E+22</v>
      </c>
      <c r="LAQ28" s="160">
        <f t="shared" ref="LAQ28" si="4074">LAO28*$C$28</f>
        <v>1.0276838856316445E+22</v>
      </c>
      <c r="LAS28" s="160">
        <f t="shared" ref="LAS28" si="4075">LAQ28*$C$28</f>
        <v>1.037960724487961E+22</v>
      </c>
      <c r="LAU28" s="160">
        <f t="shared" ref="LAU28" si="4076">LAS28*$C$28</f>
        <v>1.0483403317328407E+22</v>
      </c>
      <c r="LAW28" s="160">
        <f t="shared" ref="LAW28" si="4077">LAU28*$C$28</f>
        <v>1.0588237350501691E+22</v>
      </c>
      <c r="LAY28" s="160">
        <f t="shared" ref="LAY28" si="4078">LAW28*$C$28</f>
        <v>1.0694119724006708E+22</v>
      </c>
      <c r="LBA28" s="160">
        <f t="shared" ref="LBA28" si="4079">LAY28*$C$28</f>
        <v>1.0801060921246776E+22</v>
      </c>
      <c r="LBC28" s="160">
        <f t="shared" ref="LBC28" si="4080">LBA28*$C$28</f>
        <v>1.0909071530459243E+22</v>
      </c>
      <c r="LBE28" s="160">
        <f t="shared" ref="LBE28" si="4081">LBC28*$C$28</f>
        <v>1.1018162245763835E+22</v>
      </c>
      <c r="LBG28" s="160">
        <f t="shared" ref="LBG28" si="4082">LBE28*$C$28</f>
        <v>1.1128343868221474E+22</v>
      </c>
      <c r="LBI28" s="160">
        <f t="shared" ref="LBI28" si="4083">LBG28*$C$28</f>
        <v>1.1239627306903689E+22</v>
      </c>
      <c r="LBK28" s="160">
        <f t="shared" ref="LBK28" si="4084">LBI28*$C$28</f>
        <v>1.1352023579972726E+22</v>
      </c>
      <c r="LBM28" s="160">
        <f t="shared" ref="LBM28" si="4085">LBK28*$C$28</f>
        <v>1.1465543815772454E+22</v>
      </c>
      <c r="LBO28" s="160">
        <f t="shared" ref="LBO28" si="4086">LBM28*$C$28</f>
        <v>1.1580199253930179E+22</v>
      </c>
      <c r="LBQ28" s="160">
        <f t="shared" ref="LBQ28" si="4087">LBO28*$C$28</f>
        <v>1.1696001246469481E+22</v>
      </c>
      <c r="LBS28" s="160">
        <f t="shared" ref="LBS28" si="4088">LBQ28*$C$28</f>
        <v>1.1812961258934175E+22</v>
      </c>
      <c r="LBU28" s="160">
        <f t="shared" ref="LBU28" si="4089">LBS28*$C$28</f>
        <v>1.1931090871523517E+22</v>
      </c>
      <c r="LBW28" s="160">
        <f t="shared" ref="LBW28" si="4090">LBU28*$C$28</f>
        <v>1.2050401780238752E+22</v>
      </c>
      <c r="LBY28" s="160">
        <f t="shared" ref="LBY28" si="4091">LBW28*$C$28</f>
        <v>1.2170905798041139E+22</v>
      </c>
      <c r="LCA28" s="160">
        <f t="shared" ref="LCA28" si="4092">LBY28*$C$28</f>
        <v>1.2292614856021551E+22</v>
      </c>
      <c r="LCC28" s="160">
        <f t="shared" ref="LCC28" si="4093">LCA28*$C$28</f>
        <v>1.2415541004581766E+22</v>
      </c>
      <c r="LCE28" s="160">
        <f t="shared" ref="LCE28" si="4094">LCC28*$C$28</f>
        <v>1.2539696414627583E+22</v>
      </c>
      <c r="LCG28" s="160">
        <f t="shared" ref="LCG28" si="4095">LCE28*$C$28</f>
        <v>1.2665093378773858E+22</v>
      </c>
      <c r="LCI28" s="160">
        <f t="shared" ref="LCI28" si="4096">LCG28*$C$28</f>
        <v>1.2791744312561596E+22</v>
      </c>
      <c r="LCK28" s="160">
        <f t="shared" ref="LCK28" si="4097">LCI28*$C$28</f>
        <v>1.2919661755687212E+22</v>
      </c>
      <c r="LCM28" s="160">
        <f t="shared" ref="LCM28" si="4098">LCK28*$C$28</f>
        <v>1.3048858373244085E+22</v>
      </c>
      <c r="LCO28" s="160">
        <f t="shared" ref="LCO28" si="4099">LCM28*$C$28</f>
        <v>1.3179346956976526E+22</v>
      </c>
      <c r="LCQ28" s="160">
        <f t="shared" ref="LCQ28" si="4100">LCO28*$C$28</f>
        <v>1.3311140426546292E+22</v>
      </c>
      <c r="LCS28" s="160">
        <f t="shared" ref="LCS28" si="4101">LCQ28*$C$28</f>
        <v>1.3444251830811756E+22</v>
      </c>
      <c r="LCU28" s="160">
        <f t="shared" ref="LCU28" si="4102">LCS28*$C$28</f>
        <v>1.3578694349119872E+22</v>
      </c>
      <c r="LCW28" s="160">
        <f t="shared" ref="LCW28" si="4103">LCU28*$C$28</f>
        <v>1.3714481292611072E+22</v>
      </c>
      <c r="LCY28" s="160">
        <f t="shared" ref="LCY28" si="4104">LCW28*$C$28</f>
        <v>1.3851626105537183E+22</v>
      </c>
      <c r="LDA28" s="160">
        <f t="shared" ref="LDA28" si="4105">LCY28*$C$28</f>
        <v>1.3990142366592556E+22</v>
      </c>
      <c r="LDC28" s="160">
        <f t="shared" ref="LDC28" si="4106">LDA28*$C$28</f>
        <v>1.413004379025848E+22</v>
      </c>
      <c r="LDE28" s="160">
        <f t="shared" ref="LDE28" si="4107">LDC28*$C$28</f>
        <v>1.4271344228161066E+22</v>
      </c>
      <c r="LDG28" s="160">
        <f t="shared" ref="LDG28" si="4108">LDE28*$C$28</f>
        <v>1.4414057670442677E+22</v>
      </c>
      <c r="LDI28" s="160">
        <f t="shared" ref="LDI28" si="4109">LDG28*$C$28</f>
        <v>1.4558198247147103E+22</v>
      </c>
      <c r="LDK28" s="160">
        <f t="shared" ref="LDK28" si="4110">LDI28*$C$28</f>
        <v>1.4703780229618573E+22</v>
      </c>
      <c r="LDM28" s="160">
        <f t="shared" ref="LDM28" si="4111">LDK28*$C$28</f>
        <v>1.4850818031914758E+22</v>
      </c>
      <c r="LDO28" s="160">
        <f t="shared" ref="LDO28" si="4112">LDM28*$C$28</f>
        <v>1.4999326212233907E+22</v>
      </c>
      <c r="LDQ28" s="160">
        <f t="shared" ref="LDQ28" si="4113">LDO28*$C$28</f>
        <v>1.5149319474356247E+22</v>
      </c>
      <c r="LDS28" s="160">
        <f t="shared" ref="LDS28" si="4114">LDQ28*$C$28</f>
        <v>1.5300812669099809E+22</v>
      </c>
      <c r="LDU28" s="160">
        <f t="shared" ref="LDU28" si="4115">LDS28*$C$28</f>
        <v>1.5453820795790807E+22</v>
      </c>
      <c r="LDW28" s="160">
        <f t="shared" ref="LDW28" si="4116">LDU28*$C$28</f>
        <v>1.5608359003748716E+22</v>
      </c>
      <c r="LDY28" s="160">
        <f t="shared" ref="LDY28" si="4117">LDW28*$C$28</f>
        <v>1.5764442593786203E+22</v>
      </c>
      <c r="LEA28" s="160">
        <f t="shared" ref="LEA28" si="4118">LDY28*$C$28</f>
        <v>1.5922087019724065E+22</v>
      </c>
      <c r="LEC28" s="160">
        <f t="shared" ref="LEC28" si="4119">LEA28*$C$28</f>
        <v>1.6081307889921306E+22</v>
      </c>
      <c r="LEE28" s="160">
        <f t="shared" ref="LEE28" si="4120">LEC28*$C$28</f>
        <v>1.624212096882052E+22</v>
      </c>
      <c r="LEG28" s="160">
        <f t="shared" ref="LEG28" si="4121">LEE28*$C$28</f>
        <v>1.6404542178508726E+22</v>
      </c>
      <c r="LEI28" s="160">
        <f t="shared" ref="LEI28" si="4122">LEG28*$C$28</f>
        <v>1.6568587600293813E+22</v>
      </c>
      <c r="LEK28" s="160">
        <f t="shared" ref="LEK28" si="4123">LEI28*$C$28</f>
        <v>1.673427347629675E+22</v>
      </c>
      <c r="LEM28" s="160">
        <f t="shared" ref="LEM28" si="4124">LEK28*$C$28</f>
        <v>1.6901616211059718E+22</v>
      </c>
      <c r="LEO28" s="160">
        <f t="shared" ref="LEO28" si="4125">LEM28*$C$28</f>
        <v>1.7070632373170316E+22</v>
      </c>
      <c r="LEQ28" s="160">
        <f t="shared" ref="LEQ28" si="4126">LEO28*$C$28</f>
        <v>1.7241338696902019E+22</v>
      </c>
      <c r="LES28" s="160">
        <f t="shared" ref="LES28" si="4127">LEQ28*$C$28</f>
        <v>1.7413752083871038E+22</v>
      </c>
      <c r="LEU28" s="160">
        <f t="shared" ref="LEU28" si="4128">LES28*$C$28</f>
        <v>1.7587889604709749E+22</v>
      </c>
      <c r="LEW28" s="160">
        <f t="shared" ref="LEW28" si="4129">LEU28*$C$28</f>
        <v>1.7763768500756846E+22</v>
      </c>
      <c r="LEY28" s="160">
        <f t="shared" ref="LEY28" si="4130">LEW28*$C$28</f>
        <v>1.7941406185764415E+22</v>
      </c>
      <c r="LFA28" s="160">
        <f t="shared" ref="LFA28" si="4131">LEY28*$C$28</f>
        <v>1.812082024762206E+22</v>
      </c>
      <c r="LFC28" s="160">
        <f t="shared" ref="LFC28" si="4132">LFA28*$C$28</f>
        <v>1.8302028450098282E+22</v>
      </c>
      <c r="LFE28" s="160">
        <f t="shared" ref="LFE28" si="4133">LFC28*$C$28</f>
        <v>1.8485048734599264E+22</v>
      </c>
      <c r="LFG28" s="160">
        <f t="shared" ref="LFG28" si="4134">LFE28*$C$28</f>
        <v>1.8669899221945257E+22</v>
      </c>
      <c r="LFI28" s="160">
        <f t="shared" ref="LFI28" si="4135">LFG28*$C$28</f>
        <v>1.885659821416471E+22</v>
      </c>
      <c r="LFK28" s="160">
        <f t="shared" ref="LFK28" si="4136">LFI28*$C$28</f>
        <v>1.9045164196306356E+22</v>
      </c>
      <c r="LFM28" s="160">
        <f t="shared" ref="LFM28" si="4137">LFK28*$C$28</f>
        <v>1.9235615838269419E+22</v>
      </c>
      <c r="LFO28" s="160">
        <f t="shared" ref="LFO28" si="4138">LFM28*$C$28</f>
        <v>1.9427971996652113E+22</v>
      </c>
      <c r="LFQ28" s="160">
        <f t="shared" ref="LFQ28" si="4139">LFO28*$C$28</f>
        <v>1.9622251716618633E+22</v>
      </c>
      <c r="LFS28" s="160">
        <f t="shared" ref="LFS28" si="4140">LFQ28*$C$28</f>
        <v>1.9818474233784818E+22</v>
      </c>
      <c r="LFU28" s="160">
        <f t="shared" ref="LFU28" si="4141">LFS28*$C$28</f>
        <v>2.0016658976122666E+22</v>
      </c>
      <c r="LFW28" s="160">
        <f t="shared" ref="LFW28" si="4142">LFU28*$C$28</f>
        <v>2.0216825565883893E+22</v>
      </c>
      <c r="LFY28" s="160">
        <f t="shared" ref="LFY28" si="4143">LFW28*$C$28</f>
        <v>2.0418993821542733E+22</v>
      </c>
      <c r="LGA28" s="160">
        <f t="shared" ref="LGA28" si="4144">LFY28*$C$28</f>
        <v>2.062318375975816E+22</v>
      </c>
      <c r="LGC28" s="160">
        <f t="shared" ref="LGC28" si="4145">LGA28*$C$28</f>
        <v>2.0829415597355743E+22</v>
      </c>
      <c r="LGE28" s="160">
        <f t="shared" ref="LGE28" si="4146">LGC28*$C$28</f>
        <v>2.1037709753329302E+22</v>
      </c>
      <c r="LGG28" s="160">
        <f t="shared" ref="LGG28" si="4147">LGE28*$C$28</f>
        <v>2.1248086850862596E+22</v>
      </c>
      <c r="LGI28" s="160">
        <f t="shared" ref="LGI28" si="4148">LGG28*$C$28</f>
        <v>2.1460567719371224E+22</v>
      </c>
      <c r="LGK28" s="160">
        <f t="shared" ref="LGK28" si="4149">LGI28*$C$28</f>
        <v>2.1675173396564939E+22</v>
      </c>
      <c r="LGM28" s="160">
        <f t="shared" ref="LGM28" si="4150">LGK28*$C$28</f>
        <v>2.1891925130530588E+22</v>
      </c>
      <c r="LGO28" s="160">
        <f t="shared" ref="LGO28" si="4151">LGM28*$C$28</f>
        <v>2.2110844381835894E+22</v>
      </c>
      <c r="LGQ28" s="160">
        <f t="shared" ref="LGQ28" si="4152">LGO28*$C$28</f>
        <v>2.2331952825654254E+22</v>
      </c>
      <c r="LGS28" s="160">
        <f t="shared" ref="LGS28" si="4153">LGQ28*$C$28</f>
        <v>2.2555272353910796E+22</v>
      </c>
      <c r="LGU28" s="160">
        <f t="shared" ref="LGU28" si="4154">LGS28*$C$28</f>
        <v>2.2780825077449906E+22</v>
      </c>
      <c r="LGW28" s="160">
        <f t="shared" ref="LGW28" si="4155">LGU28*$C$28</f>
        <v>2.3008633328224407E+22</v>
      </c>
      <c r="LGY28" s="160">
        <f t="shared" ref="LGY28" si="4156">LGW28*$C$28</f>
        <v>2.323871966150665E+22</v>
      </c>
      <c r="LHA28" s="160">
        <f t="shared" ref="LHA28" si="4157">LGY28*$C$28</f>
        <v>2.3471106858121718E+22</v>
      </c>
      <c r="LHC28" s="160">
        <f t="shared" ref="LHC28" si="4158">LHA28*$C$28</f>
        <v>2.3705817926702935E+22</v>
      </c>
      <c r="LHE28" s="160">
        <f t="shared" ref="LHE28" si="4159">LHC28*$C$28</f>
        <v>2.3942876105969966E+22</v>
      </c>
      <c r="LHG28" s="160">
        <f t="shared" ref="LHG28" si="4160">LHE28*$C$28</f>
        <v>2.4182304867029665E+22</v>
      </c>
      <c r="LHI28" s="160">
        <f t="shared" ref="LHI28" si="4161">LHG28*$C$28</f>
        <v>2.4424127915699961E+22</v>
      </c>
      <c r="LHK28" s="160">
        <f t="shared" ref="LHK28" si="4162">LHI28*$C$28</f>
        <v>2.4668369194856961E+22</v>
      </c>
      <c r="LHM28" s="160">
        <f t="shared" ref="LHM28" si="4163">LHK28*$C$28</f>
        <v>2.4915052886805533E+22</v>
      </c>
      <c r="LHO28" s="160">
        <f t="shared" ref="LHO28" si="4164">LHM28*$C$28</f>
        <v>2.516420341567359E+22</v>
      </c>
      <c r="LHQ28" s="160">
        <f t="shared" ref="LHQ28" si="4165">LHO28*$C$28</f>
        <v>2.5415845449830326E+22</v>
      </c>
      <c r="LHS28" s="160">
        <f t="shared" ref="LHS28" si="4166">LHQ28*$C$28</f>
        <v>2.5670003904328631E+22</v>
      </c>
      <c r="LHU28" s="160">
        <f t="shared" ref="LHU28" si="4167">LHS28*$C$28</f>
        <v>2.5926703943371918E+22</v>
      </c>
      <c r="LHW28" s="160">
        <f t="shared" ref="LHW28" si="4168">LHU28*$C$28</f>
        <v>2.6185970982805637E+22</v>
      </c>
      <c r="LHY28" s="160">
        <f t="shared" ref="LHY28" si="4169">LHW28*$C$28</f>
        <v>2.6447830692633694E+22</v>
      </c>
      <c r="LIA28" s="160">
        <f t="shared" ref="LIA28" si="4170">LHY28*$C$28</f>
        <v>2.6712308999560031E+22</v>
      </c>
      <c r="LIC28" s="160">
        <f t="shared" ref="LIC28" si="4171">LIA28*$C$28</f>
        <v>2.6979432089555632E+22</v>
      </c>
      <c r="LIE28" s="160">
        <f t="shared" ref="LIE28" si="4172">LIC28*$C$28</f>
        <v>2.724922641045119E+22</v>
      </c>
      <c r="LIG28" s="160">
        <f t="shared" ref="LIG28" si="4173">LIE28*$C$28</f>
        <v>2.75217186745557E+22</v>
      </c>
      <c r="LII28" s="160">
        <f t="shared" ref="LII28" si="4174">LIG28*$C$28</f>
        <v>2.7796935861301257E+22</v>
      </c>
      <c r="LIK28" s="160">
        <f t="shared" ref="LIK28" si="4175">LII28*$C$28</f>
        <v>2.8074905219914269E+22</v>
      </c>
      <c r="LIM28" s="160">
        <f t="shared" ref="LIM28" si="4176">LIK28*$C$28</f>
        <v>2.8355654272113411E+22</v>
      </c>
      <c r="LIO28" s="160">
        <f t="shared" ref="LIO28" si="4177">LIM28*$C$28</f>
        <v>2.8639210814834544E+22</v>
      </c>
      <c r="LIQ28" s="160">
        <f t="shared" ref="LIQ28" si="4178">LIO28*$C$28</f>
        <v>2.8925602922982892E+22</v>
      </c>
      <c r="LIS28" s="160">
        <f t="shared" ref="LIS28" si="4179">LIQ28*$C$28</f>
        <v>2.9214858952212721E+22</v>
      </c>
      <c r="LIU28" s="160">
        <f t="shared" ref="LIU28" si="4180">LIS28*$C$28</f>
        <v>2.9507007541734848E+22</v>
      </c>
      <c r="LIW28" s="160">
        <f t="shared" ref="LIW28" si="4181">LIU28*$C$28</f>
        <v>2.9802077617152196E+22</v>
      </c>
      <c r="LIY28" s="160">
        <f t="shared" ref="LIY28" si="4182">LIW28*$C$28</f>
        <v>3.0100098393323717E+22</v>
      </c>
      <c r="LJA28" s="160">
        <f t="shared" ref="LJA28" si="4183">LIY28*$C$28</f>
        <v>3.0401099377256956E+22</v>
      </c>
      <c r="LJC28" s="160">
        <f t="shared" ref="LJC28" si="4184">LJA28*$C$28</f>
        <v>3.0705110371029525E+22</v>
      </c>
      <c r="LJE28" s="160">
        <f t="shared" ref="LJE28" si="4185">LJC28*$C$28</f>
        <v>3.101216147473982E+22</v>
      </c>
      <c r="LJG28" s="160">
        <f t="shared" ref="LJG28" si="4186">LJE28*$C$28</f>
        <v>3.1322283089487219E+22</v>
      </c>
      <c r="LJI28" s="160">
        <f t="shared" ref="LJI28" si="4187">LJG28*$C$28</f>
        <v>3.163550592038209E+22</v>
      </c>
      <c r="LJK28" s="160">
        <f t="shared" ref="LJK28" si="4188">LJI28*$C$28</f>
        <v>3.1951860979585912E+22</v>
      </c>
      <c r="LJM28" s="160">
        <f t="shared" ref="LJM28" si="4189">LJK28*$C$28</f>
        <v>3.227137958938177E+22</v>
      </c>
      <c r="LJO28" s="160">
        <f t="shared" ref="LJO28" si="4190">LJM28*$C$28</f>
        <v>3.2594093385275589E+22</v>
      </c>
      <c r="LJQ28" s="160">
        <f t="shared" ref="LJQ28" si="4191">LJO28*$C$28</f>
        <v>3.2920034319128343E+22</v>
      </c>
      <c r="LJS28" s="160">
        <f t="shared" ref="LJS28" si="4192">LJQ28*$C$28</f>
        <v>3.3249234662319628E+22</v>
      </c>
      <c r="LJU28" s="160">
        <f t="shared" ref="LJU28" si="4193">LJS28*$C$28</f>
        <v>3.3581727008942826E+22</v>
      </c>
      <c r="LJW28" s="160">
        <f t="shared" ref="LJW28" si="4194">LJU28*$C$28</f>
        <v>3.3917544279032254E+22</v>
      </c>
      <c r="LJY28" s="160">
        <f t="shared" ref="LJY28" si="4195">LJW28*$C$28</f>
        <v>3.4256719721822576E+22</v>
      </c>
      <c r="LKA28" s="160">
        <f t="shared" ref="LKA28" si="4196">LJY28*$C$28</f>
        <v>3.4599286919040801E+22</v>
      </c>
      <c r="LKC28" s="160">
        <f t="shared" ref="LKC28" si="4197">LKA28*$C$28</f>
        <v>3.494527978823121E+22</v>
      </c>
      <c r="LKE28" s="160">
        <f t="shared" ref="LKE28" si="4198">LKC28*$C$28</f>
        <v>3.5294732586113521E+22</v>
      </c>
      <c r="LKG28" s="160">
        <f t="shared" ref="LKG28" si="4199">LKE28*$C$28</f>
        <v>3.5647679911974656E+22</v>
      </c>
      <c r="LKI28" s="160">
        <f t="shared" ref="LKI28" si="4200">LKG28*$C$28</f>
        <v>3.6004156711094402E+22</v>
      </c>
      <c r="LKK28" s="160">
        <f t="shared" ref="LKK28" si="4201">LKI28*$C$28</f>
        <v>3.6364198278205345E+22</v>
      </c>
      <c r="LKM28" s="160">
        <f t="shared" ref="LKM28" si="4202">LKK28*$C$28</f>
        <v>3.6727840260987399E+22</v>
      </c>
      <c r="LKO28" s="160">
        <f t="shared" ref="LKO28" si="4203">LKM28*$C$28</f>
        <v>3.7095118663597274E+22</v>
      </c>
      <c r="LKQ28" s="160">
        <f t="shared" ref="LKQ28" si="4204">LKO28*$C$28</f>
        <v>3.7466069850233246E+22</v>
      </c>
      <c r="LKS28" s="160">
        <f t="shared" ref="LKS28" si="4205">LKQ28*$C$28</f>
        <v>3.7840730548735578E+22</v>
      </c>
      <c r="LKU28" s="160">
        <f t="shared" ref="LKU28" si="4206">LKS28*$C$28</f>
        <v>3.8219137854222933E+22</v>
      </c>
      <c r="LKW28" s="160">
        <f t="shared" ref="LKW28" si="4207">LKU28*$C$28</f>
        <v>3.8601329232765163E+22</v>
      </c>
      <c r="LKY28" s="160">
        <f t="shared" ref="LKY28" si="4208">LKW28*$C$28</f>
        <v>3.8987342525092812E+22</v>
      </c>
      <c r="LLA28" s="160">
        <f t="shared" ref="LLA28" si="4209">LKY28*$C$28</f>
        <v>3.9377215950343742E+22</v>
      </c>
      <c r="LLC28" s="160">
        <f t="shared" ref="LLC28" si="4210">LLA28*$C$28</f>
        <v>3.9770988109847182E+22</v>
      </c>
      <c r="LLE28" s="160">
        <f t="shared" ref="LLE28" si="4211">LLC28*$C$28</f>
        <v>4.0168697990945658E+22</v>
      </c>
      <c r="LLG28" s="160">
        <f t="shared" ref="LLG28" si="4212">LLE28*$C$28</f>
        <v>4.0570384970855112E+22</v>
      </c>
      <c r="LLI28" s="160">
        <f t="shared" ref="LLI28" si="4213">LLG28*$C$28</f>
        <v>4.0976088820563661E+22</v>
      </c>
      <c r="LLK28" s="160">
        <f t="shared" ref="LLK28" si="4214">LLI28*$C$28</f>
        <v>4.1385849708769297E+22</v>
      </c>
      <c r="LLM28" s="160">
        <f t="shared" ref="LLM28" si="4215">LLK28*$C$28</f>
        <v>4.179970820585699E+22</v>
      </c>
      <c r="LLO28" s="160">
        <f t="shared" ref="LLO28" si="4216">LLM28*$C$28</f>
        <v>4.2217705287915563E+22</v>
      </c>
      <c r="LLQ28" s="160">
        <f t="shared" ref="LLQ28" si="4217">LLO28*$C$28</f>
        <v>4.263988234079472E+22</v>
      </c>
      <c r="LLS28" s="160">
        <f t="shared" ref="LLS28" si="4218">LLQ28*$C$28</f>
        <v>4.3066281164202664E+22</v>
      </c>
      <c r="LLU28" s="160">
        <f t="shared" ref="LLU28" si="4219">LLS28*$C$28</f>
        <v>4.3496943975844691E+22</v>
      </c>
      <c r="LLW28" s="160">
        <f t="shared" ref="LLW28" si="4220">LLU28*$C$28</f>
        <v>4.393191341560314E+22</v>
      </c>
      <c r="LLY28" s="160">
        <f t="shared" ref="LLY28" si="4221">LLW28*$C$28</f>
        <v>4.4371232549759172E+22</v>
      </c>
      <c r="LMA28" s="160">
        <f t="shared" ref="LMA28" si="4222">LLY28*$C$28</f>
        <v>4.4814944875256765E+22</v>
      </c>
      <c r="LMC28" s="160">
        <f t="shared" ref="LMC28" si="4223">LMA28*$C$28</f>
        <v>4.5263094324009334E+22</v>
      </c>
      <c r="LME28" s="160">
        <f t="shared" ref="LME28" si="4224">LMC28*$C$28</f>
        <v>4.5715725267249431E+22</v>
      </c>
      <c r="LMG28" s="160">
        <f t="shared" ref="LMG28" si="4225">LME28*$C$28</f>
        <v>4.6172882519921925E+22</v>
      </c>
      <c r="LMI28" s="160">
        <f t="shared" ref="LMI28" si="4226">LMG28*$C$28</f>
        <v>4.6634611345121146E+22</v>
      </c>
      <c r="LMK28" s="160">
        <f t="shared" ref="LMK28" si="4227">LMI28*$C$28</f>
        <v>4.7100957458572358E+22</v>
      </c>
      <c r="LMM28" s="160">
        <f t="shared" ref="LMM28" si="4228">LMK28*$C$28</f>
        <v>4.7571967033158083E+22</v>
      </c>
      <c r="LMO28" s="160">
        <f t="shared" ref="LMO28" si="4229">LMM28*$C$28</f>
        <v>4.8047686703489667E+22</v>
      </c>
      <c r="LMQ28" s="160">
        <f t="shared" ref="LMQ28" si="4230">LMO28*$C$28</f>
        <v>4.8528163570524562E+22</v>
      </c>
      <c r="LMS28" s="160">
        <f t="shared" ref="LMS28" si="4231">LMQ28*$C$28</f>
        <v>4.9013445206229805E+22</v>
      </c>
      <c r="LMU28" s="160">
        <f t="shared" ref="LMU28" si="4232">LMS28*$C$28</f>
        <v>4.9503579658292103E+22</v>
      </c>
      <c r="LMW28" s="160">
        <f t="shared" ref="LMW28" si="4233">LMU28*$C$28</f>
        <v>4.9998615454875023E+22</v>
      </c>
      <c r="LMY28" s="160">
        <f t="shared" ref="LMY28" si="4234">LMW28*$C$28</f>
        <v>5.0498601609423776E+22</v>
      </c>
      <c r="LNA28" s="160">
        <f t="shared" ref="LNA28" si="4235">LMY28*$C$28</f>
        <v>5.1003587625518019E+22</v>
      </c>
      <c r="LNC28" s="160">
        <f t="shared" ref="LNC28" si="4236">LNA28*$C$28</f>
        <v>5.1513623501773197E+22</v>
      </c>
      <c r="LNE28" s="160">
        <f t="shared" ref="LNE28" si="4237">LNC28*$C$28</f>
        <v>5.2028759736790928E+22</v>
      </c>
      <c r="LNG28" s="160">
        <f t="shared" ref="LNG28" si="4238">LNE28*$C$28</f>
        <v>5.2549047334158834E+22</v>
      </c>
      <c r="LNI28" s="160">
        <f t="shared" ref="LNI28" si="4239">LNG28*$C$28</f>
        <v>5.3074537807500427E+22</v>
      </c>
      <c r="LNK28" s="160">
        <f t="shared" ref="LNK28" si="4240">LNI28*$C$28</f>
        <v>5.360528318557543E+22</v>
      </c>
      <c r="LNM28" s="160">
        <f t="shared" ref="LNM28" si="4241">LNK28*$C$28</f>
        <v>5.4141336017431186E+22</v>
      </c>
      <c r="LNO28" s="160">
        <f t="shared" ref="LNO28" si="4242">LNM28*$C$28</f>
        <v>5.4682749377605498E+22</v>
      </c>
      <c r="LNQ28" s="160">
        <f t="shared" ref="LNQ28" si="4243">LNO28*$C$28</f>
        <v>5.5229576871381555E+22</v>
      </c>
      <c r="LNS28" s="160">
        <f t="shared" ref="LNS28" si="4244">LNQ28*$C$28</f>
        <v>5.5781872640095374E+22</v>
      </c>
      <c r="LNU28" s="160">
        <f t="shared" ref="LNU28" si="4245">LNS28*$C$28</f>
        <v>5.6339691366496325E+22</v>
      </c>
      <c r="LNW28" s="160">
        <f t="shared" ref="LNW28" si="4246">LNU28*$C$28</f>
        <v>5.6903088280161288E+22</v>
      </c>
      <c r="LNY28" s="160">
        <f t="shared" ref="LNY28" si="4247">LNW28*$C$28</f>
        <v>5.7472119162962899E+22</v>
      </c>
      <c r="LOA28" s="160">
        <f t="shared" ref="LOA28" si="4248">LNY28*$C$28</f>
        <v>5.8046840354592533E+22</v>
      </c>
      <c r="LOC28" s="160">
        <f t="shared" ref="LOC28" si="4249">LOA28*$C$28</f>
        <v>5.8627308758138458E+22</v>
      </c>
      <c r="LOE28" s="160">
        <f t="shared" ref="LOE28" si="4250">LOC28*$C$28</f>
        <v>5.9213581845719845E+22</v>
      </c>
      <c r="LOG28" s="160">
        <f t="shared" ref="LOG28" si="4251">LOE28*$C$28</f>
        <v>5.9805717664177043E+22</v>
      </c>
      <c r="LOI28" s="160">
        <f t="shared" ref="LOI28" si="4252">LOG28*$C$28</f>
        <v>6.0403774840818817E+22</v>
      </c>
      <c r="LOK28" s="160">
        <f t="shared" ref="LOK28" si="4253">LOI28*$C$28</f>
        <v>6.1007812589227008E+22</v>
      </c>
      <c r="LOM28" s="160">
        <f t="shared" ref="LOM28" si="4254">LOK28*$C$28</f>
        <v>6.1617890715119282E+22</v>
      </c>
      <c r="LOO28" s="160">
        <f t="shared" ref="LOO28" si="4255">LOM28*$C$28</f>
        <v>6.2234069622270479E+22</v>
      </c>
      <c r="LOQ28" s="160">
        <f t="shared" ref="LOQ28" si="4256">LOO28*$C$28</f>
        <v>6.2856410318493182E+22</v>
      </c>
      <c r="LOS28" s="160">
        <f t="shared" ref="LOS28" si="4257">LOQ28*$C$28</f>
        <v>6.3484974421678116E+22</v>
      </c>
      <c r="LOU28" s="160">
        <f t="shared" ref="LOU28" si="4258">LOS28*$C$28</f>
        <v>6.41198241658949E+22</v>
      </c>
      <c r="LOW28" s="160">
        <f t="shared" ref="LOW28" si="4259">LOU28*$C$28</f>
        <v>6.4761022407553854E+22</v>
      </c>
      <c r="LOY28" s="160">
        <f t="shared" ref="LOY28" si="4260">LOW28*$C$28</f>
        <v>6.5408632631629391E+22</v>
      </c>
      <c r="LPA28" s="160">
        <f t="shared" ref="LPA28" si="4261">LOY28*$C$28</f>
        <v>6.6062718957945686E+22</v>
      </c>
      <c r="LPC28" s="160">
        <f t="shared" ref="LPC28" si="4262">LPA28*$C$28</f>
        <v>6.672334614752514E+22</v>
      </c>
      <c r="LPE28" s="160">
        <f t="shared" ref="LPE28" si="4263">LPC28*$C$28</f>
        <v>6.7390579609000389E+22</v>
      </c>
      <c r="LPG28" s="160">
        <f t="shared" ref="LPG28" si="4264">LPE28*$C$28</f>
        <v>6.8064485405090392E+22</v>
      </c>
      <c r="LPI28" s="160">
        <f t="shared" ref="LPI28" si="4265">LPG28*$C$28</f>
        <v>6.8745130259141301E+22</v>
      </c>
      <c r="LPK28" s="160">
        <f t="shared" ref="LPK28" si="4266">LPI28*$C$28</f>
        <v>6.9432581561732718E+22</v>
      </c>
      <c r="LPM28" s="160">
        <f t="shared" ref="LPM28" si="4267">LPK28*$C$28</f>
        <v>7.0126907377350043E+22</v>
      </c>
      <c r="LPO28" s="160">
        <f t="shared" ref="LPO28" si="4268">LPM28*$C$28</f>
        <v>7.082817645112354E+22</v>
      </c>
      <c r="LPQ28" s="160">
        <f t="shared" ref="LPQ28" si="4269">LPO28*$C$28</f>
        <v>7.1536458215634774E+22</v>
      </c>
      <c r="LPS28" s="160">
        <f t="shared" ref="LPS28" si="4270">LPQ28*$C$28</f>
        <v>7.2251822797791125E+22</v>
      </c>
      <c r="LPU28" s="160">
        <f t="shared" ref="LPU28" si="4271">LPS28*$C$28</f>
        <v>7.2974341025769034E+22</v>
      </c>
      <c r="LPW28" s="160">
        <f t="shared" ref="LPW28" si="4272">LPU28*$C$28</f>
        <v>7.3704084436026728E+22</v>
      </c>
      <c r="LPY28" s="160">
        <f t="shared" ref="LPY28" si="4273">LPW28*$C$28</f>
        <v>7.4441125280386992E+22</v>
      </c>
      <c r="LQA28" s="160">
        <f t="shared" ref="LQA28" si="4274">LPY28*$C$28</f>
        <v>7.5185536533190859E+22</v>
      </c>
      <c r="LQC28" s="160">
        <f t="shared" ref="LQC28" si="4275">LQA28*$C$28</f>
        <v>7.593739189852276E+22</v>
      </c>
      <c r="LQE28" s="160">
        <f t="shared" ref="LQE28" si="4276">LQC28*$C$28</f>
        <v>7.6696765817507992E+22</v>
      </c>
      <c r="LQG28" s="160">
        <f t="shared" ref="LQG28" si="4277">LQE28*$C$28</f>
        <v>7.7463733475683074E+22</v>
      </c>
      <c r="LQI28" s="160">
        <f t="shared" ref="LQI28" si="4278">LQG28*$C$28</f>
        <v>7.8238370810439901E+22</v>
      </c>
      <c r="LQK28" s="160">
        <f t="shared" ref="LQK28" si="4279">LQI28*$C$28</f>
        <v>7.9020754518544306E+22</v>
      </c>
      <c r="LQM28" s="160">
        <f t="shared" ref="LQM28" si="4280">LQK28*$C$28</f>
        <v>7.9810962063729753E+22</v>
      </c>
      <c r="LQO28" s="160">
        <f t="shared" ref="LQO28" si="4281">LQM28*$C$28</f>
        <v>8.0609071684367052E+22</v>
      </c>
      <c r="LQQ28" s="160">
        <f t="shared" ref="LQQ28" si="4282">LQO28*$C$28</f>
        <v>8.1415162401210723E+22</v>
      </c>
      <c r="LQS28" s="160">
        <f t="shared" ref="LQS28" si="4283">LQQ28*$C$28</f>
        <v>8.222931402522283E+22</v>
      </c>
      <c r="LQU28" s="160">
        <f t="shared" ref="LQU28" si="4284">LQS28*$C$28</f>
        <v>8.3051607165475066E+22</v>
      </c>
      <c r="LQW28" s="160">
        <f t="shared" ref="LQW28" si="4285">LQU28*$C$28</f>
        <v>8.3882123237129812E+22</v>
      </c>
      <c r="LQY28" s="160">
        <f t="shared" ref="LQY28" si="4286">LQW28*$C$28</f>
        <v>8.4720944469501117E+22</v>
      </c>
      <c r="LRA28" s="160">
        <f t="shared" ref="LRA28" si="4287">LQY28*$C$28</f>
        <v>8.5568153914196126E+22</v>
      </c>
      <c r="LRC28" s="160">
        <f t="shared" ref="LRC28" si="4288">LRA28*$C$28</f>
        <v>8.6423835453338086E+22</v>
      </c>
      <c r="LRE28" s="160">
        <f t="shared" ref="LRE28" si="4289">LRC28*$C$28</f>
        <v>8.7288073807871462E+22</v>
      </c>
      <c r="LRG28" s="160">
        <f t="shared" ref="LRG28" si="4290">LRE28*$C$28</f>
        <v>8.8160954545950184E+22</v>
      </c>
      <c r="LRI28" s="160">
        <f t="shared" ref="LRI28" si="4291">LRG28*$C$28</f>
        <v>8.9042564091409682E+22</v>
      </c>
      <c r="LRK28" s="160">
        <f t="shared" ref="LRK28" si="4292">LRI28*$C$28</f>
        <v>8.9932989732323775E+22</v>
      </c>
      <c r="LRM28" s="160">
        <f t="shared" ref="LRM28" si="4293">LRK28*$C$28</f>
        <v>9.0832319629647011E+22</v>
      </c>
      <c r="LRO28" s="160">
        <f t="shared" ref="LRO28" si="4294">LRM28*$C$28</f>
        <v>9.1740642825943489E+22</v>
      </c>
      <c r="LRQ28" s="160">
        <f t="shared" ref="LRQ28" si="4295">LRO28*$C$28</f>
        <v>9.2658049254202932E+22</v>
      </c>
      <c r="LRS28" s="160">
        <f t="shared" ref="LRS28" si="4296">LRQ28*$C$28</f>
        <v>9.3584629746744959E+22</v>
      </c>
      <c r="LRU28" s="160">
        <f t="shared" ref="LRU28" si="4297">LRS28*$C$28</f>
        <v>9.4520476044212411E+22</v>
      </c>
      <c r="LRW28" s="160">
        <f t="shared" ref="LRW28" si="4298">LRU28*$C$28</f>
        <v>9.5465680804654535E+22</v>
      </c>
      <c r="LRY28" s="160">
        <f t="shared" ref="LRY28" si="4299">LRW28*$C$28</f>
        <v>9.6420337612701087E+22</v>
      </c>
      <c r="LSA28" s="160">
        <f t="shared" ref="LSA28" si="4300">LRY28*$C$28</f>
        <v>9.73845409888281E+22</v>
      </c>
      <c r="LSC28" s="160">
        <f t="shared" ref="LSC28" si="4301">LSA28*$C$28</f>
        <v>9.8358386398716387E+22</v>
      </c>
      <c r="LSE28" s="160">
        <f t="shared" ref="LSE28" si="4302">LSC28*$C$28</f>
        <v>9.934197026270355E+22</v>
      </c>
      <c r="LSG28" s="160">
        <f t="shared" ref="LSG28" si="4303">LSE28*$C$28</f>
        <v>1.0033538996533059E+23</v>
      </c>
      <c r="LSI28" s="160">
        <f t="shared" ref="LSI28" si="4304">LSG28*$C$28</f>
        <v>1.0133874386498389E+23</v>
      </c>
      <c r="LSK28" s="160">
        <f t="shared" ref="LSK28" si="4305">LSI28*$C$28</f>
        <v>1.0235213130363374E+23</v>
      </c>
      <c r="LSM28" s="160">
        <f t="shared" ref="LSM28" si="4306">LSK28*$C$28</f>
        <v>1.0337565261667007E+23</v>
      </c>
      <c r="LSO28" s="160">
        <f t="shared" ref="LSO28" si="4307">LSM28*$C$28</f>
        <v>1.0440940914283677E+23</v>
      </c>
      <c r="LSQ28" s="160">
        <f t="shared" ref="LSQ28" si="4308">LSO28*$C$28</f>
        <v>1.0545350323426514E+23</v>
      </c>
      <c r="LSS28" s="160">
        <f t="shared" ref="LSS28" si="4309">LSQ28*$C$28</f>
        <v>1.0650803826660779E+23</v>
      </c>
      <c r="LSU28" s="160">
        <f t="shared" ref="LSU28" si="4310">LSS28*$C$28</f>
        <v>1.0757311864927388E+23</v>
      </c>
      <c r="LSW28" s="160">
        <f t="shared" ref="LSW28" si="4311">LSU28*$C$28</f>
        <v>1.0864884983576661E+23</v>
      </c>
      <c r="LSY28" s="160">
        <f t="shared" ref="LSY28" si="4312">LSW28*$C$28</f>
        <v>1.0973533833412427E+23</v>
      </c>
      <c r="LTA28" s="160">
        <f t="shared" ref="LTA28" si="4313">LSY28*$C$28</f>
        <v>1.1083269171746552E+23</v>
      </c>
      <c r="LTC28" s="160">
        <f t="shared" ref="LTC28" si="4314">LTA28*$C$28</f>
        <v>1.1194101863464017E+23</v>
      </c>
      <c r="LTE28" s="160">
        <f t="shared" ref="LTE28" si="4315">LTC28*$C$28</f>
        <v>1.1306042882098657E+23</v>
      </c>
      <c r="LTG28" s="160">
        <f t="shared" ref="LTG28" si="4316">LTE28*$C$28</f>
        <v>1.1419103310919643E+23</v>
      </c>
      <c r="LTI28" s="160">
        <f t="shared" ref="LTI28" si="4317">LTG28*$C$28</f>
        <v>1.1533294344028839E+23</v>
      </c>
      <c r="LTK28" s="160">
        <f t="shared" ref="LTK28" si="4318">LTI28*$C$28</f>
        <v>1.1648627287469128E+23</v>
      </c>
      <c r="LTM28" s="160">
        <f t="shared" ref="LTM28" si="4319">LTK28*$C$28</f>
        <v>1.1765113560343819E+23</v>
      </c>
      <c r="LTO28" s="160">
        <f t="shared" ref="LTO28" si="4320">LTM28*$C$28</f>
        <v>1.1882764695947258E+23</v>
      </c>
      <c r="LTQ28" s="160">
        <f t="shared" ref="LTQ28" si="4321">LTO28*$C$28</f>
        <v>1.2001592342906731E+23</v>
      </c>
      <c r="LTS28" s="160">
        <f t="shared" ref="LTS28" si="4322">LTQ28*$C$28</f>
        <v>1.2121608266335797E+23</v>
      </c>
      <c r="LTU28" s="160">
        <f t="shared" ref="LTU28" si="4323">LTS28*$C$28</f>
        <v>1.2242824348999155E+23</v>
      </c>
      <c r="LTW28" s="160">
        <f t="shared" ref="LTW28" si="4324">LTU28*$C$28</f>
        <v>1.2365252592489147E+23</v>
      </c>
      <c r="LTY28" s="160">
        <f t="shared" ref="LTY28" si="4325">LTW28*$C$28</f>
        <v>1.2488905118414038E+23</v>
      </c>
      <c r="LUA28" s="160">
        <f t="shared" ref="LUA28" si="4326">LTY28*$C$28</f>
        <v>1.2613794169598179E+23</v>
      </c>
      <c r="LUC28" s="160">
        <f t="shared" ref="LUC28" si="4327">LUA28*$C$28</f>
        <v>1.273993211129416E+23</v>
      </c>
      <c r="LUE28" s="160">
        <f t="shared" ref="LUE28" si="4328">LUC28*$C$28</f>
        <v>1.2867331432407101E+23</v>
      </c>
      <c r="LUG28" s="160">
        <f t="shared" ref="LUG28" si="4329">LUE28*$C$28</f>
        <v>1.2996004746731172E+23</v>
      </c>
      <c r="LUI28" s="160">
        <f t="shared" ref="LUI28" si="4330">LUG28*$C$28</f>
        <v>1.3125964794198483E+23</v>
      </c>
      <c r="LUK28" s="160">
        <f t="shared" ref="LUK28" si="4331">LUI28*$C$28</f>
        <v>1.3257224442140467E+23</v>
      </c>
      <c r="LUM28" s="160">
        <f t="shared" ref="LUM28" si="4332">LUK28*$C$28</f>
        <v>1.3389796686561872E+23</v>
      </c>
      <c r="LUO28" s="160">
        <f t="shared" ref="LUO28" si="4333">LUM28*$C$28</f>
        <v>1.352369465342749E+23</v>
      </c>
      <c r="LUQ28" s="160">
        <f t="shared" ref="LUQ28" si="4334">LUO28*$C$28</f>
        <v>1.3658931599961766E+23</v>
      </c>
      <c r="LUS28" s="160">
        <f t="shared" ref="LUS28" si="4335">LUQ28*$C$28</f>
        <v>1.3795520915961384E+23</v>
      </c>
      <c r="LUU28" s="160">
        <f t="shared" ref="LUU28" si="4336">LUS28*$C$28</f>
        <v>1.3933476125120998E+23</v>
      </c>
      <c r="LUW28" s="160">
        <f t="shared" ref="LUW28" si="4337">LUU28*$C$28</f>
        <v>1.4072810886372207E+23</v>
      </c>
      <c r="LUY28" s="160">
        <f t="shared" ref="LUY28" si="4338">LUW28*$C$28</f>
        <v>1.421353899523593E+23</v>
      </c>
      <c r="LVA28" s="160">
        <f t="shared" ref="LVA28" si="4339">LUY28*$C$28</f>
        <v>1.4355674385188289E+23</v>
      </c>
      <c r="LVC28" s="160">
        <f t="shared" ref="LVC28" si="4340">LVA28*$C$28</f>
        <v>1.4499231129040172E+23</v>
      </c>
      <c r="LVE28" s="160">
        <f t="shared" ref="LVE28" si="4341">LVC28*$C$28</f>
        <v>1.4644223440330574E+23</v>
      </c>
      <c r="LVG28" s="160">
        <f t="shared" ref="LVG28" si="4342">LVE28*$C$28</f>
        <v>1.479066567473388E+23</v>
      </c>
      <c r="LVI28" s="160">
        <f t="shared" ref="LVI28" si="4343">LVG28*$C$28</f>
        <v>1.4938572331481219E+23</v>
      </c>
      <c r="LVK28" s="160">
        <f t="shared" ref="LVK28" si="4344">LVI28*$C$28</f>
        <v>1.5087958054796032E+23</v>
      </c>
      <c r="LVM28" s="160">
        <f t="shared" ref="LVM28" si="4345">LVK28*$C$28</f>
        <v>1.5238837635343994E+23</v>
      </c>
      <c r="LVO28" s="160">
        <f t="shared" ref="LVO28" si="4346">LVM28*$C$28</f>
        <v>1.5391226011697435E+23</v>
      </c>
      <c r="LVQ28" s="160">
        <f t="shared" ref="LVQ28" si="4347">LVO28*$C$28</f>
        <v>1.554513827181441E+23</v>
      </c>
      <c r="LVS28" s="160">
        <f t="shared" ref="LVS28" si="4348">LVQ28*$C$28</f>
        <v>1.5700589654532552E+23</v>
      </c>
      <c r="LVU28" s="160">
        <f t="shared" ref="LVU28" si="4349">LVS28*$C$28</f>
        <v>1.5857595551077877E+23</v>
      </c>
      <c r="LVW28" s="160">
        <f t="shared" ref="LVW28" si="4350">LVU28*$C$28</f>
        <v>1.6016171506588657E+23</v>
      </c>
      <c r="LVY28" s="160">
        <f t="shared" ref="LVY28" si="4351">LVW28*$C$28</f>
        <v>1.6176333221654545E+23</v>
      </c>
      <c r="LWA28" s="160">
        <f t="shared" ref="LWA28" si="4352">LVY28*$C$28</f>
        <v>1.6338096553871093E+23</v>
      </c>
      <c r="LWC28" s="160">
        <f t="shared" ref="LWC28" si="4353">LWA28*$C$28</f>
        <v>1.6501477519409804E+23</v>
      </c>
      <c r="LWE28" s="160">
        <f t="shared" ref="LWE28" si="4354">LWC28*$C$28</f>
        <v>1.6666492294603902E+23</v>
      </c>
      <c r="LWG28" s="160">
        <f t="shared" ref="LWG28" si="4355">LWE28*$C$28</f>
        <v>1.6833157217549943E+23</v>
      </c>
      <c r="LWI28" s="160">
        <f t="shared" ref="LWI28" si="4356">LWG28*$C$28</f>
        <v>1.7001488789725441E+23</v>
      </c>
      <c r="LWK28" s="160">
        <f t="shared" ref="LWK28" si="4357">LWI28*$C$28</f>
        <v>1.7171503677622697E+23</v>
      </c>
      <c r="LWM28" s="160">
        <f t="shared" ref="LWM28" si="4358">LWK28*$C$28</f>
        <v>1.7343218714398925E+23</v>
      </c>
      <c r="LWO28" s="160">
        <f t="shared" ref="LWO28" si="4359">LWM28*$C$28</f>
        <v>1.7516650901542915E+23</v>
      </c>
      <c r="LWQ28" s="160">
        <f t="shared" ref="LWQ28" si="4360">LWO28*$C$28</f>
        <v>1.7691817410558346E+23</v>
      </c>
      <c r="LWS28" s="160">
        <f t="shared" ref="LWS28" si="4361">LWQ28*$C$28</f>
        <v>1.7868735584663929E+23</v>
      </c>
      <c r="LWU28" s="160">
        <f t="shared" ref="LWU28" si="4362">LWS28*$C$28</f>
        <v>1.8047422940510569E+23</v>
      </c>
      <c r="LWW28" s="160">
        <f t="shared" ref="LWW28" si="4363">LWU28*$C$28</f>
        <v>1.8227897169915673E+23</v>
      </c>
      <c r="LWY28" s="160">
        <f t="shared" ref="LWY28" si="4364">LWW28*$C$28</f>
        <v>1.8410176141614831E+23</v>
      </c>
      <c r="LXA28" s="160">
        <f t="shared" ref="LXA28" si="4365">LWY28*$C$28</f>
        <v>1.8594277903030979E+23</v>
      </c>
      <c r="LXC28" s="160">
        <f t="shared" ref="LXC28" si="4366">LXA28*$C$28</f>
        <v>1.878022068206129E+23</v>
      </c>
      <c r="LXE28" s="160">
        <f t="shared" ref="LXE28" si="4367">LXC28*$C$28</f>
        <v>1.8968022888881901E+23</v>
      </c>
      <c r="LXG28" s="160">
        <f t="shared" ref="LXG28" si="4368">LXE28*$C$28</f>
        <v>1.9157703117770719E+23</v>
      </c>
      <c r="LXI28" s="160">
        <f t="shared" ref="LXI28" si="4369">LXG28*$C$28</f>
        <v>1.9349280148948427E+23</v>
      </c>
      <c r="LXK28" s="160">
        <f t="shared" ref="LXK28" si="4370">LXI28*$C$28</f>
        <v>1.954277295043791E+23</v>
      </c>
      <c r="LXM28" s="160">
        <f t="shared" ref="LXM28" si="4371">LXK28*$C$28</f>
        <v>1.9738200679942288E+23</v>
      </c>
      <c r="LXO28" s="160">
        <f t="shared" ref="LXO28" si="4372">LXM28*$C$28</f>
        <v>1.9935582686741712E+23</v>
      </c>
      <c r="LXQ28" s="160">
        <f t="shared" ref="LXQ28" si="4373">LXO28*$C$28</f>
        <v>2.0134938513609128E+23</v>
      </c>
      <c r="LXS28" s="160">
        <f t="shared" ref="LXS28" si="4374">LXQ28*$C$28</f>
        <v>2.0336287898745219E+23</v>
      </c>
      <c r="LXU28" s="160">
        <f t="shared" ref="LXU28" si="4375">LXS28*$C$28</f>
        <v>2.053965077773267E+23</v>
      </c>
      <c r="LXW28" s="160">
        <f t="shared" ref="LXW28" si="4376">LXU28*$C$28</f>
        <v>2.0745047285509999E+23</v>
      </c>
      <c r="LXY28" s="160">
        <f t="shared" ref="LXY28" si="4377">LXW28*$C$28</f>
        <v>2.0952497758365098E+23</v>
      </c>
      <c r="LYA28" s="160">
        <f t="shared" ref="LYA28" si="4378">LXY28*$C$28</f>
        <v>2.1162022735948749E+23</v>
      </c>
      <c r="LYC28" s="160">
        <f t="shared" ref="LYC28" si="4379">LYA28*$C$28</f>
        <v>2.1373642963308235E+23</v>
      </c>
      <c r="LYE28" s="160">
        <f t="shared" ref="LYE28" si="4380">LYC28*$C$28</f>
        <v>2.1587379392941318E+23</v>
      </c>
      <c r="LYG28" s="160">
        <f t="shared" ref="LYG28" si="4381">LYE28*$C$28</f>
        <v>2.1803253186870732E+23</v>
      </c>
      <c r="LYI28" s="160">
        <f t="shared" ref="LYI28" si="4382">LYG28*$C$28</f>
        <v>2.2021285718739441E+23</v>
      </c>
      <c r="LYK28" s="160">
        <f t="shared" ref="LYK28" si="4383">LYI28*$C$28</f>
        <v>2.2241498575926834E+23</v>
      </c>
      <c r="LYM28" s="160">
        <f t="shared" ref="LYM28" si="4384">LYK28*$C$28</f>
        <v>2.2463913561686103E+23</v>
      </c>
      <c r="LYO28" s="160">
        <f t="shared" ref="LYO28" si="4385">LYM28*$C$28</f>
        <v>2.2688552697302964E+23</v>
      </c>
      <c r="LYQ28" s="160">
        <f t="shared" ref="LYQ28" si="4386">LYO28*$C$28</f>
        <v>2.2915438224275995E+23</v>
      </c>
      <c r="LYS28" s="160">
        <f t="shared" ref="LYS28" si="4387">LYQ28*$C$28</f>
        <v>2.3144592606518755E+23</v>
      </c>
      <c r="LYU28" s="160">
        <f t="shared" ref="LYU28" si="4388">LYS28*$C$28</f>
        <v>2.3376038532583942E+23</v>
      </c>
      <c r="LYW28" s="160">
        <f t="shared" ref="LYW28" si="4389">LYU28*$C$28</f>
        <v>2.3609798917909783E+23</v>
      </c>
      <c r="LYY28" s="160">
        <f t="shared" ref="LYY28" si="4390">LYW28*$C$28</f>
        <v>2.3845896907088882E+23</v>
      </c>
      <c r="LZA28" s="160">
        <f t="shared" ref="LZA28" si="4391">LYY28*$C$28</f>
        <v>2.4084355876159771E+23</v>
      </c>
      <c r="LZC28" s="160">
        <f t="shared" ref="LZC28" si="4392">LZA28*$C$28</f>
        <v>2.432519943492137E+23</v>
      </c>
      <c r="LZE28" s="160">
        <f t="shared" ref="LZE28" si="4393">LZC28*$C$28</f>
        <v>2.4568451429270583E+23</v>
      </c>
      <c r="LZG28" s="160">
        <f t="shared" ref="LZG28" si="4394">LZE28*$C$28</f>
        <v>2.4814135943563291E+23</v>
      </c>
      <c r="LZI28" s="160">
        <f t="shared" ref="LZI28" si="4395">LZG28*$C$28</f>
        <v>2.5062277302998923E+23</v>
      </c>
      <c r="LZK28" s="160">
        <f t="shared" ref="LZK28" si="4396">LZI28*$C$28</f>
        <v>2.5312900076028911E+23</v>
      </c>
      <c r="LZM28" s="160">
        <f t="shared" ref="LZM28" si="4397">LZK28*$C$28</f>
        <v>2.55660290767892E+23</v>
      </c>
      <c r="LZO28" s="160">
        <f t="shared" ref="LZO28" si="4398">LZM28*$C$28</f>
        <v>2.5821689367557091E+23</v>
      </c>
      <c r="LZQ28" s="160">
        <f t="shared" ref="LZQ28" si="4399">LZO28*$C$28</f>
        <v>2.6079906261232661E+23</v>
      </c>
      <c r="LZS28" s="160">
        <f t="shared" ref="LZS28" si="4400">LZQ28*$C$28</f>
        <v>2.6340705323844988E+23</v>
      </c>
      <c r="LZU28" s="160">
        <f t="shared" ref="LZU28" si="4401">LZS28*$C$28</f>
        <v>2.6604112377083438E+23</v>
      </c>
      <c r="LZW28" s="160">
        <f t="shared" ref="LZW28" si="4402">LZU28*$C$28</f>
        <v>2.6870153500854274E+23</v>
      </c>
      <c r="LZY28" s="160">
        <f t="shared" ref="LZY28" si="4403">LZW28*$C$28</f>
        <v>2.7138855035862817E+23</v>
      </c>
      <c r="MAA28" s="160">
        <f t="shared" ref="MAA28" si="4404">LZY28*$C$28</f>
        <v>2.7410243586221444E+23</v>
      </c>
      <c r="MAC28" s="160">
        <f t="shared" ref="MAC28" si="4405">MAA28*$C$28</f>
        <v>2.7684346022083659E+23</v>
      </c>
      <c r="MAE28" s="160">
        <f t="shared" ref="MAE28" si="4406">MAC28*$C$28</f>
        <v>2.7961189482304496E+23</v>
      </c>
      <c r="MAG28" s="160">
        <f t="shared" ref="MAG28" si="4407">MAE28*$C$28</f>
        <v>2.824080137712754E+23</v>
      </c>
      <c r="MAI28" s="160">
        <f t="shared" ref="MAI28" si="4408">MAG28*$C$28</f>
        <v>2.8523209390898817E+23</v>
      </c>
      <c r="MAK28" s="160">
        <f t="shared" ref="MAK28" si="4409">MAI28*$C$28</f>
        <v>2.8808441484807807E+23</v>
      </c>
      <c r="MAM28" s="160">
        <f t="shared" ref="MAM28" si="4410">MAK28*$C$28</f>
        <v>2.9096525899655886E+23</v>
      </c>
      <c r="MAO28" s="160">
        <f t="shared" ref="MAO28" si="4411">MAM28*$C$28</f>
        <v>2.9387491158652444E+23</v>
      </c>
      <c r="MAQ28" s="160">
        <f t="shared" ref="MAQ28" si="4412">MAO28*$C$28</f>
        <v>2.968136607023897E+23</v>
      </c>
      <c r="MAS28" s="160">
        <f t="shared" ref="MAS28" si="4413">MAQ28*$C$28</f>
        <v>2.9978179730941359E+23</v>
      </c>
      <c r="MAU28" s="160">
        <f t="shared" ref="MAU28" si="4414">MAS28*$C$28</f>
        <v>3.0277961528250773E+23</v>
      </c>
      <c r="MAW28" s="160">
        <f t="shared" ref="MAW28" si="4415">MAU28*$C$28</f>
        <v>3.0580741143533279E+23</v>
      </c>
      <c r="MAY28" s="160">
        <f t="shared" ref="MAY28" si="4416">MAW28*$C$28</f>
        <v>3.0886548554968613E+23</v>
      </c>
      <c r="MBA28" s="160">
        <f t="shared" ref="MBA28" si="4417">MAY28*$C$28</f>
        <v>3.1195414040518299E+23</v>
      </c>
      <c r="MBC28" s="160">
        <f t="shared" ref="MBC28" si="4418">MBA28*$C$28</f>
        <v>3.1507368180923481E+23</v>
      </c>
      <c r="MBE28" s="160">
        <f t="shared" ref="MBE28" si="4419">MBC28*$C$28</f>
        <v>3.1822441862732718E+23</v>
      </c>
      <c r="MBG28" s="160">
        <f t="shared" ref="MBG28" si="4420">MBE28*$C$28</f>
        <v>3.2140666281360048E+23</v>
      </c>
      <c r="MBI28" s="160">
        <f t="shared" ref="MBI28" si="4421">MBG28*$C$28</f>
        <v>3.2462072944173648E+23</v>
      </c>
      <c r="MBK28" s="160">
        <f t="shared" ref="MBK28" si="4422">MBI28*$C$28</f>
        <v>3.2786693673615383E+23</v>
      </c>
      <c r="MBM28" s="160">
        <f t="shared" ref="MBM28" si="4423">MBK28*$C$28</f>
        <v>3.3114560610351538E+23</v>
      </c>
      <c r="MBO28" s="160">
        <f t="shared" ref="MBO28" si="4424">MBM28*$C$28</f>
        <v>3.3445706216455056E+23</v>
      </c>
      <c r="MBQ28" s="160">
        <f t="shared" ref="MBQ28" si="4425">MBO28*$C$28</f>
        <v>3.3780163278619607E+23</v>
      </c>
      <c r="MBS28" s="160">
        <f t="shared" ref="MBS28" si="4426">MBQ28*$C$28</f>
        <v>3.41179649114058E+23</v>
      </c>
      <c r="MBU28" s="160">
        <f t="shared" ref="MBU28" si="4427">MBS28*$C$28</f>
        <v>3.4459144560519861E+23</v>
      </c>
      <c r="MBW28" s="160">
        <f t="shared" ref="MBW28" si="4428">MBU28*$C$28</f>
        <v>3.4803736006125063E+23</v>
      </c>
      <c r="MBY28" s="160">
        <f t="shared" ref="MBY28" si="4429">MBW28*$C$28</f>
        <v>3.5151773366186314E+23</v>
      </c>
      <c r="MCA28" s="160">
        <f t="shared" ref="MCA28" si="4430">MBY28*$C$28</f>
        <v>3.5503291099848175E+23</v>
      </c>
      <c r="MCC28" s="160">
        <f t="shared" ref="MCC28" si="4431">MCA28*$C$28</f>
        <v>3.5858324010846654E+23</v>
      </c>
      <c r="MCE28" s="160">
        <f t="shared" ref="MCE28" si="4432">MCC28*$C$28</f>
        <v>3.6216907250955118E+23</v>
      </c>
      <c r="MCG28" s="160">
        <f t="shared" ref="MCG28" si="4433">MCE28*$C$28</f>
        <v>3.6579076323464667E+23</v>
      </c>
      <c r="MCI28" s="160">
        <f t="shared" ref="MCI28" si="4434">MCG28*$C$28</f>
        <v>3.6944867086699312E+23</v>
      </c>
      <c r="MCK28" s="160">
        <f t="shared" ref="MCK28" si="4435">MCI28*$C$28</f>
        <v>3.7314315757566303E+23</v>
      </c>
      <c r="MCM28" s="160">
        <f t="shared" ref="MCM28" si="4436">MCK28*$C$28</f>
        <v>3.7687458915141969E+23</v>
      </c>
      <c r="MCO28" s="160">
        <f t="shared" ref="MCO28" si="4437">MCM28*$C$28</f>
        <v>3.8064333504293388E+23</v>
      </c>
      <c r="MCQ28" s="160">
        <f t="shared" ref="MCQ28" si="4438">MCO28*$C$28</f>
        <v>3.8444976839336321E+23</v>
      </c>
      <c r="MCS28" s="160">
        <f t="shared" ref="MCS28" si="4439">MCQ28*$C$28</f>
        <v>3.8829426607729684E+23</v>
      </c>
      <c r="MCU28" s="160">
        <f t="shared" ref="MCU28" si="4440">MCS28*$C$28</f>
        <v>3.9217720873806982E+23</v>
      </c>
      <c r="MCW28" s="160">
        <f t="shared" ref="MCW28" si="4441">MCU28*$C$28</f>
        <v>3.9609898082545051E+23</v>
      </c>
      <c r="MCY28" s="160">
        <f t="shared" ref="MCY28" si="4442">MCW28*$C$28</f>
        <v>4.0005997063370501E+23</v>
      </c>
      <c r="MDA28" s="160">
        <f t="shared" ref="MDA28" si="4443">MCY28*$C$28</f>
        <v>4.0406057034004206E+23</v>
      </c>
      <c r="MDC28" s="160">
        <f t="shared" ref="MDC28" si="4444">MDA28*$C$28</f>
        <v>4.0810117604344249E+23</v>
      </c>
      <c r="MDE28" s="160">
        <f t="shared" ref="MDE28" si="4445">MDC28*$C$28</f>
        <v>4.1218218780387689E+23</v>
      </c>
      <c r="MDG28" s="160">
        <f t="shared" ref="MDG28" si="4446">MDE28*$C$28</f>
        <v>4.1630400968191569E+23</v>
      </c>
      <c r="MDI28" s="160">
        <f t="shared" ref="MDI28" si="4447">MDG28*$C$28</f>
        <v>4.2046704977873482E+23</v>
      </c>
      <c r="MDK28" s="160">
        <f t="shared" ref="MDK28" si="4448">MDI28*$C$28</f>
        <v>4.2467172027652217E+23</v>
      </c>
      <c r="MDM28" s="160">
        <f t="shared" ref="MDM28" si="4449">MDK28*$C$28</f>
        <v>4.2891843747928736E+23</v>
      </c>
      <c r="MDO28" s="160">
        <f t="shared" ref="MDO28" si="4450">MDM28*$C$28</f>
        <v>4.3320762185408022E+23</v>
      </c>
      <c r="MDQ28" s="160">
        <f t="shared" ref="MDQ28" si="4451">MDO28*$C$28</f>
        <v>4.3753969807262105E+23</v>
      </c>
      <c r="MDS28" s="160">
        <f t="shared" ref="MDS28" si="4452">MDQ28*$C$28</f>
        <v>4.4191509505334729E+23</v>
      </c>
      <c r="MDU28" s="160">
        <f t="shared" ref="MDU28" si="4453">MDS28*$C$28</f>
        <v>4.4633424600388074E+23</v>
      </c>
      <c r="MDW28" s="160">
        <f t="shared" ref="MDW28" si="4454">MDU28*$C$28</f>
        <v>4.5079758846391956E+23</v>
      </c>
      <c r="MDY28" s="160">
        <f t="shared" ref="MDY28" si="4455">MDW28*$C$28</f>
        <v>4.5530556434855878E+23</v>
      </c>
      <c r="MEA28" s="160">
        <f t="shared" ref="MEA28" si="4456">MDY28*$C$28</f>
        <v>4.598586199920444E+23</v>
      </c>
      <c r="MEC28" s="160">
        <f t="shared" ref="MEC28" si="4457">MEA28*$C$28</f>
        <v>4.6445720619196485E+23</v>
      </c>
      <c r="MEE28" s="160">
        <f t="shared" ref="MEE28" si="4458">MEC28*$C$28</f>
        <v>4.691017782538845E+23</v>
      </c>
      <c r="MEG28" s="160">
        <f t="shared" ref="MEG28" si="4459">MEE28*$C$28</f>
        <v>4.7379279603642333E+23</v>
      </c>
      <c r="MEI28" s="160">
        <f t="shared" ref="MEI28" si="4460">MEG28*$C$28</f>
        <v>4.7853072399678755E+23</v>
      </c>
      <c r="MEK28" s="160">
        <f t="shared" ref="MEK28" si="4461">MEI28*$C$28</f>
        <v>4.8331603123675545E+23</v>
      </c>
      <c r="MEM28" s="160">
        <f t="shared" ref="MEM28" si="4462">MEK28*$C$28</f>
        <v>4.8814919154912301E+23</v>
      </c>
      <c r="MEO28" s="160">
        <f t="shared" ref="MEO28" si="4463">MEM28*$C$28</f>
        <v>4.9303068346461424E+23</v>
      </c>
      <c r="MEQ28" s="160">
        <f t="shared" ref="MEQ28" si="4464">MEO28*$C$28</f>
        <v>4.9796099029926038E+23</v>
      </c>
      <c r="MES28" s="160">
        <f t="shared" ref="MES28" si="4465">MEQ28*$C$28</f>
        <v>5.0294060020225299E+23</v>
      </c>
      <c r="MEU28" s="160">
        <f t="shared" ref="MEU28" si="4466">MES28*$C$28</f>
        <v>5.0797000620427555E+23</v>
      </c>
      <c r="MEW28" s="160">
        <f t="shared" ref="MEW28" si="4467">MEU28*$C$28</f>
        <v>5.130497062663183E+23</v>
      </c>
      <c r="MEY28" s="160">
        <f t="shared" ref="MEY28" si="4468">MEW28*$C$28</f>
        <v>5.1818020332898148E+23</v>
      </c>
      <c r="MFA28" s="160">
        <f t="shared" ref="MFA28" si="4469">MEY28*$C$28</f>
        <v>5.2336200536227129E+23</v>
      </c>
      <c r="MFC28" s="160">
        <f t="shared" ref="MFC28" si="4470">MFA28*$C$28</f>
        <v>5.2859562541589403E+23</v>
      </c>
      <c r="MFE28" s="160">
        <f t="shared" ref="MFE28" si="4471">MFC28*$C$28</f>
        <v>5.33881581670053E+23</v>
      </c>
      <c r="MFG28" s="160">
        <f t="shared" ref="MFG28" si="4472">MFE28*$C$28</f>
        <v>5.3922039748675353E+23</v>
      </c>
      <c r="MFI28" s="160">
        <f t="shared" ref="MFI28" si="4473">MFG28*$C$28</f>
        <v>5.4461260146162105E+23</v>
      </c>
      <c r="MFK28" s="160">
        <f t="shared" ref="MFK28" si="4474">MFI28*$C$28</f>
        <v>5.5005872747623725E+23</v>
      </c>
      <c r="MFM28" s="160">
        <f t="shared" ref="MFM28" si="4475">MFK28*$C$28</f>
        <v>5.555593147509996E+23</v>
      </c>
      <c r="MFO28" s="160">
        <f t="shared" ref="MFO28" si="4476">MFM28*$C$28</f>
        <v>5.611149078985096E+23</v>
      </c>
      <c r="MFQ28" s="160">
        <f t="shared" ref="MFQ28" si="4477">MFO28*$C$28</f>
        <v>5.6672605697749471E+23</v>
      </c>
      <c r="MFS28" s="160">
        <f t="shared" ref="MFS28" si="4478">MFQ28*$C$28</f>
        <v>5.7239331754726963E+23</v>
      </c>
      <c r="MFU28" s="160">
        <f t="shared" ref="MFU28" si="4479">MFS28*$C$28</f>
        <v>5.7811725072274234E+23</v>
      </c>
      <c r="MFW28" s="160">
        <f t="shared" ref="MFW28" si="4480">MFU28*$C$28</f>
        <v>5.8389842322996974E+23</v>
      </c>
      <c r="MFY28" s="160">
        <f t="shared" ref="MFY28" si="4481">MFW28*$C$28</f>
        <v>5.8973740746226947E+23</v>
      </c>
      <c r="MGA28" s="160">
        <f t="shared" ref="MGA28" si="4482">MFY28*$C$28</f>
        <v>5.9563478153689217E+23</v>
      </c>
      <c r="MGC28" s="160">
        <f t="shared" ref="MGC28" si="4483">MGA28*$C$28</f>
        <v>6.0159112935226111E+23</v>
      </c>
      <c r="MGE28" s="160">
        <f t="shared" ref="MGE28" si="4484">MGC28*$C$28</f>
        <v>6.0760704064578372E+23</v>
      </c>
      <c r="MGG28" s="160">
        <f t="shared" ref="MGG28" si="4485">MGE28*$C$28</f>
        <v>6.1368311105224158E+23</v>
      </c>
      <c r="MGI28" s="160">
        <f t="shared" ref="MGI28" si="4486">MGG28*$C$28</f>
        <v>6.1981994216276402E+23</v>
      </c>
      <c r="MGK28" s="160">
        <f t="shared" ref="MGK28" si="4487">MGI28*$C$28</f>
        <v>6.2601814158439161E+23</v>
      </c>
      <c r="MGM28" s="160">
        <f t="shared" ref="MGM28" si="4488">MGK28*$C$28</f>
        <v>6.3227832300023555E+23</v>
      </c>
      <c r="MGO28" s="160">
        <f t="shared" ref="MGO28" si="4489">MGM28*$C$28</f>
        <v>6.3860110623023792E+23</v>
      </c>
      <c r="MGQ28" s="160">
        <f t="shared" ref="MGQ28" si="4490">MGO28*$C$28</f>
        <v>6.4498711729254029E+23</v>
      </c>
      <c r="MGS28" s="160">
        <f t="shared" ref="MGS28" si="4491">MGQ28*$C$28</f>
        <v>6.5143698846546565E+23</v>
      </c>
      <c r="MGU28" s="160">
        <f t="shared" ref="MGU28" si="4492">MGS28*$C$28</f>
        <v>6.5795135835012032E+23</v>
      </c>
      <c r="MGW28" s="160">
        <f t="shared" ref="MGW28" si="4493">MGU28*$C$28</f>
        <v>6.6453087193362155E+23</v>
      </c>
      <c r="MGY28" s="160">
        <f t="shared" ref="MGY28" si="4494">MGW28*$C$28</f>
        <v>6.7117618065295774E+23</v>
      </c>
      <c r="MHA28" s="160">
        <f t="shared" ref="MHA28" si="4495">MGY28*$C$28</f>
        <v>6.7788794245948736E+23</v>
      </c>
      <c r="MHC28" s="160">
        <f t="shared" ref="MHC28" si="4496">MHA28*$C$28</f>
        <v>6.8466682188408227E+23</v>
      </c>
      <c r="MHE28" s="160">
        <f t="shared" ref="MHE28" si="4497">MHC28*$C$28</f>
        <v>6.9151349010292317E+23</v>
      </c>
      <c r="MHG28" s="160">
        <f t="shared" ref="MHG28" si="4498">MHE28*$C$28</f>
        <v>6.9842862500395238E+23</v>
      </c>
      <c r="MHI28" s="160">
        <f t="shared" ref="MHI28" si="4499">MHG28*$C$28</f>
        <v>7.0541291125399185E+23</v>
      </c>
      <c r="MHK28" s="160">
        <f t="shared" ref="MHK28" si="4500">MHI28*$C$28</f>
        <v>7.1246704036653171E+23</v>
      </c>
      <c r="MHM28" s="160">
        <f t="shared" ref="MHM28" si="4501">MHK28*$C$28</f>
        <v>7.1959171077019699E+23</v>
      </c>
      <c r="MHO28" s="160">
        <f t="shared" ref="MHO28" si="4502">MHM28*$C$28</f>
        <v>7.2678762787789903E+23</v>
      </c>
      <c r="MHQ28" s="160">
        <f t="shared" ref="MHQ28" si="4503">MHO28*$C$28</f>
        <v>7.3405550415667806E+23</v>
      </c>
      <c r="MHS28" s="160">
        <f t="shared" ref="MHS28" si="4504">MHQ28*$C$28</f>
        <v>7.4139605919824486E+23</v>
      </c>
      <c r="MHU28" s="160">
        <f t="shared" ref="MHU28" si="4505">MHS28*$C$28</f>
        <v>7.4881001979022726E+23</v>
      </c>
      <c r="MHW28" s="160">
        <f t="shared" ref="MHW28" si="4506">MHU28*$C$28</f>
        <v>7.5629811998812952E+23</v>
      </c>
      <c r="MHY28" s="160">
        <f t="shared" ref="MHY28" si="4507">MHW28*$C$28</f>
        <v>7.6386110118801078E+23</v>
      </c>
      <c r="MIA28" s="160">
        <f t="shared" ref="MIA28" si="4508">MHY28*$C$28</f>
        <v>7.7149971219989093E+23</v>
      </c>
      <c r="MIC28" s="160">
        <f t="shared" ref="MIC28" si="4509">MIA28*$C$28</f>
        <v>7.7921470932188981E+23</v>
      </c>
      <c r="MIE28" s="160">
        <f t="shared" ref="MIE28" si="4510">MIC28*$C$28</f>
        <v>7.8700685641510869E+23</v>
      </c>
      <c r="MIG28" s="160">
        <f t="shared" ref="MIG28" si="4511">MIE28*$C$28</f>
        <v>7.9487692497925974E+23</v>
      </c>
      <c r="MII28" s="160">
        <f t="shared" ref="MII28" si="4512">MIG28*$C$28</f>
        <v>8.0282569422905241E+23</v>
      </c>
      <c r="MIK28" s="160">
        <f t="shared" ref="MIK28" si="4513">MII28*$C$28</f>
        <v>8.1085395117134296E+23</v>
      </c>
      <c r="MIM28" s="160">
        <f t="shared" ref="MIM28" si="4514">MIK28*$C$28</f>
        <v>8.1896249068305635E+23</v>
      </c>
      <c r="MIO28" s="160">
        <f t="shared" ref="MIO28" si="4515">MIM28*$C$28</f>
        <v>8.2715211558988692E+23</v>
      </c>
      <c r="MIQ28" s="160">
        <f t="shared" ref="MIQ28" si="4516">MIO28*$C$28</f>
        <v>8.3542363674578578E+23</v>
      </c>
      <c r="MIS28" s="160">
        <f t="shared" ref="MIS28" si="4517">MIQ28*$C$28</f>
        <v>8.4377787311324365E+23</v>
      </c>
      <c r="MIU28" s="160">
        <f t="shared" ref="MIU28" si="4518">MIS28*$C$28</f>
        <v>8.522156518443761E+23</v>
      </c>
      <c r="MIW28" s="160">
        <f t="shared" ref="MIW28" si="4519">MIU28*$C$28</f>
        <v>8.6073780836281986E+23</v>
      </c>
      <c r="MIY28" s="160">
        <f t="shared" ref="MIY28" si="4520">MIW28*$C$28</f>
        <v>8.6934518644644811E+23</v>
      </c>
      <c r="MJA28" s="160">
        <f t="shared" ref="MJA28" si="4521">MIY28*$C$28</f>
        <v>8.7803863831091254E+23</v>
      </c>
      <c r="MJC28" s="160">
        <f t="shared" ref="MJC28" si="4522">MJA28*$C$28</f>
        <v>8.8681902469402166E+23</v>
      </c>
      <c r="MJE28" s="160">
        <f t="shared" ref="MJE28" si="4523">MJC28*$C$28</f>
        <v>8.9568721494096189E+23</v>
      </c>
      <c r="MJG28" s="160">
        <f t="shared" ref="MJG28" si="4524">MJE28*$C$28</f>
        <v>9.0464408709037155E+23</v>
      </c>
      <c r="MJI28" s="160">
        <f t="shared" ref="MJI28" si="4525">MJG28*$C$28</f>
        <v>9.1369052796127527E+23</v>
      </c>
      <c r="MJK28" s="160">
        <f t="shared" ref="MJK28" si="4526">MJI28*$C$28</f>
        <v>9.2282743324088807E+23</v>
      </c>
      <c r="MJM28" s="160">
        <f t="shared" ref="MJM28" si="4527">MJK28*$C$28</f>
        <v>9.3205570757329698E+23</v>
      </c>
      <c r="MJO28" s="160">
        <f t="shared" ref="MJO28" si="4528">MJM28*$C$28</f>
        <v>9.4137626464902993E+23</v>
      </c>
      <c r="MJQ28" s="160">
        <f t="shared" ref="MJQ28" si="4529">MJO28*$C$28</f>
        <v>9.5079002729552024E+23</v>
      </c>
      <c r="MJS28" s="160">
        <f t="shared" ref="MJS28" si="4530">MJQ28*$C$28</f>
        <v>9.6029792756847547E+23</v>
      </c>
      <c r="MJU28" s="160">
        <f t="shared" ref="MJU28" si="4531">MJS28*$C$28</f>
        <v>9.6990090684416029E+23</v>
      </c>
      <c r="MJW28" s="160">
        <f t="shared" ref="MJW28" si="4532">MJU28*$C$28</f>
        <v>9.7959991591260186E+23</v>
      </c>
      <c r="MJY28" s="160">
        <f t="shared" ref="MJY28" si="4533">MJW28*$C$28</f>
        <v>9.8939591507172795E+23</v>
      </c>
      <c r="MKA28" s="160">
        <f t="shared" ref="MKA28" si="4534">MJY28*$C$28</f>
        <v>9.9928987422244522E+23</v>
      </c>
      <c r="MKC28" s="160">
        <f t="shared" ref="MKC28" si="4535">MKA28*$C$28</f>
        <v>1.0092827729646697E+24</v>
      </c>
      <c r="MKE28" s="160">
        <f t="shared" ref="MKE28" si="4536">MKC28*$C$28</f>
        <v>1.0193756006943164E+24</v>
      </c>
      <c r="MKG28" s="160">
        <f t="shared" ref="MKG28" si="4537">MKE28*$C$28</f>
        <v>1.0295693567012597E+24</v>
      </c>
      <c r="MKI28" s="160">
        <f t="shared" ref="MKI28" si="4538">MKG28*$C$28</f>
        <v>1.0398650502682723E+24</v>
      </c>
      <c r="MKK28" s="160">
        <f t="shared" ref="MKK28" si="4539">MKI28*$C$28</f>
        <v>1.050263700770955E+24</v>
      </c>
      <c r="MKM28" s="160">
        <f t="shared" ref="MKM28" si="4540">MKK28*$C$28</f>
        <v>1.0607663377786646E+24</v>
      </c>
      <c r="MKO28" s="160">
        <f t="shared" ref="MKO28" si="4541">MKM28*$C$28</f>
        <v>1.0713740011564513E+24</v>
      </c>
      <c r="MKQ28" s="160">
        <f t="shared" ref="MKQ28" si="4542">MKO28*$C$28</f>
        <v>1.0820877411680158E+24</v>
      </c>
      <c r="MKS28" s="160">
        <f t="shared" ref="MKS28" si="4543">MKQ28*$C$28</f>
        <v>1.092908618579696E+24</v>
      </c>
      <c r="MKU28" s="160">
        <f t="shared" ref="MKU28" si="4544">MKS28*$C$28</f>
        <v>1.103837704765493E+24</v>
      </c>
      <c r="MKW28" s="160">
        <f t="shared" ref="MKW28" si="4545">MKU28*$C$28</f>
        <v>1.1148760818131479E+24</v>
      </c>
      <c r="MKY28" s="160">
        <f t="shared" ref="MKY28" si="4546">MKW28*$C$28</f>
        <v>1.1260248426312794E+24</v>
      </c>
      <c r="MLA28" s="160">
        <f t="shared" ref="MLA28" si="4547">MKY28*$C$28</f>
        <v>1.1372850910575921E+24</v>
      </c>
      <c r="MLC28" s="160">
        <f t="shared" ref="MLC28" si="4548">MLA28*$C$28</f>
        <v>1.1486579419681681E+24</v>
      </c>
      <c r="MLE28" s="160">
        <f t="shared" ref="MLE28" si="4549">MLC28*$C$28</f>
        <v>1.1601445213878498E+24</v>
      </c>
      <c r="MLG28" s="160">
        <f t="shared" ref="MLG28" si="4550">MLE28*$C$28</f>
        <v>1.1717459666017283E+24</v>
      </c>
      <c r="MLI28" s="160">
        <f t="shared" ref="MLI28" si="4551">MLG28*$C$28</f>
        <v>1.1834634262677456E+24</v>
      </c>
      <c r="MLK28" s="160">
        <f t="shared" ref="MLK28" si="4552">MLI28*$C$28</f>
        <v>1.1952980605304231E+24</v>
      </c>
      <c r="MLM28" s="160">
        <f t="shared" ref="MLM28" si="4553">MLK28*$C$28</f>
        <v>1.2072510411357274E+24</v>
      </c>
      <c r="MLO28" s="160">
        <f t="shared" ref="MLO28" si="4554">MLM28*$C$28</f>
        <v>1.2193235515470846E+24</v>
      </c>
      <c r="MLQ28" s="160">
        <f t="shared" ref="MLQ28" si="4555">MLO28*$C$28</f>
        <v>1.2315167870625555E+24</v>
      </c>
      <c r="MLS28" s="160">
        <f t="shared" ref="MLS28" si="4556">MLQ28*$C$28</f>
        <v>1.243831954933181E+24</v>
      </c>
      <c r="MLU28" s="160">
        <f t="shared" ref="MLU28" si="4557">MLS28*$C$28</f>
        <v>1.2562702744825129E+24</v>
      </c>
      <c r="MLW28" s="160">
        <f t="shared" ref="MLW28" si="4558">MLU28*$C$28</f>
        <v>1.268832977227338E+24</v>
      </c>
      <c r="MLY28" s="160">
        <f t="shared" ref="MLY28" si="4559">MLW28*$C$28</f>
        <v>1.2815213069996115E+24</v>
      </c>
      <c r="MMA28" s="160">
        <f t="shared" ref="MMA28" si="4560">MLY28*$C$28</f>
        <v>1.2943365200696077E+24</v>
      </c>
      <c r="MMC28" s="160">
        <f t="shared" ref="MMC28" si="4561">MMA28*$C$28</f>
        <v>1.3072798852703038E+24</v>
      </c>
      <c r="MME28" s="160">
        <f t="shared" ref="MME28" si="4562">MMC28*$C$28</f>
        <v>1.320352684123007E+24</v>
      </c>
      <c r="MMG28" s="160">
        <f t="shared" ref="MMG28" si="4563">MME28*$C$28</f>
        <v>1.3335562109642371E+24</v>
      </c>
      <c r="MMI28" s="160">
        <f t="shared" ref="MMI28" si="4564">MMG28*$C$28</f>
        <v>1.3468917730738794E+24</v>
      </c>
      <c r="MMK28" s="160">
        <f t="shared" ref="MMK28" si="4565">MMI28*$C$28</f>
        <v>1.3603606908046183E+24</v>
      </c>
      <c r="MMM28" s="160">
        <f t="shared" ref="MMM28" si="4566">MMK28*$C$28</f>
        <v>1.3739642977126645E+24</v>
      </c>
      <c r="MMO28" s="160">
        <f t="shared" ref="MMO28" si="4567">MMM28*$C$28</f>
        <v>1.3877039406897911E+24</v>
      </c>
      <c r="MMQ28" s="160">
        <f t="shared" ref="MMQ28" si="4568">MMO28*$C$28</f>
        <v>1.4015809800966891E+24</v>
      </c>
      <c r="MMS28" s="160">
        <f t="shared" ref="MMS28" si="4569">MMQ28*$C$28</f>
        <v>1.4155967898976559E+24</v>
      </c>
      <c r="MMU28" s="160">
        <f t="shared" ref="MMU28" si="4570">MMS28*$C$28</f>
        <v>1.4297527577966325E+24</v>
      </c>
      <c r="MMW28" s="160">
        <f t="shared" ref="MMW28" si="4571">MMU28*$C$28</f>
        <v>1.444050285374599E+24</v>
      </c>
      <c r="MMY28" s="160">
        <f t="shared" ref="MMY28" si="4572">MMW28*$C$28</f>
        <v>1.4584907882283451E+24</v>
      </c>
      <c r="MNA28" s="160">
        <f t="shared" ref="MNA28" si="4573">MMY28*$C$28</f>
        <v>1.4730756961106285E+24</v>
      </c>
      <c r="MNC28" s="160">
        <f t="shared" ref="MNC28" si="4574">MNA28*$C$28</f>
        <v>1.4878064530717349E+24</v>
      </c>
      <c r="MNE28" s="160">
        <f t="shared" ref="MNE28" si="4575">MNC28*$C$28</f>
        <v>1.5026845176024523E+24</v>
      </c>
      <c r="MNG28" s="160">
        <f t="shared" ref="MNG28" si="4576">MNE28*$C$28</f>
        <v>1.5177113627784768E+24</v>
      </c>
      <c r="MNI28" s="160">
        <f t="shared" ref="MNI28" si="4577">MNG28*$C$28</f>
        <v>1.5328884764062616E+24</v>
      </c>
      <c r="MNK28" s="160">
        <f t="shared" ref="MNK28" si="4578">MNI28*$C$28</f>
        <v>1.5482173611703242E+24</v>
      </c>
      <c r="MNM28" s="160">
        <f t="shared" ref="MNM28" si="4579">MNK28*$C$28</f>
        <v>1.5636995347820274E+24</v>
      </c>
      <c r="MNO28" s="160">
        <f t="shared" ref="MNO28" si="4580">MNM28*$C$28</f>
        <v>1.5793365301298477E+24</v>
      </c>
      <c r="MNQ28" s="160">
        <f t="shared" ref="MNQ28" si="4581">MNO28*$C$28</f>
        <v>1.5951298954311461E+24</v>
      </c>
      <c r="MNS28" s="160">
        <f t="shared" ref="MNS28" si="4582">MNQ28*$C$28</f>
        <v>1.6110811943854575E+24</v>
      </c>
      <c r="MNU28" s="160">
        <f t="shared" ref="MNU28" si="4583">MNS28*$C$28</f>
        <v>1.6271920063293121E+24</v>
      </c>
      <c r="MNW28" s="160">
        <f t="shared" ref="MNW28" si="4584">MNU28*$C$28</f>
        <v>1.6434639263926054E+24</v>
      </c>
      <c r="MNY28" s="160">
        <f t="shared" ref="MNY28" si="4585">MNW28*$C$28</f>
        <v>1.6598985656565314E+24</v>
      </c>
      <c r="MOA28" s="160">
        <f t="shared" ref="MOA28" si="4586">MNY28*$C$28</f>
        <v>1.6764975513130967E+24</v>
      </c>
      <c r="MOC28" s="160">
        <f t="shared" ref="MOC28" si="4587">MOA28*$C$28</f>
        <v>1.6932625268262276E+24</v>
      </c>
      <c r="MOE28" s="160">
        <f t="shared" ref="MOE28" si="4588">MOC28*$C$28</f>
        <v>1.71019515209449E+24</v>
      </c>
      <c r="MOG28" s="160">
        <f t="shared" ref="MOG28" si="4589">MOE28*$C$28</f>
        <v>1.7272971036154349E+24</v>
      </c>
      <c r="MOI28" s="160">
        <f t="shared" ref="MOI28" si="4590">MOG28*$C$28</f>
        <v>1.7445700746515891E+24</v>
      </c>
      <c r="MOK28" s="160">
        <f t="shared" ref="MOK28" si="4591">MOI28*$C$28</f>
        <v>1.7620157753981049E+24</v>
      </c>
      <c r="MOM28" s="160">
        <f t="shared" ref="MOM28" si="4592">MOK28*$C$28</f>
        <v>1.7796359331520859E+24</v>
      </c>
      <c r="MOO28" s="160">
        <f t="shared" ref="MOO28" si="4593">MOM28*$C$28</f>
        <v>1.7974322924836068E+24</v>
      </c>
      <c r="MOQ28" s="160">
        <f t="shared" ref="MOQ28" si="4594">MOO28*$C$28</f>
        <v>1.8154066154084428E+24</v>
      </c>
      <c r="MOS28" s="160">
        <f t="shared" ref="MOS28" si="4595">MOQ28*$C$28</f>
        <v>1.8335606815625273E+24</v>
      </c>
      <c r="MOU28" s="160">
        <f t="shared" ref="MOU28" si="4596">MOS28*$C$28</f>
        <v>1.8518962883781526E+24</v>
      </c>
      <c r="MOW28" s="160">
        <f t="shared" ref="MOW28" si="4597">MOU28*$C$28</f>
        <v>1.8704152512619342E+24</v>
      </c>
      <c r="MOY28" s="160">
        <f t="shared" ref="MOY28" si="4598">MOW28*$C$28</f>
        <v>1.8891194037745536E+24</v>
      </c>
      <c r="MPA28" s="160">
        <f t="shared" ref="MPA28" si="4599">MOY28*$C$28</f>
        <v>1.9080105978122992E+24</v>
      </c>
      <c r="MPC28" s="160">
        <f t="shared" ref="MPC28" si="4600">MPA28*$C$28</f>
        <v>1.9270907037904222E+24</v>
      </c>
      <c r="MPE28" s="160">
        <f t="shared" ref="MPE28" si="4601">MPC28*$C$28</f>
        <v>1.9463616108283264E+24</v>
      </c>
      <c r="MPG28" s="160">
        <f t="shared" ref="MPG28" si="4602">MPE28*$C$28</f>
        <v>1.9658252269366098E+24</v>
      </c>
      <c r="MPI28" s="160">
        <f t="shared" ref="MPI28" si="4603">MPG28*$C$28</f>
        <v>1.9854834792059758E+24</v>
      </c>
      <c r="MPK28" s="160">
        <f t="shared" ref="MPK28" si="4604">MPI28*$C$28</f>
        <v>2.0053383139980354E+24</v>
      </c>
      <c r="MPM28" s="160">
        <f t="shared" ref="MPM28" si="4605">MPK28*$C$28</f>
        <v>2.0253916971380159E+24</v>
      </c>
      <c r="MPO28" s="160">
        <f t="shared" ref="MPO28" si="4606">MPM28*$C$28</f>
        <v>2.0456456141093962E+24</v>
      </c>
      <c r="MPQ28" s="160">
        <f t="shared" ref="MPQ28" si="4607">MPO28*$C$28</f>
        <v>2.0661020702504902E+24</v>
      </c>
      <c r="MPS28" s="160">
        <f t="shared" ref="MPS28" si="4608">MPQ28*$C$28</f>
        <v>2.086763090952995E+24</v>
      </c>
      <c r="MPU28" s="160">
        <f t="shared" ref="MPU28" si="4609">MPS28*$C$28</f>
        <v>2.107630721862525E+24</v>
      </c>
      <c r="MPW28" s="160">
        <f t="shared" ref="MPW28" si="4610">MPU28*$C$28</f>
        <v>2.1287070290811504E+24</v>
      </c>
      <c r="MPY28" s="160">
        <f t="shared" ref="MPY28" si="4611">MPW28*$C$28</f>
        <v>2.1499940993719619E+24</v>
      </c>
      <c r="MQA28" s="160">
        <f t="shared" ref="MQA28" si="4612">MPY28*$C$28</f>
        <v>2.1714940403656814E+24</v>
      </c>
      <c r="MQC28" s="160">
        <f t="shared" ref="MQC28" si="4613">MQA28*$C$28</f>
        <v>2.1932089807693381E+24</v>
      </c>
      <c r="MQE28" s="160">
        <f t="shared" ref="MQE28" si="4614">MQC28*$C$28</f>
        <v>2.2151410705770316E+24</v>
      </c>
      <c r="MQG28" s="160">
        <f t="shared" ref="MQG28" si="4615">MQE28*$C$28</f>
        <v>2.2372924812828021E+24</v>
      </c>
      <c r="MQI28" s="160">
        <f t="shared" ref="MQI28" si="4616">MQG28*$C$28</f>
        <v>2.2596654060956301E+24</v>
      </c>
      <c r="MQK28" s="160">
        <f t="shared" ref="MQK28" si="4617">MQI28*$C$28</f>
        <v>2.2822620601565865E+24</v>
      </c>
      <c r="MQM28" s="160">
        <f t="shared" ref="MQM28" si="4618">MQK28*$C$28</f>
        <v>2.3050846807581523E+24</v>
      </c>
      <c r="MQO28" s="160">
        <f t="shared" ref="MQO28" si="4619">MQM28*$C$28</f>
        <v>2.3281355275657337E+24</v>
      </c>
      <c r="MQQ28" s="160">
        <f t="shared" ref="MQQ28" si="4620">MQO28*$C$28</f>
        <v>2.351416882841391E+24</v>
      </c>
      <c r="MQS28" s="160">
        <f t="shared" ref="MQS28" si="4621">MQQ28*$C$28</f>
        <v>2.3749310516698049E+24</v>
      </c>
      <c r="MQU28" s="160">
        <f t="shared" ref="MQU28" si="4622">MQS28*$C$28</f>
        <v>2.398680362186503E+24</v>
      </c>
      <c r="MQW28" s="160">
        <f t="shared" ref="MQW28" si="4623">MQU28*$C$28</f>
        <v>2.4226671658083678E+24</v>
      </c>
      <c r="MQY28" s="160">
        <f t="shared" ref="MQY28" si="4624">MQW28*$C$28</f>
        <v>2.4468938374664517E+24</v>
      </c>
      <c r="MRA28" s="160">
        <f t="shared" ref="MRA28" si="4625">MQY28*$C$28</f>
        <v>2.4713627758411161E+24</v>
      </c>
      <c r="MRC28" s="160">
        <f t="shared" ref="MRC28" si="4626">MRA28*$C$28</f>
        <v>2.4960764035995273E+24</v>
      </c>
      <c r="MRE28" s="160">
        <f t="shared" ref="MRE28" si="4627">MRC28*$C$28</f>
        <v>2.5210371676355225E+24</v>
      </c>
      <c r="MRG28" s="160">
        <f t="shared" ref="MRG28" si="4628">MRE28*$C$28</f>
        <v>2.5462475393118779E+24</v>
      </c>
      <c r="MRI28" s="160">
        <f t="shared" ref="MRI28" si="4629">MRG28*$C$28</f>
        <v>2.5717100147049965E+24</v>
      </c>
      <c r="MRK28" s="160">
        <f t="shared" ref="MRK28" si="4630">MRI28*$C$28</f>
        <v>2.5974271148520463E+24</v>
      </c>
      <c r="MRM28" s="160">
        <f t="shared" ref="MRM28" si="4631">MRK28*$C$28</f>
        <v>2.6234013860005667E+24</v>
      </c>
      <c r="MRO28" s="160">
        <f t="shared" ref="MRO28" si="4632">MRM28*$C$28</f>
        <v>2.6496353998605722E+24</v>
      </c>
      <c r="MRQ28" s="160">
        <f t="shared" ref="MRQ28" si="4633">MRO28*$C$28</f>
        <v>2.6761317538591778E+24</v>
      </c>
      <c r="MRS28" s="160">
        <f t="shared" ref="MRS28" si="4634">MRQ28*$C$28</f>
        <v>2.7028930713977694E+24</v>
      </c>
      <c r="MRU28" s="160">
        <f t="shared" ref="MRU28" si="4635">MRS28*$C$28</f>
        <v>2.729922002111747E+24</v>
      </c>
      <c r="MRW28" s="160">
        <f t="shared" ref="MRW28" si="4636">MRU28*$C$28</f>
        <v>2.7572212221328644E+24</v>
      </c>
      <c r="MRY28" s="160">
        <f t="shared" ref="MRY28" si="4637">MRW28*$C$28</f>
        <v>2.7847934343541929E+24</v>
      </c>
      <c r="MSA28" s="160">
        <f t="shared" ref="MSA28" si="4638">MRY28*$C$28</f>
        <v>2.8126413686977351E+24</v>
      </c>
      <c r="MSC28" s="160">
        <f t="shared" ref="MSC28" si="4639">MSA28*$C$28</f>
        <v>2.8407677823847127E+24</v>
      </c>
      <c r="MSE28" s="160">
        <f t="shared" ref="MSE28" si="4640">MSC28*$C$28</f>
        <v>2.86917546020856E+24</v>
      </c>
      <c r="MSG28" s="160">
        <f t="shared" ref="MSG28" si="4641">MSE28*$C$28</f>
        <v>2.8978672148106457E+24</v>
      </c>
      <c r="MSI28" s="160">
        <f t="shared" ref="MSI28" si="4642">MSG28*$C$28</f>
        <v>2.9268458869587523E+24</v>
      </c>
      <c r="MSK28" s="160">
        <f t="shared" ref="MSK28" si="4643">MSI28*$C$28</f>
        <v>2.9561143458283398E+24</v>
      </c>
      <c r="MSM28" s="160">
        <f t="shared" ref="MSM28" si="4644">MSK28*$C$28</f>
        <v>2.9856754892866232E+24</v>
      </c>
      <c r="MSO28" s="160">
        <f t="shared" ref="MSO28" si="4645">MSM28*$C$28</f>
        <v>3.0155322441794895E+24</v>
      </c>
      <c r="MSQ28" s="160">
        <f t="shared" ref="MSQ28" si="4646">MSO28*$C$28</f>
        <v>3.0456875666212846E+24</v>
      </c>
      <c r="MSS28" s="160">
        <f t="shared" ref="MSS28" si="4647">MSQ28*$C$28</f>
        <v>3.0761444422874976E+24</v>
      </c>
      <c r="MSU28" s="160">
        <f t="shared" ref="MSU28" si="4648">MSS28*$C$28</f>
        <v>3.1069058867103727E+24</v>
      </c>
      <c r="MSW28" s="160">
        <f t="shared" ref="MSW28" si="4649">MSU28*$C$28</f>
        <v>3.1379749455774765E+24</v>
      </c>
      <c r="MSY28" s="160">
        <f t="shared" ref="MSY28" si="4650">MSW28*$C$28</f>
        <v>3.1693546950332515E+24</v>
      </c>
      <c r="MTA28" s="160">
        <f t="shared" ref="MTA28" si="4651">MSY28*$C$28</f>
        <v>3.2010482419835843E+24</v>
      </c>
      <c r="MTC28" s="160">
        <f t="shared" ref="MTC28" si="4652">MTA28*$C$28</f>
        <v>3.2330587244034201E+24</v>
      </c>
      <c r="MTE28" s="160">
        <f t="shared" ref="MTE28" si="4653">MTC28*$C$28</f>
        <v>3.2653893116474545E+24</v>
      </c>
      <c r="MTG28" s="160">
        <f t="shared" ref="MTG28" si="4654">MTE28*$C$28</f>
        <v>3.2980432047639294E+24</v>
      </c>
      <c r="MTI28" s="160">
        <f t="shared" ref="MTI28" si="4655">MTG28*$C$28</f>
        <v>3.3310236368115689E+24</v>
      </c>
      <c r="MTK28" s="160">
        <f t="shared" ref="MTK28" si="4656">MTI28*$C$28</f>
        <v>3.3643338731796844E+24</v>
      </c>
      <c r="MTM28" s="160">
        <f t="shared" ref="MTM28" si="4657">MTK28*$C$28</f>
        <v>3.3979772119114811E+24</v>
      </c>
      <c r="MTO28" s="160">
        <f t="shared" ref="MTO28" si="4658">MTM28*$C$28</f>
        <v>3.4319569840305962E+24</v>
      </c>
      <c r="MTQ28" s="160">
        <f t="shared" ref="MTQ28" si="4659">MTO28*$C$28</f>
        <v>3.4662765538709021E+24</v>
      </c>
      <c r="MTS28" s="160">
        <f t="shared" ref="MTS28" si="4660">MTQ28*$C$28</f>
        <v>3.500939319409611E+24</v>
      </c>
      <c r="MTU28" s="160">
        <f t="shared" ref="MTU28" si="4661">MTS28*$C$28</f>
        <v>3.5359487126037069E+24</v>
      </c>
      <c r="MTW28" s="160">
        <f t="shared" ref="MTW28" si="4662">MTU28*$C$28</f>
        <v>3.5713081997297437E+24</v>
      </c>
      <c r="MTY28" s="160">
        <f t="shared" ref="MTY28" si="4663">MTW28*$C$28</f>
        <v>3.6070212817270414E+24</v>
      </c>
      <c r="MUA28" s="160">
        <f t="shared" ref="MUA28" si="4664">MTY28*$C$28</f>
        <v>3.6430914945443118E+24</v>
      </c>
      <c r="MUC28" s="160">
        <f t="shared" ref="MUC28" si="4665">MUA28*$C$28</f>
        <v>3.6795224094897548E+24</v>
      </c>
      <c r="MUE28" s="160">
        <f t="shared" ref="MUE28" si="4666">MUC28*$C$28</f>
        <v>3.7163176335846524E+24</v>
      </c>
      <c r="MUG28" s="160">
        <f t="shared" ref="MUG28" si="4667">MUE28*$C$28</f>
        <v>3.7534808099204988E+24</v>
      </c>
      <c r="MUI28" s="160">
        <f t="shared" ref="MUI28" si="4668">MUG28*$C$28</f>
        <v>3.7910156180197038E+24</v>
      </c>
      <c r="MUK28" s="160">
        <f t="shared" ref="MUK28" si="4669">MUI28*$C$28</f>
        <v>3.8289257741999008E+24</v>
      </c>
      <c r="MUM28" s="160">
        <f t="shared" ref="MUM28" si="4670">MUK28*$C$28</f>
        <v>3.8672150319418997E+24</v>
      </c>
      <c r="MUO28" s="160">
        <f t="shared" ref="MUO28" si="4671">MUM28*$C$28</f>
        <v>3.9058871822613186E+24</v>
      </c>
      <c r="MUQ28" s="160">
        <f t="shared" ref="MUQ28" si="4672">MUO28*$C$28</f>
        <v>3.9449460540839317E+24</v>
      </c>
      <c r="MUS28" s="160">
        <f t="shared" ref="MUS28" si="4673">MUQ28*$C$28</f>
        <v>3.9843955146247708E+24</v>
      </c>
      <c r="MUU28" s="160">
        <f t="shared" ref="MUU28" si="4674">MUS28*$C$28</f>
        <v>4.0242394697710184E+24</v>
      </c>
      <c r="MUW28" s="160">
        <f t="shared" ref="MUW28" si="4675">MUU28*$C$28</f>
        <v>4.0644818644687289E+24</v>
      </c>
      <c r="MUY28" s="160">
        <f t="shared" ref="MUY28" si="4676">MUW28*$C$28</f>
        <v>4.1051266831134163E+24</v>
      </c>
      <c r="MVA28" s="160">
        <f t="shared" ref="MVA28" si="4677">MUY28*$C$28</f>
        <v>4.1461779499445506E+24</v>
      </c>
      <c r="MVC28" s="160">
        <f t="shared" ref="MVC28" si="4678">MVA28*$C$28</f>
        <v>4.1876397294439963E+24</v>
      </c>
      <c r="MVE28" s="160">
        <f t="shared" ref="MVE28" si="4679">MVC28*$C$28</f>
        <v>4.2295161267384363E+24</v>
      </c>
      <c r="MVG28" s="160">
        <f t="shared" ref="MVG28" si="4680">MVE28*$C$28</f>
        <v>4.2718112880058209E+24</v>
      </c>
      <c r="MVI28" s="160">
        <f t="shared" ref="MVI28" si="4681">MVG28*$C$28</f>
        <v>4.3145294008858791E+24</v>
      </c>
      <c r="MVK28" s="160">
        <f t="shared" ref="MVK28" si="4682">MVI28*$C$28</f>
        <v>4.3576746948947378E+24</v>
      </c>
      <c r="MVM28" s="160">
        <f t="shared" ref="MVM28" si="4683">MVK28*$C$28</f>
        <v>4.4012514418436853E+24</v>
      </c>
      <c r="MVO28" s="160">
        <f t="shared" ref="MVO28" si="4684">MVM28*$C$28</f>
        <v>4.4452639562621222E+24</v>
      </c>
      <c r="MVQ28" s="160">
        <f t="shared" ref="MVQ28" si="4685">MVO28*$C$28</f>
        <v>4.4897165958247436E+24</v>
      </c>
      <c r="MVS28" s="160">
        <f t="shared" ref="MVS28" si="4686">MVQ28*$C$28</f>
        <v>4.5346137617829912E+24</v>
      </c>
      <c r="MVU28" s="160">
        <f t="shared" ref="MVU28" si="4687">MVS28*$C$28</f>
        <v>4.5799598994008209E+24</v>
      </c>
      <c r="MVW28" s="160">
        <f t="shared" ref="MVW28" si="4688">MVU28*$C$28</f>
        <v>4.6257594983948289E+24</v>
      </c>
      <c r="MVY28" s="160">
        <f t="shared" ref="MVY28" si="4689">MVW28*$C$28</f>
        <v>4.6720170933787774E+24</v>
      </c>
      <c r="MWA28" s="160">
        <f t="shared" ref="MWA28" si="4690">MVY28*$C$28</f>
        <v>4.7187372643125652E+24</v>
      </c>
      <c r="MWC28" s="160">
        <f t="shared" ref="MWC28" si="4691">MWA28*$C$28</f>
        <v>4.7659246369556911E+24</v>
      </c>
      <c r="MWE28" s="160">
        <f t="shared" ref="MWE28" si="4692">MWC28*$C$28</f>
        <v>4.8135838833252479E+24</v>
      </c>
      <c r="MWG28" s="160">
        <f t="shared" ref="MWG28" si="4693">MWE28*$C$28</f>
        <v>4.8617197221584999E+24</v>
      </c>
      <c r="MWI28" s="160">
        <f t="shared" ref="MWI28" si="4694">MWG28*$C$28</f>
        <v>4.9103369193800849E+24</v>
      </c>
      <c r="MWK28" s="160">
        <f t="shared" ref="MWK28" si="4695">MWI28*$C$28</f>
        <v>4.9594402885738857E+24</v>
      </c>
      <c r="MWM28" s="160">
        <f t="shared" ref="MWM28" si="4696">MWK28*$C$28</f>
        <v>5.009034691459625E+24</v>
      </c>
      <c r="MWO28" s="160">
        <f t="shared" ref="MWO28" si="4697">MWM28*$C$28</f>
        <v>5.059125038374221E+24</v>
      </c>
      <c r="MWQ28" s="160">
        <f t="shared" ref="MWQ28" si="4698">MWO28*$C$28</f>
        <v>5.109716288757963E+24</v>
      </c>
      <c r="MWS28" s="160">
        <f t="shared" ref="MWS28" si="4699">MWQ28*$C$28</f>
        <v>5.1608134516455425E+24</v>
      </c>
      <c r="MWU28" s="160">
        <f t="shared" ref="MWU28" si="4700">MWS28*$C$28</f>
        <v>5.2124215861619977E+24</v>
      </c>
      <c r="MWW28" s="160">
        <f t="shared" ref="MWW28" si="4701">MWU28*$C$28</f>
        <v>5.2645458020236178E+24</v>
      </c>
      <c r="MWY28" s="160">
        <f t="shared" ref="MWY28" si="4702">MWW28*$C$28</f>
        <v>5.3171912600438535E+24</v>
      </c>
      <c r="MXA28" s="160">
        <f t="shared" ref="MXA28" si="4703">MWY28*$C$28</f>
        <v>5.3703631726442925E+24</v>
      </c>
      <c r="MXC28" s="160">
        <f t="shared" ref="MXC28" si="4704">MXA28*$C$28</f>
        <v>5.424066804370735E+24</v>
      </c>
      <c r="MXE28" s="160">
        <f t="shared" ref="MXE28" si="4705">MXC28*$C$28</f>
        <v>5.4783074724144424E+24</v>
      </c>
      <c r="MXG28" s="160">
        <f t="shared" ref="MXG28" si="4706">MXE28*$C$28</f>
        <v>5.5330905471385864E+24</v>
      </c>
      <c r="MXI28" s="160">
        <f t="shared" ref="MXI28" si="4707">MXG28*$C$28</f>
        <v>5.5884214526099726E+24</v>
      </c>
      <c r="MXK28" s="160">
        <f t="shared" ref="MXK28" si="4708">MXI28*$C$28</f>
        <v>5.6443056671360724E+24</v>
      </c>
      <c r="MXM28" s="160">
        <f t="shared" ref="MXM28" si="4709">MXK28*$C$28</f>
        <v>5.7007487238074331E+24</v>
      </c>
      <c r="MXO28" s="160">
        <f t="shared" ref="MXO28" si="4710">MXM28*$C$28</f>
        <v>5.7577562110455069E+24</v>
      </c>
      <c r="MXQ28" s="160">
        <f t="shared" ref="MXQ28" si="4711">MXO28*$C$28</f>
        <v>5.8153337731559624E+24</v>
      </c>
      <c r="MXS28" s="160">
        <f t="shared" ref="MXS28" si="4712">MXQ28*$C$28</f>
        <v>5.8734871108875225E+24</v>
      </c>
      <c r="MXU28" s="160">
        <f t="shared" ref="MXU28" si="4713">MXS28*$C$28</f>
        <v>5.9322219819963978E+24</v>
      </c>
      <c r="MXW28" s="160">
        <f t="shared" ref="MXW28" si="4714">MXU28*$C$28</f>
        <v>5.9915442018163615E+24</v>
      </c>
      <c r="MXY28" s="160">
        <f t="shared" ref="MXY28" si="4715">MXW28*$C$28</f>
        <v>6.0514596438345256E+24</v>
      </c>
      <c r="MYA28" s="160">
        <f t="shared" ref="MYA28" si="4716">MXY28*$C$28</f>
        <v>6.1119742402728704E+24</v>
      </c>
      <c r="MYC28" s="160">
        <f t="shared" ref="MYC28" si="4717">MYA28*$C$28</f>
        <v>6.173093982675599E+24</v>
      </c>
      <c r="MYE28" s="160">
        <f t="shared" ref="MYE28" si="4718">MYC28*$C$28</f>
        <v>6.2348249225023555E+24</v>
      </c>
      <c r="MYG28" s="160">
        <f t="shared" ref="MYG28" si="4719">MYE28*$C$28</f>
        <v>6.2971731717273796E+24</v>
      </c>
      <c r="MYI28" s="160">
        <f t="shared" ref="MYI28" si="4720">MYG28*$C$28</f>
        <v>6.3601449034446538E+24</v>
      </c>
      <c r="MYK28" s="160">
        <f t="shared" ref="MYK28" si="4721">MYI28*$C$28</f>
        <v>6.4237463524791005E+24</v>
      </c>
      <c r="MYM28" s="160">
        <f t="shared" ref="MYM28" si="4722">MYK28*$C$28</f>
        <v>6.4879838160038912E+24</v>
      </c>
      <c r="MYO28" s="160">
        <f t="shared" ref="MYO28" si="4723">MYM28*$C$28</f>
        <v>6.5528636541639301E+24</v>
      </c>
      <c r="MYQ28" s="160">
        <f t="shared" ref="MYQ28" si="4724">MYO28*$C$28</f>
        <v>6.6183922907055689E+24</v>
      </c>
      <c r="MYS28" s="160">
        <f t="shared" ref="MYS28" si="4725">MYQ28*$C$28</f>
        <v>6.6845762136126252E+24</v>
      </c>
      <c r="MYU28" s="160">
        <f t="shared" ref="MYU28" si="4726">MYS28*$C$28</f>
        <v>6.7514219757487515E+24</v>
      </c>
      <c r="MYW28" s="160">
        <f t="shared" ref="MYW28" si="4727">MYU28*$C$28</f>
        <v>6.8189361955062396E+24</v>
      </c>
      <c r="MYY28" s="160">
        <f t="shared" ref="MYY28" si="4728">MYW28*$C$28</f>
        <v>6.8871255574613025E+24</v>
      </c>
      <c r="MZA28" s="160">
        <f t="shared" ref="MZA28" si="4729">MYY28*$C$28</f>
        <v>6.9559968130359153E+24</v>
      </c>
      <c r="MZC28" s="160">
        <f t="shared" ref="MZC28" si="4730">MZA28*$C$28</f>
        <v>7.0255567811662748E+24</v>
      </c>
      <c r="MZE28" s="160">
        <f t="shared" ref="MZE28" si="4731">MZC28*$C$28</f>
        <v>7.0958123489779374E+24</v>
      </c>
      <c r="MZG28" s="160">
        <f t="shared" ref="MZG28" si="4732">MZE28*$C$28</f>
        <v>7.1667704724677164E+24</v>
      </c>
      <c r="MZI28" s="160">
        <f t="shared" ref="MZI28" si="4733">MZG28*$C$28</f>
        <v>7.2384381771923933E+24</v>
      </c>
      <c r="MZK28" s="160">
        <f t="shared" ref="MZK28" si="4734">MZI28*$C$28</f>
        <v>7.3108225589643173E+24</v>
      </c>
      <c r="MZM28" s="160">
        <f t="shared" ref="MZM28" si="4735">MZK28*$C$28</f>
        <v>7.3839307845539608E+24</v>
      </c>
      <c r="MZO28" s="160">
        <f t="shared" ref="MZO28" si="4736">MZM28*$C$28</f>
        <v>7.4577700923995006E+24</v>
      </c>
      <c r="MZQ28" s="160">
        <f t="shared" ref="MZQ28" si="4737">MZO28*$C$28</f>
        <v>7.5323477933234954E+24</v>
      </c>
      <c r="MZS28" s="160">
        <f t="shared" ref="MZS28" si="4738">MZQ28*$C$28</f>
        <v>7.6076712712567308E+24</v>
      </c>
      <c r="MZU28" s="160">
        <f t="shared" ref="MZU28" si="4739">MZS28*$C$28</f>
        <v>7.6837479839692978E+24</v>
      </c>
      <c r="MZW28" s="160">
        <f t="shared" ref="MZW28" si="4740">MZU28*$C$28</f>
        <v>7.760585463808991E+24</v>
      </c>
      <c r="MZY28" s="160">
        <f t="shared" ref="MZY28" si="4741">MZW28*$C$28</f>
        <v>7.8381913184470815E+24</v>
      </c>
      <c r="NAA28" s="160">
        <f t="shared" ref="NAA28" si="4742">MZY28*$C$28</f>
        <v>7.916573231631552E+24</v>
      </c>
      <c r="NAC28" s="160">
        <f t="shared" ref="NAC28" si="4743">NAA28*$C$28</f>
        <v>7.9957389639478678E+24</v>
      </c>
      <c r="NAE28" s="160">
        <f t="shared" ref="NAE28" si="4744">NAC28*$C$28</f>
        <v>8.0756963535873462E+24</v>
      </c>
      <c r="NAG28" s="160">
        <f t="shared" ref="NAG28" si="4745">NAE28*$C$28</f>
        <v>8.1564533171232197E+24</v>
      </c>
      <c r="NAI28" s="160">
        <f t="shared" ref="NAI28" si="4746">NAG28*$C$28</f>
        <v>8.2380178502944523E+24</v>
      </c>
      <c r="NAK28" s="160">
        <f t="shared" ref="NAK28" si="4747">NAI28*$C$28</f>
        <v>8.3203980287973969E+24</v>
      </c>
      <c r="NAM28" s="160">
        <f t="shared" ref="NAM28" si="4748">NAK28*$C$28</f>
        <v>8.4036020090853714E+24</v>
      </c>
      <c r="NAO28" s="160">
        <f t="shared" ref="NAO28" si="4749">NAM28*$C$28</f>
        <v>8.4876380291762252E+24</v>
      </c>
      <c r="NAQ28" s="160">
        <f t="shared" ref="NAQ28" si="4750">NAO28*$C$28</f>
        <v>8.572514409467988E+24</v>
      </c>
      <c r="NAS28" s="160">
        <f t="shared" ref="NAS28" si="4751">NAQ28*$C$28</f>
        <v>8.6582395535626677E+24</v>
      </c>
      <c r="NAU28" s="160">
        <f t="shared" ref="NAU28" si="4752">NAS28*$C$28</f>
        <v>8.7448219490982949E+24</v>
      </c>
      <c r="NAW28" s="160">
        <f t="shared" ref="NAW28" si="4753">NAU28*$C$28</f>
        <v>8.8322701685892781E+24</v>
      </c>
      <c r="NAY28" s="160">
        <f t="shared" ref="NAY28" si="4754">NAW28*$C$28</f>
        <v>8.9205928702751714E+24</v>
      </c>
      <c r="NBA28" s="160">
        <f t="shared" ref="NBA28" si="4755">NAY28*$C$28</f>
        <v>9.0097987989779236E+24</v>
      </c>
      <c r="NBC28" s="160">
        <f t="shared" ref="NBC28" si="4756">NBA28*$C$28</f>
        <v>9.0998967869677032E+24</v>
      </c>
      <c r="NBE28" s="160">
        <f t="shared" ref="NBE28" si="4757">NBC28*$C$28</f>
        <v>9.1908957548373805E+24</v>
      </c>
      <c r="NBG28" s="160">
        <f t="shared" ref="NBG28" si="4758">NBE28*$C$28</f>
        <v>9.282804712385754E+24</v>
      </c>
      <c r="NBI28" s="160">
        <f t="shared" ref="NBI28" si="4759">NBG28*$C$28</f>
        <v>9.3756327595096116E+24</v>
      </c>
      <c r="NBK28" s="160">
        <f t="shared" ref="NBK28" si="4760">NBI28*$C$28</f>
        <v>9.4693890871047076E+24</v>
      </c>
      <c r="NBM28" s="160">
        <f t="shared" ref="NBM28" si="4761">NBK28*$C$28</f>
        <v>9.5640829779757549E+24</v>
      </c>
      <c r="NBO28" s="160">
        <f t="shared" ref="NBO28" si="4762">NBM28*$C$28</f>
        <v>9.659723807755513E+24</v>
      </c>
      <c r="NBQ28" s="160">
        <f t="shared" ref="NBQ28" si="4763">NBO28*$C$28</f>
        <v>9.7563210458330692E+24</v>
      </c>
      <c r="NBS28" s="160">
        <f t="shared" ref="NBS28" si="4764">NBQ28*$C$28</f>
        <v>9.8538842562913996E+24</v>
      </c>
      <c r="NBU28" s="160">
        <f t="shared" ref="NBU28" si="4765">NBS28*$C$28</f>
        <v>9.9524230988543132E+24</v>
      </c>
      <c r="NBW28" s="160">
        <f t="shared" ref="NBW28" si="4766">NBU28*$C$28</f>
        <v>1.0051947329842857E+25</v>
      </c>
      <c r="NBY28" s="160">
        <f t="shared" ref="NBY28" si="4767">NBW28*$C$28</f>
        <v>1.0152466803141285E+25</v>
      </c>
      <c r="NCA28" s="160">
        <f t="shared" ref="NCA28" si="4768">NBY28*$C$28</f>
        <v>1.0253991471172699E+25</v>
      </c>
      <c r="NCC28" s="160">
        <f t="shared" ref="NCC28" si="4769">NCA28*$C$28</f>
        <v>1.0356531385884427E+25</v>
      </c>
      <c r="NCE28" s="160">
        <f t="shared" ref="NCE28" si="4770">NCC28*$C$28</f>
        <v>1.0460096699743272E+25</v>
      </c>
      <c r="NCG28" s="160">
        <f t="shared" ref="NCG28" si="4771">NCE28*$C$28</f>
        <v>1.0564697666740705E+25</v>
      </c>
      <c r="NCI28" s="160">
        <f t="shared" ref="NCI28" si="4772">NCG28*$C$28</f>
        <v>1.0670344643408113E+25</v>
      </c>
      <c r="NCK28" s="160">
        <f t="shared" ref="NCK28" si="4773">NCI28*$C$28</f>
        <v>1.0777048089842195E+25</v>
      </c>
      <c r="NCM28" s="160">
        <f t="shared" ref="NCM28" si="4774">NCK28*$C$28</f>
        <v>1.0884818570740616E+25</v>
      </c>
      <c r="NCO28" s="160">
        <f t="shared" ref="NCO28" si="4775">NCM28*$C$28</f>
        <v>1.0993666756448023E+25</v>
      </c>
      <c r="NCQ28" s="160">
        <f t="shared" ref="NCQ28" si="4776">NCO28*$C$28</f>
        <v>1.1103603424012504E+25</v>
      </c>
      <c r="NCS28" s="160">
        <f t="shared" ref="NCS28" si="4777">NCQ28*$C$28</f>
        <v>1.1214639458252629E+25</v>
      </c>
      <c r="NCU28" s="160">
        <f t="shared" ref="NCU28" si="4778">NCS28*$C$28</f>
        <v>1.1326785852835156E+25</v>
      </c>
      <c r="NCW28" s="160">
        <f t="shared" ref="NCW28" si="4779">NCU28*$C$28</f>
        <v>1.1440053711363507E+25</v>
      </c>
      <c r="NCY28" s="160">
        <f t="shared" ref="NCY28" si="4780">NCW28*$C$28</f>
        <v>1.1554454248477142E+25</v>
      </c>
      <c r="NDA28" s="160">
        <f t="shared" ref="NDA28" si="4781">NCY28*$C$28</f>
        <v>1.1669998790961913E+25</v>
      </c>
      <c r="NDC28" s="160">
        <f t="shared" ref="NDC28" si="4782">NDA28*$C$28</f>
        <v>1.1786698778871532E+25</v>
      </c>
      <c r="NDE28" s="160">
        <f t="shared" ref="NDE28" si="4783">NDC28*$C$28</f>
        <v>1.1904565766660248E+25</v>
      </c>
      <c r="NDG28" s="160">
        <f t="shared" ref="NDG28" si="4784">NDE28*$C$28</f>
        <v>1.2023611424326851E+25</v>
      </c>
      <c r="NDI28" s="160">
        <f t="shared" ref="NDI28" si="4785">NDG28*$C$28</f>
        <v>1.214384753857012E+25</v>
      </c>
      <c r="NDK28" s="160">
        <f t="shared" ref="NDK28" si="4786">NDI28*$C$28</f>
        <v>1.2265286013955822E+25</v>
      </c>
      <c r="NDM28" s="160">
        <f t="shared" ref="NDM28" si="4787">NDK28*$C$28</f>
        <v>1.2387938874095381E+25</v>
      </c>
      <c r="NDO28" s="160">
        <f t="shared" ref="NDO28" si="4788">NDM28*$C$28</f>
        <v>1.2511818262836334E+25</v>
      </c>
      <c r="NDQ28" s="160">
        <f t="shared" ref="NDQ28" si="4789">NDO28*$C$28</f>
        <v>1.2636936445464698E+25</v>
      </c>
      <c r="NDS28" s="160">
        <f t="shared" ref="NDS28" si="4790">NDQ28*$C$28</f>
        <v>1.2763305809919345E+25</v>
      </c>
      <c r="NDU28" s="160">
        <f t="shared" ref="NDU28" si="4791">NDS28*$C$28</f>
        <v>1.2890938868018539E+25</v>
      </c>
      <c r="NDW28" s="160">
        <f t="shared" ref="NDW28" si="4792">NDU28*$C$28</f>
        <v>1.3019848256698725E+25</v>
      </c>
      <c r="NDY28" s="160">
        <f t="shared" ref="NDY28" si="4793">NDW28*$C$28</f>
        <v>1.3150046739265713E+25</v>
      </c>
      <c r="NEA28" s="160">
        <f t="shared" ref="NEA28" si="4794">NDY28*$C$28</f>
        <v>1.328154720665837E+25</v>
      </c>
      <c r="NEC28" s="160">
        <f t="shared" ref="NEC28" si="4795">NEA28*$C$28</f>
        <v>1.3414362678724955E+25</v>
      </c>
      <c r="NEE28" s="160">
        <f t="shared" ref="NEE28" si="4796">NEC28*$C$28</f>
        <v>1.3548506305512205E+25</v>
      </c>
      <c r="NEG28" s="160">
        <f t="shared" ref="NEG28" si="4797">NEE28*$C$28</f>
        <v>1.3683991368567327E+25</v>
      </c>
      <c r="NEI28" s="160">
        <f t="shared" ref="NEI28" si="4798">NEG28*$C$28</f>
        <v>1.3820831282253001E+25</v>
      </c>
      <c r="NEK28" s="160">
        <f t="shared" ref="NEK28" si="4799">NEI28*$C$28</f>
        <v>1.3959039595075531E+25</v>
      </c>
      <c r="NEM28" s="160">
        <f t="shared" ref="NEM28" si="4800">NEK28*$C$28</f>
        <v>1.4098629991026287E+25</v>
      </c>
      <c r="NEO28" s="160">
        <f t="shared" ref="NEO28" si="4801">NEM28*$C$28</f>
        <v>1.4239616290936549E+25</v>
      </c>
      <c r="NEQ28" s="160">
        <f t="shared" ref="NEQ28" si="4802">NEO28*$C$28</f>
        <v>1.4382012453845916E+25</v>
      </c>
      <c r="NES28" s="160">
        <f t="shared" ref="NES28" si="4803">NEQ28*$C$28</f>
        <v>1.4525832578384374E+25</v>
      </c>
      <c r="NEU28" s="160">
        <f t="shared" ref="NEU28" si="4804">NES28*$C$28</f>
        <v>1.4671090904168219E+25</v>
      </c>
      <c r="NEW28" s="160">
        <f t="shared" ref="NEW28" si="4805">NEU28*$C$28</f>
        <v>1.48178018132099E+25</v>
      </c>
      <c r="NEY28" s="160">
        <f t="shared" ref="NEY28" si="4806">NEW28*$C$28</f>
        <v>1.4965979831342E+25</v>
      </c>
      <c r="NFA28" s="160">
        <f t="shared" ref="NFA28" si="4807">NEY28*$C$28</f>
        <v>1.511563962965542E+25</v>
      </c>
      <c r="NFC28" s="160">
        <f t="shared" ref="NFC28" si="4808">NFA28*$C$28</f>
        <v>1.5266796025951974E+25</v>
      </c>
      <c r="NFE28" s="160">
        <f t="shared" ref="NFE28" si="4809">NFC28*$C$28</f>
        <v>1.5419463986211494E+25</v>
      </c>
      <c r="NFG28" s="160">
        <f t="shared" ref="NFG28" si="4810">NFE28*$C$28</f>
        <v>1.557365862607361E+25</v>
      </c>
      <c r="NFI28" s="160">
        <f t="shared" ref="NFI28" si="4811">NFG28*$C$28</f>
        <v>1.5729395212334345E+25</v>
      </c>
      <c r="NFK28" s="160">
        <f t="shared" ref="NFK28" si="4812">NFI28*$C$28</f>
        <v>1.5886689164457689E+25</v>
      </c>
      <c r="NFM28" s="160">
        <f t="shared" ref="NFM28" si="4813">NFK28*$C$28</f>
        <v>1.6045556056102266E+25</v>
      </c>
      <c r="NFO28" s="160">
        <f t="shared" ref="NFO28" si="4814">NFM28*$C$28</f>
        <v>1.6206011616663289E+25</v>
      </c>
      <c r="NFQ28" s="160">
        <f t="shared" ref="NFQ28" si="4815">NFO28*$C$28</f>
        <v>1.6368071732829922E+25</v>
      </c>
      <c r="NFS28" s="160">
        <f t="shared" ref="NFS28" si="4816">NFQ28*$C$28</f>
        <v>1.6531752450158221E+25</v>
      </c>
      <c r="NFU28" s="160">
        <f t="shared" ref="NFU28" si="4817">NFS28*$C$28</f>
        <v>1.6697069974659805E+25</v>
      </c>
      <c r="NFW28" s="160">
        <f t="shared" ref="NFW28" si="4818">NFU28*$C$28</f>
        <v>1.6864040674406403E+25</v>
      </c>
      <c r="NFY28" s="160">
        <f t="shared" ref="NFY28" si="4819">NFW28*$C$28</f>
        <v>1.7032681081150468E+25</v>
      </c>
      <c r="NGA28" s="160">
        <f t="shared" ref="NGA28" si="4820">NFY28*$C$28</f>
        <v>1.7203007891961973E+25</v>
      </c>
      <c r="NGC28" s="160">
        <f t="shared" ref="NGC28" si="4821">NGA28*$C$28</f>
        <v>1.7375037970881592E+25</v>
      </c>
      <c r="NGE28" s="160">
        <f t="shared" ref="NGE28" si="4822">NGC28*$C$28</f>
        <v>1.7548788350590409E+25</v>
      </c>
      <c r="NGG28" s="160">
        <f t="shared" ref="NGG28" si="4823">NGE28*$C$28</f>
        <v>1.7724276234096313E+25</v>
      </c>
      <c r="NGI28" s="160">
        <f t="shared" ref="NGI28" si="4824">NGG28*$C$28</f>
        <v>1.7901518996437277E+25</v>
      </c>
      <c r="NGK28" s="160">
        <f t="shared" ref="NGK28" si="4825">NGI28*$C$28</f>
        <v>1.8080534186401649E+25</v>
      </c>
      <c r="NGM28" s="160">
        <f t="shared" ref="NGM28" si="4826">NGK28*$C$28</f>
        <v>1.8261339528265666E+25</v>
      </c>
      <c r="NGO28" s="160">
        <f t="shared" ref="NGO28" si="4827">NGM28*$C$28</f>
        <v>1.8443952923548323E+25</v>
      </c>
      <c r="NGQ28" s="160">
        <f t="shared" ref="NGQ28" si="4828">NGO28*$C$28</f>
        <v>1.8628392452783807E+25</v>
      </c>
      <c r="NGS28" s="160">
        <f t="shared" ref="NGS28" si="4829">NGQ28*$C$28</f>
        <v>1.8814676377311646E+25</v>
      </c>
      <c r="NGU28" s="160">
        <f t="shared" ref="NGU28" si="4830">NGS28*$C$28</f>
        <v>1.9002823141084763E+25</v>
      </c>
      <c r="NGW28" s="160">
        <f t="shared" ref="NGW28" si="4831">NGU28*$C$28</f>
        <v>1.919285137249561E+25</v>
      </c>
      <c r="NGY28" s="160">
        <f t="shared" ref="NGY28" si="4832">NGW28*$C$28</f>
        <v>1.9384779886220566E+25</v>
      </c>
      <c r="NHA28" s="160">
        <f t="shared" ref="NHA28" si="4833">NGY28*$C$28</f>
        <v>1.9578627685082771E+25</v>
      </c>
      <c r="NHC28" s="160">
        <f t="shared" ref="NHC28" si="4834">NHA28*$C$28</f>
        <v>1.9774413961933599E+25</v>
      </c>
      <c r="NHE28" s="160">
        <f t="shared" ref="NHE28" si="4835">NHC28*$C$28</f>
        <v>1.9972158101552936E+25</v>
      </c>
      <c r="NHG28" s="160">
        <f t="shared" ref="NHG28" si="4836">NHE28*$C$28</f>
        <v>2.0171879682568465E+25</v>
      </c>
      <c r="NHI28" s="160">
        <f t="shared" ref="NHI28" si="4837">NHG28*$C$28</f>
        <v>2.0373598479394148E+25</v>
      </c>
      <c r="NHK28" s="160">
        <f t="shared" ref="NHK28" si="4838">NHI28*$C$28</f>
        <v>2.0577334464188088E+25</v>
      </c>
      <c r="NHM28" s="160">
        <f t="shared" ref="NHM28" si="4839">NHK28*$C$28</f>
        <v>2.078310780882997E+25</v>
      </c>
      <c r="NHO28" s="160">
        <f t="shared" ref="NHO28" si="4840">NHM28*$C$28</f>
        <v>2.0990938886918272E+25</v>
      </c>
      <c r="NHQ28" s="160">
        <f t="shared" ref="NHQ28" si="4841">NHO28*$C$28</f>
        <v>2.1200848275787454E+25</v>
      </c>
      <c r="NHS28" s="160">
        <f t="shared" ref="NHS28" si="4842">NHQ28*$C$28</f>
        <v>2.1412856758545327E+25</v>
      </c>
      <c r="NHU28" s="160">
        <f t="shared" ref="NHU28" si="4843">NHS28*$C$28</f>
        <v>2.162698532613078E+25</v>
      </c>
      <c r="NHW28" s="160">
        <f t="shared" ref="NHW28" si="4844">NHU28*$C$28</f>
        <v>2.1843255179392086E+25</v>
      </c>
      <c r="NHY28" s="160">
        <f t="shared" ref="NHY28" si="4845">NHW28*$C$28</f>
        <v>2.2061687731186008E+25</v>
      </c>
      <c r="NIA28" s="160">
        <f t="shared" ref="NIA28" si="4846">NHY28*$C$28</f>
        <v>2.2282304608497868E+25</v>
      </c>
      <c r="NIC28" s="160">
        <f t="shared" ref="NIC28" si="4847">NIA28*$C$28</f>
        <v>2.2505127654582844E+25</v>
      </c>
      <c r="NIE28" s="160">
        <f t="shared" ref="NIE28" si="4848">NIC28*$C$28</f>
        <v>2.2730178931128672E+25</v>
      </c>
      <c r="NIG28" s="160">
        <f t="shared" ref="NIG28" si="4849">NIE28*$C$28</f>
        <v>2.2957480720439958E+25</v>
      </c>
      <c r="NII28" s="160">
        <f t="shared" ref="NII28" si="4850">NIG28*$C$28</f>
        <v>2.3187055527644356E+25</v>
      </c>
      <c r="NIK28" s="160">
        <f t="shared" ref="NIK28" si="4851">NII28*$C$28</f>
        <v>2.3418926082920801E+25</v>
      </c>
      <c r="NIM28" s="160">
        <f t="shared" ref="NIM28" si="4852">NIK28*$C$28</f>
        <v>2.3653115343750012E+25</v>
      </c>
      <c r="NIO28" s="160">
        <f t="shared" ref="NIO28" si="4853">NIM28*$C$28</f>
        <v>2.388964649718751E+25</v>
      </c>
      <c r="NIQ28" s="160">
        <f t="shared" ref="NIQ28" si="4854">NIO28*$C$28</f>
        <v>2.4128542962159386E+25</v>
      </c>
      <c r="NIS28" s="160">
        <f t="shared" ref="NIS28" si="4855">NIQ28*$C$28</f>
        <v>2.4369828391780979E+25</v>
      </c>
      <c r="NIU28" s="160">
        <f t="shared" ref="NIU28" si="4856">NIS28*$C$28</f>
        <v>2.4613526675698789E+25</v>
      </c>
      <c r="NIW28" s="160">
        <f t="shared" ref="NIW28" si="4857">NIU28*$C$28</f>
        <v>2.4859661942455775E+25</v>
      </c>
      <c r="NIY28" s="160">
        <f t="shared" ref="NIY28" si="4858">NIW28*$C$28</f>
        <v>2.5108258561880333E+25</v>
      </c>
      <c r="NJA28" s="160">
        <f t="shared" ref="NJA28" si="4859">NIY28*$C$28</f>
        <v>2.5359341147499137E+25</v>
      </c>
      <c r="NJC28" s="160">
        <f t="shared" ref="NJC28" si="4860">NJA28*$C$28</f>
        <v>2.5612934558974129E+25</v>
      </c>
      <c r="NJE28" s="160">
        <f t="shared" ref="NJE28" si="4861">NJC28*$C$28</f>
        <v>2.5869063904563871E+25</v>
      </c>
      <c r="NJG28" s="160">
        <f t="shared" ref="NJG28" si="4862">NJE28*$C$28</f>
        <v>2.612775454360951E+25</v>
      </c>
      <c r="NJI28" s="160">
        <f t="shared" ref="NJI28" si="4863">NJG28*$C$28</f>
        <v>2.6389032089045605E+25</v>
      </c>
      <c r="NJK28" s="160">
        <f t="shared" ref="NJK28" si="4864">NJI28*$C$28</f>
        <v>2.665292240993606E+25</v>
      </c>
      <c r="NJM28" s="160">
        <f t="shared" ref="NJM28" si="4865">NJK28*$C$28</f>
        <v>2.6919451634035423E+25</v>
      </c>
      <c r="NJO28" s="160">
        <f t="shared" ref="NJO28" si="4866">NJM28*$C$28</f>
        <v>2.7188646150375778E+25</v>
      </c>
      <c r="NJQ28" s="160">
        <f t="shared" ref="NJQ28" si="4867">NJO28*$C$28</f>
        <v>2.7460532611879536E+25</v>
      </c>
      <c r="NJS28" s="160">
        <f t="shared" ref="NJS28" si="4868">NJQ28*$C$28</f>
        <v>2.7735137937998331E+25</v>
      </c>
      <c r="NJU28" s="160">
        <f t="shared" ref="NJU28" si="4869">NJS28*$C$28</f>
        <v>2.8012489317378314E+25</v>
      </c>
      <c r="NJW28" s="160">
        <f t="shared" ref="NJW28" si="4870">NJU28*$C$28</f>
        <v>2.8292614210552096E+25</v>
      </c>
      <c r="NJY28" s="160">
        <f t="shared" ref="NJY28" si="4871">NJW28*$C$28</f>
        <v>2.8575540352657618E+25</v>
      </c>
      <c r="NKA28" s="160">
        <f t="shared" ref="NKA28" si="4872">NJY28*$C$28</f>
        <v>2.8861295756184195E+25</v>
      </c>
      <c r="NKC28" s="160">
        <f t="shared" ref="NKC28" si="4873">NKA28*$C$28</f>
        <v>2.9149908713746038E+25</v>
      </c>
      <c r="NKE28" s="160">
        <f t="shared" ref="NKE28" si="4874">NKC28*$C$28</f>
        <v>2.9441407800883497E+25</v>
      </c>
      <c r="NKG28" s="160">
        <f t="shared" ref="NKG28" si="4875">NKE28*$C$28</f>
        <v>2.9735821878892334E+25</v>
      </c>
      <c r="NKI28" s="160">
        <f t="shared" ref="NKI28" si="4876">NKG28*$C$28</f>
        <v>3.0033180097681256E+25</v>
      </c>
      <c r="NKK28" s="160">
        <f t="shared" ref="NKK28" si="4877">NKI28*$C$28</f>
        <v>3.0333511898658068E+25</v>
      </c>
      <c r="NKM28" s="160">
        <f t="shared" ref="NKM28" si="4878">NKK28*$C$28</f>
        <v>3.063684701764465E+25</v>
      </c>
      <c r="NKO28" s="160">
        <f t="shared" ref="NKO28" si="4879">NKM28*$C$28</f>
        <v>3.0943215487821095E+25</v>
      </c>
      <c r="NKQ28" s="160">
        <f t="shared" ref="NKQ28" si="4880">NKO28*$C$28</f>
        <v>3.1252647642699307E+25</v>
      </c>
      <c r="NKS28" s="160">
        <f t="shared" ref="NKS28" si="4881">NKQ28*$C$28</f>
        <v>3.1565174119126301E+25</v>
      </c>
      <c r="NKU28" s="160">
        <f t="shared" ref="NKU28" si="4882">NKS28*$C$28</f>
        <v>3.1880825860317567E+25</v>
      </c>
      <c r="NKW28" s="160">
        <f t="shared" ref="NKW28" si="4883">NKU28*$C$28</f>
        <v>3.2199634118920744E+25</v>
      </c>
      <c r="NKY28" s="160">
        <f t="shared" ref="NKY28" si="4884">NKW28*$C$28</f>
        <v>3.252163046010995E+25</v>
      </c>
      <c r="NLA28" s="160">
        <f t="shared" ref="NLA28" si="4885">NKY28*$C$28</f>
        <v>3.284684676471105E+25</v>
      </c>
      <c r="NLC28" s="160">
        <f t="shared" ref="NLC28" si="4886">NLA28*$C$28</f>
        <v>3.3175315232358161E+25</v>
      </c>
      <c r="NLE28" s="160">
        <f t="shared" ref="NLE28" si="4887">NLC28*$C$28</f>
        <v>3.3507068384681743E+25</v>
      </c>
      <c r="NLG28" s="160">
        <f t="shared" ref="NLG28" si="4888">NLE28*$C$28</f>
        <v>3.3842139068528562E+25</v>
      </c>
      <c r="NLI28" s="160">
        <f t="shared" ref="NLI28" si="4889">NLG28*$C$28</f>
        <v>3.4180560459213848E+25</v>
      </c>
      <c r="NLK28" s="160">
        <f t="shared" ref="NLK28" si="4890">NLI28*$C$28</f>
        <v>3.4522366063805988E+25</v>
      </c>
      <c r="NLM28" s="160">
        <f t="shared" ref="NLM28" si="4891">NLK28*$C$28</f>
        <v>3.486758972444405E+25</v>
      </c>
      <c r="NLO28" s="160">
        <f t="shared" ref="NLO28" si="4892">NLM28*$C$28</f>
        <v>3.5216265621688493E+25</v>
      </c>
      <c r="NLQ28" s="160">
        <f t="shared" ref="NLQ28" si="4893">NLO28*$C$28</f>
        <v>3.5568428277905379E+25</v>
      </c>
      <c r="NLS28" s="160">
        <f t="shared" ref="NLS28" si="4894">NLQ28*$C$28</f>
        <v>3.5924112560684432E+25</v>
      </c>
      <c r="NLU28" s="160">
        <f t="shared" ref="NLU28" si="4895">NLS28*$C$28</f>
        <v>3.6283353686291276E+25</v>
      </c>
      <c r="NLW28" s="160">
        <f t="shared" ref="NLW28" si="4896">NLU28*$C$28</f>
        <v>3.6646187223154188E+25</v>
      </c>
      <c r="NLY28" s="160">
        <f t="shared" ref="NLY28" si="4897">NLW28*$C$28</f>
        <v>3.701264909538573E+25</v>
      </c>
      <c r="NMA28" s="160">
        <f t="shared" ref="NMA28" si="4898">NLY28*$C$28</f>
        <v>3.7382775586339588E+25</v>
      </c>
      <c r="NMC28" s="160">
        <f t="shared" ref="NMC28" si="4899">NMA28*$C$28</f>
        <v>3.7756603342202984E+25</v>
      </c>
      <c r="NME28" s="160">
        <f t="shared" ref="NME28" si="4900">NMC28*$C$28</f>
        <v>3.8134169375625015E+25</v>
      </c>
      <c r="NMG28" s="160">
        <f t="shared" ref="NMG28" si="4901">NME28*$C$28</f>
        <v>3.8515511069381267E+25</v>
      </c>
      <c r="NMI28" s="160">
        <f t="shared" ref="NMI28" si="4902">NMG28*$C$28</f>
        <v>3.8900666180075076E+25</v>
      </c>
      <c r="NMK28" s="160">
        <f t="shared" ref="NMK28" si="4903">NMI28*$C$28</f>
        <v>3.9289672841875827E+25</v>
      </c>
      <c r="NMM28" s="160">
        <f t="shared" ref="NMM28" si="4904">NMK28*$C$28</f>
        <v>3.9682569570294589E+25</v>
      </c>
      <c r="NMO28" s="160">
        <f t="shared" ref="NMO28" si="4905">NMM28*$C$28</f>
        <v>4.0079395265997537E+25</v>
      </c>
      <c r="NMQ28" s="160">
        <f t="shared" ref="NMQ28" si="4906">NMO28*$C$28</f>
        <v>4.048018921865751E+25</v>
      </c>
      <c r="NMS28" s="160">
        <f t="shared" ref="NMS28" si="4907">NMQ28*$C$28</f>
        <v>4.0884991110844083E+25</v>
      </c>
      <c r="NMU28" s="160">
        <f t="shared" ref="NMU28" si="4908">NMS28*$C$28</f>
        <v>4.1293841021952525E+25</v>
      </c>
      <c r="NMW28" s="160">
        <f t="shared" ref="NMW28" si="4909">NMU28*$C$28</f>
        <v>4.1706779432172051E+25</v>
      </c>
      <c r="NMY28" s="160">
        <f t="shared" ref="NMY28" si="4910">NMW28*$C$28</f>
        <v>4.2123847226493772E+25</v>
      </c>
      <c r="NNA28" s="160">
        <f t="shared" ref="NNA28" si="4911">NMY28*$C$28</f>
        <v>4.2545085698758709E+25</v>
      </c>
      <c r="NNC28" s="160">
        <f t="shared" ref="NNC28" si="4912">NNA28*$C$28</f>
        <v>4.2970536555746295E+25</v>
      </c>
      <c r="NNE28" s="160">
        <f t="shared" ref="NNE28" si="4913">NNC28*$C$28</f>
        <v>4.340024192130376E+25</v>
      </c>
      <c r="NNG28" s="160">
        <f t="shared" ref="NNG28" si="4914">NNE28*$C$28</f>
        <v>4.3834244340516798E+25</v>
      </c>
      <c r="NNI28" s="160">
        <f t="shared" ref="NNI28" si="4915">NNG28*$C$28</f>
        <v>4.4272586783921969E+25</v>
      </c>
      <c r="NNK28" s="160">
        <f t="shared" ref="NNK28" si="4916">NNI28*$C$28</f>
        <v>4.4715312651761191E+25</v>
      </c>
      <c r="NNM28" s="160">
        <f t="shared" ref="NNM28" si="4917">NNK28*$C$28</f>
        <v>4.5162465778278804E+25</v>
      </c>
      <c r="NNO28" s="160">
        <f t="shared" ref="NNO28" si="4918">NNM28*$C$28</f>
        <v>4.5614090436061595E+25</v>
      </c>
      <c r="NNQ28" s="160">
        <f t="shared" ref="NNQ28" si="4919">NNO28*$C$28</f>
        <v>4.607023134042221E+25</v>
      </c>
      <c r="NNS28" s="160">
        <f t="shared" ref="NNS28" si="4920">NNQ28*$C$28</f>
        <v>4.6530933653826432E+25</v>
      </c>
      <c r="NNU28" s="160">
        <f t="shared" ref="NNU28" si="4921">NNS28*$C$28</f>
        <v>4.6996242990364701E+25</v>
      </c>
      <c r="NNW28" s="160">
        <f t="shared" ref="NNW28" si="4922">NNU28*$C$28</f>
        <v>4.7466205420268344E+25</v>
      </c>
      <c r="NNY28" s="160">
        <f t="shared" ref="NNY28" si="4923">NNW28*$C$28</f>
        <v>4.7940867474471025E+25</v>
      </c>
      <c r="NOA28" s="160">
        <f t="shared" ref="NOA28" si="4924">NNY28*$C$28</f>
        <v>4.8420276149215737E+25</v>
      </c>
      <c r="NOC28" s="160">
        <f t="shared" ref="NOC28" si="4925">NOA28*$C$28</f>
        <v>4.8904478910707894E+25</v>
      </c>
      <c r="NOE28" s="160">
        <f t="shared" ref="NOE28" si="4926">NOC28*$C$28</f>
        <v>4.9393523699814972E+25</v>
      </c>
      <c r="NOG28" s="160">
        <f t="shared" ref="NOG28" si="4927">NOE28*$C$28</f>
        <v>4.9887458936813123E+25</v>
      </c>
      <c r="NOI28" s="160">
        <f t="shared" ref="NOI28" si="4928">NOG28*$C$28</f>
        <v>5.0386333526181254E+25</v>
      </c>
      <c r="NOK28" s="160">
        <f t="shared" ref="NOK28" si="4929">NOI28*$C$28</f>
        <v>5.089019686144307E+25</v>
      </c>
      <c r="NOM28" s="160">
        <f t="shared" ref="NOM28" si="4930">NOK28*$C$28</f>
        <v>5.1399098830057504E+25</v>
      </c>
      <c r="NOO28" s="160">
        <f t="shared" ref="NOO28" si="4931">NOM28*$C$28</f>
        <v>5.1913089818358081E+25</v>
      </c>
      <c r="NOQ28" s="160">
        <f t="shared" ref="NOQ28" si="4932">NOO28*$C$28</f>
        <v>5.2432220716541659E+25</v>
      </c>
      <c r="NOS28" s="160">
        <f t="shared" ref="NOS28" si="4933">NOQ28*$C$28</f>
        <v>5.2956542923707078E+25</v>
      </c>
      <c r="NOU28" s="160">
        <f t="shared" ref="NOU28" si="4934">NOS28*$C$28</f>
        <v>5.3486108352944153E+25</v>
      </c>
      <c r="NOW28" s="160">
        <f t="shared" ref="NOW28" si="4935">NOU28*$C$28</f>
        <v>5.4020969436473595E+25</v>
      </c>
      <c r="NOY28" s="160">
        <f t="shared" ref="NOY28" si="4936">NOW28*$C$28</f>
        <v>5.4561179130838332E+25</v>
      </c>
      <c r="NPA28" s="160">
        <f t="shared" ref="NPA28" si="4937">NOY28*$C$28</f>
        <v>5.5106790922146717E+25</v>
      </c>
      <c r="NPC28" s="160">
        <f t="shared" ref="NPC28" si="4938">NPA28*$C$28</f>
        <v>5.5657858831368182E+25</v>
      </c>
      <c r="NPE28" s="160">
        <f t="shared" ref="NPE28" si="4939">NPC28*$C$28</f>
        <v>5.6214437419681861E+25</v>
      </c>
      <c r="NPG28" s="160">
        <f t="shared" ref="NPG28" si="4940">NPE28*$C$28</f>
        <v>5.6776581793878684E+25</v>
      </c>
      <c r="NPI28" s="160">
        <f t="shared" ref="NPI28" si="4941">NPG28*$C$28</f>
        <v>5.7344347611817473E+25</v>
      </c>
      <c r="NPK28" s="160">
        <f t="shared" ref="NPK28" si="4942">NPI28*$C$28</f>
        <v>5.7917791087935652E+25</v>
      </c>
      <c r="NPM28" s="160">
        <f t="shared" ref="NPM28" si="4943">NPK28*$C$28</f>
        <v>5.8496968998815008E+25</v>
      </c>
      <c r="NPO28" s="160">
        <f t="shared" ref="NPO28" si="4944">NPM28*$C$28</f>
        <v>5.908193868880316E+25</v>
      </c>
      <c r="NPQ28" s="160">
        <f t="shared" ref="NPQ28" si="4945">NPO28*$C$28</f>
        <v>5.9672758075691196E+25</v>
      </c>
      <c r="NPS28" s="160">
        <f t="shared" ref="NPS28" si="4946">NPQ28*$C$28</f>
        <v>6.0269485656448107E+25</v>
      </c>
      <c r="NPU28" s="160">
        <f t="shared" ref="NPU28" si="4947">NPS28*$C$28</f>
        <v>6.0872180513012585E+25</v>
      </c>
      <c r="NPW28" s="160">
        <f t="shared" ref="NPW28" si="4948">NPU28*$C$28</f>
        <v>6.1480902318142708E+25</v>
      </c>
      <c r="NPY28" s="160">
        <f t="shared" ref="NPY28" si="4949">NPW28*$C$28</f>
        <v>6.2095711341324133E+25</v>
      </c>
      <c r="NQA28" s="160">
        <f t="shared" ref="NQA28" si="4950">NPY28*$C$28</f>
        <v>6.2716668454737374E+25</v>
      </c>
      <c r="NQC28" s="160">
        <f t="shared" ref="NQC28" si="4951">NQA28*$C$28</f>
        <v>6.3343835139284746E+25</v>
      </c>
      <c r="NQE28" s="160">
        <f t="shared" ref="NQE28" si="4952">NQC28*$C$28</f>
        <v>6.3977273490677591E+25</v>
      </c>
      <c r="NQG28" s="160">
        <f t="shared" ref="NQG28" si="4953">NQE28*$C$28</f>
        <v>6.461704622558437E+25</v>
      </c>
      <c r="NQI28" s="160">
        <f t="shared" ref="NQI28" si="4954">NQG28*$C$28</f>
        <v>6.5263216687840211E+25</v>
      </c>
      <c r="NQK28" s="160">
        <f t="shared" ref="NQK28" si="4955">NQI28*$C$28</f>
        <v>6.5915848854718614E+25</v>
      </c>
      <c r="NQM28" s="160">
        <f t="shared" ref="NQM28" si="4956">NQK28*$C$28</f>
        <v>6.6575007343265803E+25</v>
      </c>
      <c r="NQO28" s="160">
        <f t="shared" ref="NQO28" si="4957">NQM28*$C$28</f>
        <v>6.7240757416698458E+25</v>
      </c>
      <c r="NQQ28" s="160">
        <f t="shared" ref="NQQ28" si="4958">NQO28*$C$28</f>
        <v>6.7913164990865442E+25</v>
      </c>
      <c r="NQS28" s="160">
        <f t="shared" ref="NQS28" si="4959">NQQ28*$C$28</f>
        <v>6.8592296640774095E+25</v>
      </c>
      <c r="NQU28" s="160">
        <f t="shared" ref="NQU28" si="4960">NQS28*$C$28</f>
        <v>6.9278219607181836E+25</v>
      </c>
      <c r="NQW28" s="160">
        <f t="shared" ref="NQW28" si="4961">NQU28*$C$28</f>
        <v>6.9971001803253651E+25</v>
      </c>
      <c r="NQY28" s="160">
        <f t="shared" ref="NQY28" si="4962">NQW28*$C$28</f>
        <v>7.0670711821286186E+25</v>
      </c>
      <c r="NRA28" s="160">
        <f t="shared" ref="NRA28" si="4963">NQY28*$C$28</f>
        <v>7.1377418939499049E+25</v>
      </c>
      <c r="NRC28" s="160">
        <f t="shared" ref="NRC28" si="4964">NRA28*$C$28</f>
        <v>7.2091193128894036E+25</v>
      </c>
      <c r="NRE28" s="160">
        <f t="shared" ref="NRE28" si="4965">NRC28*$C$28</f>
        <v>7.2812105060182976E+25</v>
      </c>
      <c r="NRG28" s="160">
        <f t="shared" ref="NRG28" si="4966">NRE28*$C$28</f>
        <v>7.3540226110784806E+25</v>
      </c>
      <c r="NRI28" s="160">
        <f t="shared" ref="NRI28" si="4967">NRG28*$C$28</f>
        <v>7.4275628371892657E+25</v>
      </c>
      <c r="NRK28" s="160">
        <f t="shared" ref="NRK28" si="4968">NRI28*$C$28</f>
        <v>7.5018384655611584E+25</v>
      </c>
      <c r="NRM28" s="160">
        <f t="shared" ref="NRM28" si="4969">NRK28*$C$28</f>
        <v>7.5768568502167699E+25</v>
      </c>
      <c r="NRO28" s="160">
        <f t="shared" ref="NRO28" si="4970">NRM28*$C$28</f>
        <v>7.6526254187189375E+25</v>
      </c>
      <c r="NRQ28" s="160">
        <f t="shared" ref="NRQ28" si="4971">NRO28*$C$28</f>
        <v>7.7291516729061272E+25</v>
      </c>
      <c r="NRS28" s="160">
        <f t="shared" ref="NRS28" si="4972">NRQ28*$C$28</f>
        <v>7.8064431896351886E+25</v>
      </c>
      <c r="NRU28" s="160">
        <f t="shared" ref="NRU28" si="4973">NRS28*$C$28</f>
        <v>7.8845076215315401E+25</v>
      </c>
      <c r="NRW28" s="160">
        <f t="shared" ref="NRW28" si="4974">NRU28*$C$28</f>
        <v>7.963352697746856E+25</v>
      </c>
      <c r="NRY28" s="160">
        <f t="shared" ref="NRY28" si="4975">NRW28*$C$28</f>
        <v>8.0429862247243254E+25</v>
      </c>
      <c r="NSA28" s="160">
        <f t="shared" ref="NSA28" si="4976">NRY28*$C$28</f>
        <v>8.1234160869715682E+25</v>
      </c>
      <c r="NSC28" s="160">
        <f t="shared" ref="NSC28" si="4977">NSA28*$C$28</f>
        <v>8.2046502478412843E+25</v>
      </c>
      <c r="NSE28" s="160">
        <f t="shared" ref="NSE28" si="4978">NSC28*$C$28</f>
        <v>8.2866967503196968E+25</v>
      </c>
      <c r="NSG28" s="160">
        <f t="shared" ref="NSG28" si="4979">NSE28*$C$28</f>
        <v>8.3695637178228936E+25</v>
      </c>
      <c r="NSI28" s="160">
        <f t="shared" ref="NSI28" si="4980">NSG28*$C$28</f>
        <v>8.4532593550011235E+25</v>
      </c>
      <c r="NSK28" s="160">
        <f t="shared" ref="NSK28" si="4981">NSI28*$C$28</f>
        <v>8.5377919485511344E+25</v>
      </c>
      <c r="NSM28" s="160">
        <f t="shared" ref="NSM28" si="4982">NSK28*$C$28</f>
        <v>8.6231698680366464E+25</v>
      </c>
      <c r="NSO28" s="160">
        <f t="shared" ref="NSO28" si="4983">NSM28*$C$28</f>
        <v>8.7094015667170134E+25</v>
      </c>
      <c r="NSQ28" s="160">
        <f t="shared" ref="NSQ28" si="4984">NSO28*$C$28</f>
        <v>8.7964955823841843E+25</v>
      </c>
      <c r="NSS28" s="160">
        <f t="shared" ref="NSS28" si="4985">NSQ28*$C$28</f>
        <v>8.8844605382080257E+25</v>
      </c>
      <c r="NSU28" s="160">
        <f t="shared" ref="NSU28" si="4986">NSS28*$C$28</f>
        <v>8.9733051435901068E+25</v>
      </c>
      <c r="NSW28" s="160">
        <f t="shared" ref="NSW28" si="4987">NSU28*$C$28</f>
        <v>9.0630381950260086E+25</v>
      </c>
      <c r="NSY28" s="160">
        <f t="shared" ref="NSY28" si="4988">NSW28*$C$28</f>
        <v>9.1536685769762691E+25</v>
      </c>
      <c r="NTA28" s="160">
        <f t="shared" ref="NTA28" si="4989">NSY28*$C$28</f>
        <v>9.2452052627460324E+25</v>
      </c>
      <c r="NTC28" s="160">
        <f t="shared" ref="NTC28" si="4990">NTA28*$C$28</f>
        <v>9.3376573153734935E+25</v>
      </c>
      <c r="NTE28" s="160">
        <f t="shared" ref="NTE28" si="4991">NTC28*$C$28</f>
        <v>9.4310338885272287E+25</v>
      </c>
      <c r="NTG28" s="160">
        <f t="shared" ref="NTG28" si="4992">NTE28*$C$28</f>
        <v>9.5253442274125004E+25</v>
      </c>
      <c r="NTI28" s="160">
        <f t="shared" ref="NTI28" si="4993">NTG28*$C$28</f>
        <v>9.6205976696866253E+25</v>
      </c>
      <c r="NTK28" s="160">
        <f t="shared" ref="NTK28" si="4994">NTI28*$C$28</f>
        <v>9.7168036463834909E+25</v>
      </c>
      <c r="NTM28" s="160">
        <f t="shared" ref="NTM28" si="4995">NTK28*$C$28</f>
        <v>9.8139716828473251E+25</v>
      </c>
      <c r="NTO28" s="160">
        <f t="shared" ref="NTO28" si="4996">NTM28*$C$28</f>
        <v>9.9121113996757987E+25</v>
      </c>
      <c r="NTQ28" s="160">
        <f t="shared" ref="NTQ28" si="4997">NTO28*$C$28</f>
        <v>1.0011232513672556E+26</v>
      </c>
      <c r="NTS28" s="160">
        <f t="shared" ref="NTS28" si="4998">NTQ28*$C$28</f>
        <v>1.0111344838809281E+26</v>
      </c>
      <c r="NTU28" s="160">
        <f t="shared" ref="NTU28" si="4999">NTS28*$C$28</f>
        <v>1.0212458287197374E+26</v>
      </c>
      <c r="NTW28" s="160">
        <f t="shared" ref="NTW28" si="5000">NTU28*$C$28</f>
        <v>1.0314582870069349E+26</v>
      </c>
      <c r="NTY28" s="160">
        <f t="shared" ref="NTY28" si="5001">NTW28*$C$28</f>
        <v>1.0417728698770043E+26</v>
      </c>
      <c r="NUA28" s="160">
        <f t="shared" ref="NUA28" si="5002">NTY28*$C$28</f>
        <v>1.0521905985757744E+26</v>
      </c>
      <c r="NUC28" s="160">
        <f t="shared" ref="NUC28" si="5003">NUA28*$C$28</f>
        <v>1.0627125045615322E+26</v>
      </c>
      <c r="NUE28" s="160">
        <f t="shared" ref="NUE28" si="5004">NUC28*$C$28</f>
        <v>1.0733396296071474E+26</v>
      </c>
      <c r="NUG28" s="160">
        <f t="shared" ref="NUG28" si="5005">NUE28*$C$28</f>
        <v>1.084073025903219E+26</v>
      </c>
      <c r="NUI28" s="160">
        <f t="shared" ref="NUI28" si="5006">NUG28*$C$28</f>
        <v>1.0949137561622512E+26</v>
      </c>
      <c r="NUK28" s="160">
        <f t="shared" ref="NUK28" si="5007">NUI28*$C$28</f>
        <v>1.1058628937238736E+26</v>
      </c>
      <c r="NUM28" s="160">
        <f t="shared" ref="NUM28" si="5008">NUK28*$C$28</f>
        <v>1.1169215226611123E+26</v>
      </c>
      <c r="NUO28" s="160">
        <f t="shared" ref="NUO28" si="5009">NUM28*$C$28</f>
        <v>1.1280907378877235E+26</v>
      </c>
      <c r="NUQ28" s="160">
        <f t="shared" ref="NUQ28" si="5010">NUO28*$C$28</f>
        <v>1.1393716452666008E+26</v>
      </c>
      <c r="NUS28" s="160">
        <f t="shared" ref="NUS28" si="5011">NUQ28*$C$28</f>
        <v>1.1507653617192668E+26</v>
      </c>
      <c r="NUU28" s="160">
        <f t="shared" ref="NUU28" si="5012">NUS28*$C$28</f>
        <v>1.1622730153364595E+26</v>
      </c>
      <c r="NUW28" s="160">
        <f t="shared" ref="NUW28" si="5013">NUU28*$C$28</f>
        <v>1.1738957454898241E+26</v>
      </c>
      <c r="NUY28" s="160">
        <f t="shared" ref="NUY28" si="5014">NUW28*$C$28</f>
        <v>1.1856347029447224E+26</v>
      </c>
      <c r="NVA28" s="160">
        <f t="shared" ref="NVA28" si="5015">NUY28*$C$28</f>
        <v>1.1974910499741696E+26</v>
      </c>
      <c r="NVC28" s="160">
        <f t="shared" ref="NVC28" si="5016">NVA28*$C$28</f>
        <v>1.2094659604739114E+26</v>
      </c>
      <c r="NVE28" s="160">
        <f t="shared" ref="NVE28" si="5017">NVC28*$C$28</f>
        <v>1.2215606200786506E+26</v>
      </c>
      <c r="NVG28" s="160">
        <f t="shared" ref="NVG28" si="5018">NVE28*$C$28</f>
        <v>1.2337762262794371E+26</v>
      </c>
      <c r="NVI28" s="160">
        <f t="shared" ref="NVI28" si="5019">NVG28*$C$28</f>
        <v>1.2461139885422315E+26</v>
      </c>
      <c r="NVK28" s="160">
        <f t="shared" ref="NVK28" si="5020">NVI28*$C$28</f>
        <v>1.2585751284276539E+26</v>
      </c>
      <c r="NVM28" s="160">
        <f t="shared" ref="NVM28" si="5021">NVK28*$C$28</f>
        <v>1.2711608797119305E+26</v>
      </c>
      <c r="NVO28" s="160">
        <f t="shared" ref="NVO28" si="5022">NVM28*$C$28</f>
        <v>1.2838724885090498E+26</v>
      </c>
      <c r="NVQ28" s="160">
        <f t="shared" ref="NVQ28" si="5023">NVO28*$C$28</f>
        <v>1.2967112133941402E+26</v>
      </c>
      <c r="NVS28" s="160">
        <f t="shared" ref="NVS28" si="5024">NVQ28*$C$28</f>
        <v>1.3096783255280816E+26</v>
      </c>
      <c r="NVU28" s="160">
        <f t="shared" ref="NVU28" si="5025">NVS28*$C$28</f>
        <v>1.3227751087833624E+26</v>
      </c>
      <c r="NVW28" s="160">
        <f t="shared" ref="NVW28" si="5026">NVU28*$C$28</f>
        <v>1.336002859871196E+26</v>
      </c>
      <c r="NVY28" s="160">
        <f t="shared" ref="NVY28" si="5027">NVW28*$C$28</f>
        <v>1.3493628884699079E+26</v>
      </c>
      <c r="NWA28" s="160">
        <f t="shared" ref="NWA28" si="5028">NVY28*$C$28</f>
        <v>1.3628565173546069E+26</v>
      </c>
      <c r="NWC28" s="160">
        <f t="shared" ref="NWC28" si="5029">NWA28*$C$28</f>
        <v>1.376485082528153E+26</v>
      </c>
      <c r="NWE28" s="160">
        <f t="shared" ref="NWE28" si="5030">NWC28*$C$28</f>
        <v>1.3902499333534345E+26</v>
      </c>
      <c r="NWG28" s="160">
        <f t="shared" ref="NWG28" si="5031">NWE28*$C$28</f>
        <v>1.4041524326869688E+26</v>
      </c>
      <c r="NWI28" s="160">
        <f t="shared" ref="NWI28" si="5032">NWG28*$C$28</f>
        <v>1.4181939570138386E+26</v>
      </c>
      <c r="NWK28" s="160">
        <f t="shared" ref="NWK28" si="5033">NWI28*$C$28</f>
        <v>1.432375896583977E+26</v>
      </c>
      <c r="NWM28" s="160">
        <f t="shared" ref="NWM28" si="5034">NWK28*$C$28</f>
        <v>1.4466996555498168E+26</v>
      </c>
      <c r="NWO28" s="160">
        <f t="shared" ref="NWO28" si="5035">NWM28*$C$28</f>
        <v>1.4611666521053149E+26</v>
      </c>
      <c r="NWQ28" s="160">
        <f t="shared" ref="NWQ28" si="5036">NWO28*$C$28</f>
        <v>1.4757783186263682E+26</v>
      </c>
      <c r="NWS28" s="160">
        <f t="shared" ref="NWS28" si="5037">NWQ28*$C$28</f>
        <v>1.4905361018126319E+26</v>
      </c>
      <c r="NWU28" s="160">
        <f t="shared" ref="NWU28" si="5038">NWS28*$C$28</f>
        <v>1.5054414628307582E+26</v>
      </c>
      <c r="NWW28" s="160">
        <f t="shared" ref="NWW28" si="5039">NWU28*$C$28</f>
        <v>1.5204958774590658E+26</v>
      </c>
      <c r="NWY28" s="160">
        <f t="shared" ref="NWY28" si="5040">NWW28*$C$28</f>
        <v>1.5357008362336563E+26</v>
      </c>
      <c r="NXA28" s="160">
        <f t="shared" ref="NXA28" si="5041">NWY28*$C$28</f>
        <v>1.5510578445959929E+26</v>
      </c>
      <c r="NXC28" s="160">
        <f t="shared" ref="NXC28" si="5042">NXA28*$C$28</f>
        <v>1.566568423041953E+26</v>
      </c>
      <c r="NXE28" s="160">
        <f t="shared" ref="NXE28" si="5043">NXC28*$C$28</f>
        <v>1.5822341072723726E+26</v>
      </c>
      <c r="NXG28" s="160">
        <f t="shared" ref="NXG28" si="5044">NXE28*$C$28</f>
        <v>1.5980564483450965E+26</v>
      </c>
      <c r="NXI28" s="160">
        <f t="shared" ref="NXI28" si="5045">NXG28*$C$28</f>
        <v>1.6140370128285476E+26</v>
      </c>
      <c r="NXK28" s="160">
        <f t="shared" ref="NXK28" si="5046">NXI28*$C$28</f>
        <v>1.630177382956833E+26</v>
      </c>
      <c r="NXM28" s="160">
        <f t="shared" ref="NXM28" si="5047">NXK28*$C$28</f>
        <v>1.6464791567864015E+26</v>
      </c>
      <c r="NXO28" s="160">
        <f t="shared" ref="NXO28" si="5048">NXM28*$C$28</f>
        <v>1.6629439483542655E+26</v>
      </c>
      <c r="NXQ28" s="160">
        <f t="shared" ref="NXQ28" si="5049">NXO28*$C$28</f>
        <v>1.6795733878378082E+26</v>
      </c>
      <c r="NXS28" s="160">
        <f t="shared" ref="NXS28" si="5050">NXQ28*$C$28</f>
        <v>1.6963691217161861E+26</v>
      </c>
      <c r="NXU28" s="160">
        <f t="shared" ref="NXU28" si="5051">NXS28*$C$28</f>
        <v>1.7133328129333479E+26</v>
      </c>
      <c r="NXW28" s="160">
        <f t="shared" ref="NXW28" si="5052">NXU28*$C$28</f>
        <v>1.7304661410626815E+26</v>
      </c>
      <c r="NXY28" s="160">
        <f t="shared" ref="NXY28" si="5053">NXW28*$C$28</f>
        <v>1.7477708024733084E+26</v>
      </c>
      <c r="NYA28" s="160">
        <f t="shared" ref="NYA28" si="5054">NXY28*$C$28</f>
        <v>1.7652485104980417E+26</v>
      </c>
      <c r="NYC28" s="160">
        <f t="shared" ref="NYC28" si="5055">NYA28*$C$28</f>
        <v>1.7829009956030222E+26</v>
      </c>
      <c r="NYE28" s="160">
        <f t="shared" ref="NYE28" si="5056">NYC28*$C$28</f>
        <v>1.8007300055590524E+26</v>
      </c>
      <c r="NYG28" s="160">
        <f t="shared" ref="NYG28" si="5057">NYE28*$C$28</f>
        <v>1.818737305614643E+26</v>
      </c>
      <c r="NYI28" s="160">
        <f t="shared" ref="NYI28" si="5058">NYG28*$C$28</f>
        <v>1.8369246786707893E+26</v>
      </c>
      <c r="NYK28" s="160">
        <f t="shared" ref="NYK28" si="5059">NYI28*$C$28</f>
        <v>1.8552939254574973E+26</v>
      </c>
      <c r="NYM28" s="160">
        <f t="shared" ref="NYM28" si="5060">NYK28*$C$28</f>
        <v>1.8738468647120723E+26</v>
      </c>
      <c r="NYO28" s="160">
        <f t="shared" ref="NYO28" si="5061">NYM28*$C$28</f>
        <v>1.892585333359193E+26</v>
      </c>
      <c r="NYQ28" s="160">
        <f t="shared" ref="NYQ28" si="5062">NYO28*$C$28</f>
        <v>1.911511186692785E+26</v>
      </c>
      <c r="NYS28" s="160">
        <f t="shared" ref="NYS28" si="5063">NYQ28*$C$28</f>
        <v>1.9306262985597129E+26</v>
      </c>
      <c r="NYU28" s="160">
        <f t="shared" ref="NYU28" si="5064">NYS28*$C$28</f>
        <v>1.94993256154531E+26</v>
      </c>
      <c r="NYW28" s="160">
        <f t="shared" ref="NYW28" si="5065">NYU28*$C$28</f>
        <v>1.969431887160763E+26</v>
      </c>
      <c r="NYY28" s="160">
        <f t="shared" ref="NYY28" si="5066">NYW28*$C$28</f>
        <v>1.9891262060323707E+26</v>
      </c>
      <c r="NZA28" s="160">
        <f t="shared" ref="NZA28" si="5067">NYY28*$C$28</f>
        <v>2.0090174680926944E+26</v>
      </c>
      <c r="NZC28" s="160">
        <f t="shared" ref="NZC28" si="5068">NZA28*$C$28</f>
        <v>2.0291076427736212E+26</v>
      </c>
      <c r="NZE28" s="160">
        <f t="shared" ref="NZE28" si="5069">NZC28*$C$28</f>
        <v>2.0493987192013574E+26</v>
      </c>
      <c r="NZG28" s="160">
        <f t="shared" ref="NZG28" si="5070">NZE28*$C$28</f>
        <v>2.0698927063933712E+26</v>
      </c>
      <c r="NZI28" s="160">
        <f t="shared" ref="NZI28" si="5071">NZG28*$C$28</f>
        <v>2.0905916334573048E+26</v>
      </c>
      <c r="NZK28" s="160">
        <f t="shared" ref="NZK28" si="5072">NZI28*$C$28</f>
        <v>2.1114975497918777E+26</v>
      </c>
      <c r="NZM28" s="160">
        <f t="shared" ref="NZM28" si="5073">NZK28*$C$28</f>
        <v>2.1326125252897963E+26</v>
      </c>
      <c r="NZO28" s="160">
        <f t="shared" ref="NZO28" si="5074">NZM28*$C$28</f>
        <v>2.1539386505426943E+26</v>
      </c>
      <c r="NZQ28" s="160">
        <f t="shared" ref="NZQ28" si="5075">NZO28*$C$28</f>
        <v>2.1754780370481211E+26</v>
      </c>
      <c r="NZS28" s="160">
        <f t="shared" ref="NZS28" si="5076">NZQ28*$C$28</f>
        <v>2.1972328174186022E+26</v>
      </c>
      <c r="NZU28" s="160">
        <f t="shared" ref="NZU28" si="5077">NZS28*$C$28</f>
        <v>2.2192051455927881E+26</v>
      </c>
      <c r="NZW28" s="160">
        <f t="shared" ref="NZW28" si="5078">NZU28*$C$28</f>
        <v>2.2413971970487162E+26</v>
      </c>
      <c r="NZY28" s="160">
        <f t="shared" ref="NZY28" si="5079">NZW28*$C$28</f>
        <v>2.2638111690192033E+26</v>
      </c>
      <c r="OAA28" s="160">
        <f t="shared" ref="OAA28" si="5080">NZY28*$C$28</f>
        <v>2.2864492807093954E+26</v>
      </c>
      <c r="OAC28" s="160">
        <f t="shared" ref="OAC28" si="5081">OAA28*$C$28</f>
        <v>2.3093137735164893E+26</v>
      </c>
      <c r="OAE28" s="160">
        <f t="shared" ref="OAE28" si="5082">OAC28*$C$28</f>
        <v>2.3324069112516543E+26</v>
      </c>
      <c r="OAG28" s="160">
        <f t="shared" ref="OAG28" si="5083">OAE28*$C$28</f>
        <v>2.3557309803641708E+26</v>
      </c>
      <c r="OAI28" s="160">
        <f t="shared" ref="OAI28" si="5084">OAG28*$C$28</f>
        <v>2.3792882901678125E+26</v>
      </c>
      <c r="OAK28" s="160">
        <f t="shared" ref="OAK28" si="5085">OAI28*$C$28</f>
        <v>2.4030811730694907E+26</v>
      </c>
      <c r="OAM28" s="160">
        <f t="shared" ref="OAM28" si="5086">OAK28*$C$28</f>
        <v>2.4271119848001855E+26</v>
      </c>
      <c r="OAO28" s="160">
        <f t="shared" ref="OAO28" si="5087">OAM28*$C$28</f>
        <v>2.4513831046481874E+26</v>
      </c>
      <c r="OAQ28" s="160">
        <f t="shared" ref="OAQ28" si="5088">OAO28*$C$28</f>
        <v>2.4758969356946691E+26</v>
      </c>
      <c r="OAS28" s="160">
        <f t="shared" ref="OAS28" si="5089">OAQ28*$C$28</f>
        <v>2.5006559050516158E+26</v>
      </c>
      <c r="OAU28" s="160">
        <f t="shared" ref="OAU28" si="5090">OAS28*$C$28</f>
        <v>2.5256624641021319E+26</v>
      </c>
      <c r="OAW28" s="160">
        <f t="shared" ref="OAW28" si="5091">OAU28*$C$28</f>
        <v>2.5509190887431533E+26</v>
      </c>
      <c r="OAY28" s="160">
        <f t="shared" ref="OAY28" si="5092">OAW28*$C$28</f>
        <v>2.5764282796305847E+26</v>
      </c>
      <c r="OBA28" s="160">
        <f t="shared" ref="OBA28" si="5093">OAY28*$C$28</f>
        <v>2.6021925624268907E+26</v>
      </c>
      <c r="OBC28" s="160">
        <f t="shared" ref="OBC28" si="5094">OBA28*$C$28</f>
        <v>2.6282144880511597E+26</v>
      </c>
      <c r="OBE28" s="160">
        <f t="shared" ref="OBE28" si="5095">OBC28*$C$28</f>
        <v>2.6544966329316712E+26</v>
      </c>
      <c r="OBG28" s="160">
        <f t="shared" ref="OBG28" si="5096">OBE28*$C$28</f>
        <v>2.681041599260988E+26</v>
      </c>
      <c r="OBI28" s="160">
        <f t="shared" ref="OBI28" si="5097">OBG28*$C$28</f>
        <v>2.7078520152535979E+26</v>
      </c>
      <c r="OBK28" s="160">
        <f t="shared" ref="OBK28" si="5098">OBI28*$C$28</f>
        <v>2.7349305354061337E+26</v>
      </c>
      <c r="OBM28" s="160">
        <f t="shared" ref="OBM28" si="5099">OBK28*$C$28</f>
        <v>2.7622798407601951E+26</v>
      </c>
      <c r="OBO28" s="160">
        <f t="shared" ref="OBO28" si="5100">OBM28*$C$28</f>
        <v>2.789902639167797E+26</v>
      </c>
      <c r="OBQ28" s="160">
        <f t="shared" ref="OBQ28" si="5101">OBO28*$C$28</f>
        <v>2.8178016655594751E+26</v>
      </c>
      <c r="OBS28" s="160">
        <f t="shared" ref="OBS28" si="5102">OBQ28*$C$28</f>
        <v>2.84597968221507E+26</v>
      </c>
      <c r="OBU28" s="160">
        <f t="shared" ref="OBU28" si="5103">OBS28*$C$28</f>
        <v>2.8744394790372206E+26</v>
      </c>
      <c r="OBW28" s="160">
        <f t="shared" ref="OBW28" si="5104">OBU28*$C$28</f>
        <v>2.9031838738275927E+26</v>
      </c>
      <c r="OBY28" s="160">
        <f t="shared" ref="OBY28" si="5105">OBW28*$C$28</f>
        <v>2.9322157125658687E+26</v>
      </c>
      <c r="OCA28" s="160">
        <f t="shared" ref="OCA28" si="5106">OBY28*$C$28</f>
        <v>2.9615378696915276E+26</v>
      </c>
      <c r="OCC28" s="160">
        <f t="shared" ref="OCC28" si="5107">OCA28*$C$28</f>
        <v>2.991153248388443E+26</v>
      </c>
      <c r="OCE28" s="160">
        <f t="shared" ref="OCE28" si="5108">OCC28*$C$28</f>
        <v>3.0210647808723276E+26</v>
      </c>
      <c r="OCG28" s="160">
        <f t="shared" ref="OCG28" si="5109">OCE28*$C$28</f>
        <v>3.051275428681051E+26</v>
      </c>
      <c r="OCI28" s="160">
        <f t="shared" ref="OCI28" si="5110">OCG28*$C$28</f>
        <v>3.0817881829678616E+26</v>
      </c>
      <c r="OCK28" s="160">
        <f t="shared" ref="OCK28" si="5111">OCI28*$C$28</f>
        <v>3.1126060647975405E+26</v>
      </c>
      <c r="OCM28" s="160">
        <f t="shared" ref="OCM28" si="5112">OCK28*$C$28</f>
        <v>3.1437321254455157E+26</v>
      </c>
      <c r="OCO28" s="160">
        <f t="shared" ref="OCO28" si="5113">OCM28*$C$28</f>
        <v>3.1751694466999711E+26</v>
      </c>
      <c r="OCQ28" s="160">
        <f t="shared" ref="OCQ28" si="5114">OCO28*$C$28</f>
        <v>3.2069211411669712E+26</v>
      </c>
      <c r="OCS28" s="160">
        <f t="shared" ref="OCS28" si="5115">OCQ28*$C$28</f>
        <v>3.2389903525786407E+26</v>
      </c>
      <c r="OCU28" s="160">
        <f t="shared" ref="OCU28" si="5116">OCS28*$C$28</f>
        <v>3.2713802561044268E+26</v>
      </c>
      <c r="OCW28" s="160">
        <f t="shared" ref="OCW28" si="5117">OCU28*$C$28</f>
        <v>3.3040940586654713E+26</v>
      </c>
      <c r="OCY28" s="160">
        <f t="shared" ref="OCY28" si="5118">OCW28*$C$28</f>
        <v>3.3371349992521263E+26</v>
      </c>
      <c r="ODA28" s="160">
        <f t="shared" ref="ODA28" si="5119">OCY28*$C$28</f>
        <v>3.3705063492446476E+26</v>
      </c>
      <c r="ODC28" s="160">
        <f t="shared" ref="ODC28" si="5120">ODA28*$C$28</f>
        <v>3.4042114127370938E+26</v>
      </c>
      <c r="ODE28" s="160">
        <f t="shared" ref="ODE28" si="5121">ODC28*$C$28</f>
        <v>3.4382535268644647E+26</v>
      </c>
      <c r="ODG28" s="160">
        <f t="shared" ref="ODG28" si="5122">ODE28*$C$28</f>
        <v>3.4726360621331093E+26</v>
      </c>
      <c r="ODI28" s="160">
        <f t="shared" ref="ODI28" si="5123">ODG28*$C$28</f>
        <v>3.5073624227544406E+26</v>
      </c>
      <c r="ODK28" s="160">
        <f t="shared" ref="ODK28" si="5124">ODI28*$C$28</f>
        <v>3.542436046981985E+26</v>
      </c>
      <c r="ODM28" s="160">
        <f t="shared" ref="ODM28" si="5125">ODK28*$C$28</f>
        <v>3.577860407451805E+26</v>
      </c>
      <c r="ODO28" s="160">
        <f t="shared" ref="ODO28" si="5126">ODM28*$C$28</f>
        <v>3.6136390115263232E+26</v>
      </c>
      <c r="ODQ28" s="160">
        <f t="shared" ref="ODQ28" si="5127">ODO28*$C$28</f>
        <v>3.6497754016415861E+26</v>
      </c>
      <c r="ODS28" s="160">
        <f t="shared" ref="ODS28" si="5128">ODQ28*$C$28</f>
        <v>3.686273155658002E+26</v>
      </c>
      <c r="ODU28" s="160">
        <f t="shared" ref="ODU28" si="5129">ODS28*$C$28</f>
        <v>3.7231358872145823E+26</v>
      </c>
      <c r="ODW28" s="160">
        <f t="shared" ref="ODW28" si="5130">ODU28*$C$28</f>
        <v>3.7603672460867281E+26</v>
      </c>
      <c r="ODY28" s="160">
        <f t="shared" ref="ODY28" si="5131">ODW28*$C$28</f>
        <v>3.7979709185475952E+26</v>
      </c>
      <c r="OEA28" s="160">
        <f t="shared" ref="OEA28" si="5132">ODY28*$C$28</f>
        <v>3.835950627733071E+26</v>
      </c>
      <c r="OEC28" s="160">
        <f t="shared" ref="OEC28" si="5133">OEA28*$C$28</f>
        <v>3.8743101340104015E+26</v>
      </c>
      <c r="OEE28" s="160">
        <f t="shared" ref="OEE28" si="5134">OEC28*$C$28</f>
        <v>3.9130532353505055E+26</v>
      </c>
      <c r="OEG28" s="160">
        <f t="shared" ref="OEG28" si="5135">OEE28*$C$28</f>
        <v>3.9521837677040104E+26</v>
      </c>
      <c r="OEI28" s="160">
        <f t="shared" ref="OEI28" si="5136">OEG28*$C$28</f>
        <v>3.9917056053810504E+26</v>
      </c>
      <c r="OEK28" s="160">
        <f t="shared" ref="OEK28" si="5137">OEI28*$C$28</f>
        <v>4.031622661434861E+26</v>
      </c>
      <c r="OEM28" s="160">
        <f t="shared" ref="OEM28" si="5138">OEK28*$C$28</f>
        <v>4.0719388880492097E+26</v>
      </c>
      <c r="OEO28" s="160">
        <f t="shared" ref="OEO28" si="5139">OEM28*$C$28</f>
        <v>4.1126582769297022E+26</v>
      </c>
      <c r="OEQ28" s="160">
        <f t="shared" ref="OEQ28" si="5140">OEO28*$C$28</f>
        <v>4.153784859698999E+26</v>
      </c>
      <c r="OES28" s="160">
        <f t="shared" ref="OES28" si="5141">OEQ28*$C$28</f>
        <v>4.1953227082959893E+26</v>
      </c>
      <c r="OEU28" s="160">
        <f t="shared" ref="OEU28" si="5142">OES28*$C$28</f>
        <v>4.2372759353789494E+26</v>
      </c>
      <c r="OEW28" s="160">
        <f t="shared" ref="OEW28" si="5143">OEU28*$C$28</f>
        <v>4.2796486947327387E+26</v>
      </c>
      <c r="OEY28" s="160">
        <f t="shared" ref="OEY28" si="5144">OEW28*$C$28</f>
        <v>4.3224451816800663E+26</v>
      </c>
      <c r="OFA28" s="160">
        <f t="shared" ref="OFA28" si="5145">OEY28*$C$28</f>
        <v>4.3656696334968669E+26</v>
      </c>
      <c r="OFC28" s="160">
        <f t="shared" ref="OFC28" si="5146">OFA28*$C$28</f>
        <v>4.4093263298318357E+26</v>
      </c>
      <c r="OFE28" s="160">
        <f t="shared" ref="OFE28" si="5147">OFC28*$C$28</f>
        <v>4.4534195931301542E+26</v>
      </c>
      <c r="OFG28" s="160">
        <f t="shared" ref="OFG28" si="5148">OFE28*$C$28</f>
        <v>4.4979537890614557E+26</v>
      </c>
      <c r="OFI28" s="160">
        <f t="shared" ref="OFI28" si="5149">OFG28*$C$28</f>
        <v>4.5429333269520704E+26</v>
      </c>
      <c r="OFK28" s="160">
        <f t="shared" ref="OFK28" si="5150">OFI28*$C$28</f>
        <v>4.5883626602215911E+26</v>
      </c>
      <c r="OFM28" s="160">
        <f t="shared" ref="OFM28" si="5151">OFK28*$C$28</f>
        <v>4.6342462868238067E+26</v>
      </c>
      <c r="OFO28" s="160">
        <f t="shared" ref="OFO28" si="5152">OFM28*$C$28</f>
        <v>4.6805887496920448E+26</v>
      </c>
      <c r="OFQ28" s="160">
        <f t="shared" ref="OFQ28" si="5153">OFO28*$C$28</f>
        <v>4.7273946371889651E+26</v>
      </c>
      <c r="OFS28" s="160">
        <f t="shared" ref="OFS28" si="5154">OFQ28*$C$28</f>
        <v>4.7746685835608549E+26</v>
      </c>
      <c r="OFU28" s="160">
        <f t="shared" ref="OFU28" si="5155">OFS28*$C$28</f>
        <v>4.8224152693964634E+26</v>
      </c>
      <c r="OFW28" s="160">
        <f t="shared" ref="OFW28" si="5156">OFU28*$C$28</f>
        <v>4.8706394220904279E+26</v>
      </c>
      <c r="OFY28" s="160">
        <f t="shared" ref="OFY28" si="5157">OFW28*$C$28</f>
        <v>4.9193458163113324E+26</v>
      </c>
      <c r="OGA28" s="160">
        <f t="shared" ref="OGA28" si="5158">OFY28*$C$28</f>
        <v>4.968539274474446E+26</v>
      </c>
      <c r="OGC28" s="160">
        <f t="shared" ref="OGC28" si="5159">OGA28*$C$28</f>
        <v>5.0182246672191908E+26</v>
      </c>
      <c r="OGE28" s="160">
        <f t="shared" ref="OGE28" si="5160">OGC28*$C$28</f>
        <v>5.0684069138913826E+26</v>
      </c>
      <c r="OGG28" s="160">
        <f t="shared" ref="OGG28" si="5161">OGE28*$C$28</f>
        <v>5.1190909830302966E+26</v>
      </c>
      <c r="OGI28" s="160">
        <f t="shared" ref="OGI28" si="5162">OGG28*$C$28</f>
        <v>5.1702818928605995E+26</v>
      </c>
      <c r="OGK28" s="160">
        <f t="shared" ref="OGK28" si="5163">OGI28*$C$28</f>
        <v>5.2219847117892058E+26</v>
      </c>
      <c r="OGM28" s="160">
        <f t="shared" ref="OGM28" si="5164">OGK28*$C$28</f>
        <v>5.2742045589070977E+26</v>
      </c>
      <c r="OGO28" s="160">
        <f t="shared" ref="OGO28" si="5165">OGM28*$C$28</f>
        <v>5.3269466044961687E+26</v>
      </c>
      <c r="OGQ28" s="160">
        <f t="shared" ref="OGQ28" si="5166">OGO28*$C$28</f>
        <v>5.3802160705411304E+26</v>
      </c>
      <c r="OGS28" s="160">
        <f t="shared" ref="OGS28" si="5167">OGQ28*$C$28</f>
        <v>5.434018231246542E+26</v>
      </c>
      <c r="OGU28" s="160">
        <f t="shared" ref="OGU28" si="5168">OGS28*$C$28</f>
        <v>5.4883584135590077E+26</v>
      </c>
      <c r="OGW28" s="160">
        <f t="shared" ref="OGW28" si="5169">OGU28*$C$28</f>
        <v>5.543241997694598E+26</v>
      </c>
      <c r="OGY28" s="160">
        <f t="shared" ref="OGY28" si="5170">OGW28*$C$28</f>
        <v>5.5986744176715442E+26</v>
      </c>
      <c r="OHA28" s="160">
        <f t="shared" ref="OHA28" si="5171">OGY28*$C$28</f>
        <v>5.65466116184826E+26</v>
      </c>
      <c r="OHC28" s="160">
        <f t="shared" ref="OHC28" si="5172">OHA28*$C$28</f>
        <v>5.7112077734667424E+26</v>
      </c>
      <c r="OHE28" s="160">
        <f t="shared" ref="OHE28" si="5173">OHC28*$C$28</f>
        <v>5.7683198512014099E+26</v>
      </c>
      <c r="OHG28" s="160">
        <f t="shared" ref="OHG28" si="5174">OHE28*$C$28</f>
        <v>5.8260030497134243E+26</v>
      </c>
      <c r="OHI28" s="160">
        <f t="shared" ref="OHI28" si="5175">OHG28*$C$28</f>
        <v>5.8842630802105589E+26</v>
      </c>
      <c r="OHK28" s="160">
        <f t="shared" ref="OHK28" si="5176">OHI28*$C$28</f>
        <v>5.9431057110126646E+26</v>
      </c>
      <c r="OHM28" s="160">
        <f t="shared" ref="OHM28" si="5177">OHK28*$C$28</f>
        <v>6.0025367681227911E+26</v>
      </c>
      <c r="OHO28" s="160">
        <f t="shared" ref="OHO28" si="5178">OHM28*$C$28</f>
        <v>6.062562135804019E+26</v>
      </c>
      <c r="OHQ28" s="160">
        <f t="shared" ref="OHQ28" si="5179">OHO28*$C$28</f>
        <v>6.1231877571620593E+26</v>
      </c>
      <c r="OHS28" s="160">
        <f t="shared" ref="OHS28" si="5180">OHQ28*$C$28</f>
        <v>6.1844196347336799E+26</v>
      </c>
      <c r="OHU28" s="160">
        <f t="shared" ref="OHU28" si="5181">OHS28*$C$28</f>
        <v>6.2462638310810167E+26</v>
      </c>
      <c r="OHW28" s="160">
        <f t="shared" ref="OHW28" si="5182">OHU28*$C$28</f>
        <v>6.3087264693918276E+26</v>
      </c>
      <c r="OHY28" s="160">
        <f t="shared" ref="OHY28" si="5183">OHW28*$C$28</f>
        <v>6.3718137340857459E+26</v>
      </c>
      <c r="OIA28" s="160">
        <f t="shared" ref="OIA28" si="5184">OHY28*$C$28</f>
        <v>6.4355318714266038E+26</v>
      </c>
      <c r="OIC28" s="160">
        <f t="shared" ref="OIC28" si="5185">OIA28*$C$28</f>
        <v>6.4998871901408705E+26</v>
      </c>
      <c r="OIE28" s="160">
        <f t="shared" ref="OIE28" si="5186">OIC28*$C$28</f>
        <v>6.5648860620422795E+26</v>
      </c>
      <c r="OIG28" s="160">
        <f t="shared" ref="OIG28" si="5187">OIE28*$C$28</f>
        <v>6.6305349226627021E+26</v>
      </c>
      <c r="OII28" s="160">
        <f t="shared" ref="OII28" si="5188">OIG28*$C$28</f>
        <v>6.6968402718893293E+26</v>
      </c>
      <c r="OIK28" s="160">
        <f t="shared" ref="OIK28" si="5189">OII28*$C$28</f>
        <v>6.7638086746082221E+26</v>
      </c>
      <c r="OIM28" s="160">
        <f t="shared" ref="OIM28" si="5190">OIK28*$C$28</f>
        <v>6.8314467613543049E+26</v>
      </c>
      <c r="OIO28" s="160">
        <f t="shared" ref="OIO28" si="5191">OIM28*$C$28</f>
        <v>6.8997612289678486E+26</v>
      </c>
      <c r="OIQ28" s="160">
        <f t="shared" ref="OIQ28" si="5192">OIO28*$C$28</f>
        <v>6.9687588412575268E+26</v>
      </c>
      <c r="OIS28" s="160">
        <f t="shared" ref="OIS28" si="5193">OIQ28*$C$28</f>
        <v>7.0384464296701023E+26</v>
      </c>
      <c r="OIU28" s="160">
        <f t="shared" ref="OIU28" si="5194">OIS28*$C$28</f>
        <v>7.1088308939668029E+26</v>
      </c>
      <c r="OIW28" s="160">
        <f t="shared" ref="OIW28" si="5195">OIU28*$C$28</f>
        <v>7.1799192029064708E+26</v>
      </c>
      <c r="OIY28" s="160">
        <f t="shared" ref="OIY28" si="5196">OIW28*$C$28</f>
        <v>7.2517183949355353E+26</v>
      </c>
      <c r="OJA28" s="160">
        <f t="shared" ref="OJA28" si="5197">OIY28*$C$28</f>
        <v>7.3242355788848903E+26</v>
      </c>
      <c r="OJC28" s="160">
        <f t="shared" ref="OJC28" si="5198">OJA28*$C$28</f>
        <v>7.3974779346737397E+26</v>
      </c>
      <c r="OJE28" s="160">
        <f t="shared" ref="OJE28" si="5199">OJC28*$C$28</f>
        <v>7.4714527140204767E+26</v>
      </c>
      <c r="OJG28" s="160">
        <f t="shared" ref="OJG28" si="5200">OJE28*$C$28</f>
        <v>7.5461672411606819E+26</v>
      </c>
      <c r="OJI28" s="160">
        <f t="shared" ref="OJI28" si="5201">OJG28*$C$28</f>
        <v>7.6216289135722892E+26</v>
      </c>
      <c r="OJK28" s="160">
        <f t="shared" ref="OJK28" si="5202">OJI28*$C$28</f>
        <v>7.6978452027080123E+26</v>
      </c>
      <c r="OJM28" s="160">
        <f t="shared" ref="OJM28" si="5203">OJK28*$C$28</f>
        <v>7.7748236547350928E+26</v>
      </c>
      <c r="OJO28" s="160">
        <f t="shared" ref="OJO28" si="5204">OJM28*$C$28</f>
        <v>7.8525718912824435E+26</v>
      </c>
      <c r="OJQ28" s="160">
        <f t="shared" ref="OJQ28" si="5205">OJO28*$C$28</f>
        <v>7.9310976101952676E+26</v>
      </c>
      <c r="OJS28" s="160">
        <f t="shared" ref="OJS28" si="5206">OJQ28*$C$28</f>
        <v>8.01040858629722E+26</v>
      </c>
      <c r="OJU28" s="160">
        <f t="shared" ref="OJU28" si="5207">OJS28*$C$28</f>
        <v>8.0905126721601928E+26</v>
      </c>
      <c r="OJW28" s="160">
        <f t="shared" ref="OJW28" si="5208">OJU28*$C$28</f>
        <v>8.1714177988817955E+26</v>
      </c>
      <c r="OJY28" s="160">
        <f t="shared" ref="OJY28" si="5209">OJW28*$C$28</f>
        <v>8.2531319768706134E+26</v>
      </c>
      <c r="OKA28" s="160">
        <f t="shared" ref="OKA28" si="5210">OJY28*$C$28</f>
        <v>8.3356632966393203E+26</v>
      </c>
      <c r="OKC28" s="160">
        <f t="shared" ref="OKC28" si="5211">OKA28*$C$28</f>
        <v>8.4190199296057133E+26</v>
      </c>
      <c r="OKE28" s="160">
        <f t="shared" ref="OKE28" si="5212">OKC28*$C$28</f>
        <v>8.5032101289017708E+26</v>
      </c>
      <c r="OKG28" s="160">
        <f t="shared" ref="OKG28" si="5213">OKE28*$C$28</f>
        <v>8.5882422301907893E+26</v>
      </c>
      <c r="OKI28" s="160">
        <f t="shared" ref="OKI28" si="5214">OKG28*$C$28</f>
        <v>8.6741246524926967E+26</v>
      </c>
      <c r="OKK28" s="160">
        <f t="shared" ref="OKK28" si="5215">OKI28*$C$28</f>
        <v>8.7608658990176231E+26</v>
      </c>
      <c r="OKM28" s="160">
        <f t="shared" ref="OKM28" si="5216">OKK28*$C$28</f>
        <v>8.8484745580077991E+26</v>
      </c>
      <c r="OKO28" s="160">
        <f t="shared" ref="OKO28" si="5217">OKM28*$C$28</f>
        <v>8.9369593035878769E+26</v>
      </c>
      <c r="OKQ28" s="160">
        <f t="shared" ref="OKQ28" si="5218">OKO28*$C$28</f>
        <v>9.0263288966237562E+26</v>
      </c>
      <c r="OKS28" s="160">
        <f t="shared" ref="OKS28" si="5219">OKQ28*$C$28</f>
        <v>9.1165921855899944E+26</v>
      </c>
      <c r="OKU28" s="160">
        <f t="shared" ref="OKU28" si="5220">OKS28*$C$28</f>
        <v>9.2077581074458948E+26</v>
      </c>
      <c r="OKW28" s="160">
        <f t="shared" ref="OKW28" si="5221">OKU28*$C$28</f>
        <v>9.2998356885203536E+26</v>
      </c>
      <c r="OKY28" s="160">
        <f t="shared" ref="OKY28" si="5222">OKW28*$C$28</f>
        <v>9.3928340454055566E+26</v>
      </c>
      <c r="OLA28" s="160">
        <f t="shared" ref="OLA28" si="5223">OKY28*$C$28</f>
        <v>9.4867623858596123E+26</v>
      </c>
      <c r="OLC28" s="160">
        <f t="shared" ref="OLC28" si="5224">OLA28*$C$28</f>
        <v>9.5816300097182082E+26</v>
      </c>
      <c r="OLE28" s="160">
        <f t="shared" ref="OLE28" si="5225">OLC28*$C$28</f>
        <v>9.6774463098153908E+26</v>
      </c>
      <c r="OLG28" s="160">
        <f t="shared" ref="OLG28" si="5226">OLE28*$C$28</f>
        <v>9.7742207729135453E+26</v>
      </c>
      <c r="OLI28" s="160">
        <f t="shared" ref="OLI28" si="5227">OLG28*$C$28</f>
        <v>9.8719629806426806E+26</v>
      </c>
      <c r="OLK28" s="160">
        <f t="shared" ref="OLK28" si="5228">OLI28*$C$28</f>
        <v>9.9706826104491073E+26</v>
      </c>
      <c r="OLM28" s="160">
        <f t="shared" ref="OLM28" si="5229">OLK28*$C$28</f>
        <v>1.0070389436553599E+27</v>
      </c>
      <c r="OLO28" s="160">
        <f t="shared" ref="OLO28" si="5230">OLM28*$C$28</f>
        <v>1.0171093330919136E+27</v>
      </c>
      <c r="OLQ28" s="160">
        <f t="shared" ref="OLQ28" si="5231">OLO28*$C$28</f>
        <v>1.0272804264228327E+27</v>
      </c>
      <c r="OLS28" s="160">
        <f t="shared" ref="OLS28" si="5232">OLQ28*$C$28</f>
        <v>1.037553230687061E+27</v>
      </c>
      <c r="OLU28" s="160">
        <f t="shared" ref="OLU28" si="5233">OLS28*$C$28</f>
        <v>1.0479287629939316E+27</v>
      </c>
      <c r="OLW28" s="160">
        <f t="shared" ref="OLW28" si="5234">OLU28*$C$28</f>
        <v>1.0584080506238708E+27</v>
      </c>
      <c r="OLY28" s="160">
        <f t="shared" ref="OLY28" si="5235">OLW28*$C$28</f>
        <v>1.0689921311301096E+27</v>
      </c>
      <c r="OMA28" s="160">
        <f t="shared" ref="OMA28" si="5236">OLY28*$C$28</f>
        <v>1.0796820524414107E+27</v>
      </c>
      <c r="OMC28" s="160">
        <f t="shared" ref="OMC28" si="5237">OMA28*$C$28</f>
        <v>1.0904788729658248E+27</v>
      </c>
      <c r="OME28" s="160">
        <f t="shared" ref="OME28" si="5238">OMC28*$C$28</f>
        <v>1.1013836616954831E+27</v>
      </c>
      <c r="OMG28" s="160">
        <f t="shared" ref="OMG28" si="5239">OME28*$C$28</f>
        <v>1.112397498312438E+27</v>
      </c>
      <c r="OMI28" s="160">
        <f t="shared" ref="OMI28" si="5240">OMG28*$C$28</f>
        <v>1.1235214732955624E+27</v>
      </c>
      <c r="OMK28" s="160">
        <f t="shared" ref="OMK28" si="5241">OMI28*$C$28</f>
        <v>1.134756688028518E+27</v>
      </c>
      <c r="OMM28" s="160">
        <f t="shared" ref="OMM28" si="5242">OMK28*$C$28</f>
        <v>1.1461042549088032E+27</v>
      </c>
      <c r="OMO28" s="160">
        <f t="shared" ref="OMO28" si="5243">OMM28*$C$28</f>
        <v>1.1575652974578912E+27</v>
      </c>
      <c r="OMQ28" s="160">
        <f t="shared" ref="OMQ28" si="5244">OMO28*$C$28</f>
        <v>1.1691409504324702E+27</v>
      </c>
      <c r="OMS28" s="160">
        <f t="shared" ref="OMS28" si="5245">OMQ28*$C$28</f>
        <v>1.1808323599367949E+27</v>
      </c>
      <c r="OMU28" s="160">
        <f t="shared" ref="OMU28" si="5246">OMS28*$C$28</f>
        <v>1.1926406835361629E+27</v>
      </c>
      <c r="OMW28" s="160">
        <f t="shared" ref="OMW28" si="5247">OMU28*$C$28</f>
        <v>1.2045670903715246E+27</v>
      </c>
      <c r="OMY28" s="160">
        <f t="shared" ref="OMY28" si="5248">OMW28*$C$28</f>
        <v>1.2166127612752398E+27</v>
      </c>
      <c r="ONA28" s="160">
        <f t="shared" ref="ONA28" si="5249">OMY28*$C$28</f>
        <v>1.2287788888879922E+27</v>
      </c>
      <c r="ONC28" s="160">
        <f t="shared" ref="ONC28" si="5250">ONA28*$C$28</f>
        <v>1.2410666777768722E+27</v>
      </c>
      <c r="ONE28" s="160">
        <f t="shared" ref="ONE28" si="5251">ONC28*$C$28</f>
        <v>1.253477344554641E+27</v>
      </c>
      <c r="ONG28" s="160">
        <f t="shared" ref="ONG28" si="5252">ONE28*$C$28</f>
        <v>1.2660121180001875E+27</v>
      </c>
      <c r="ONI28" s="160">
        <f t="shared" ref="ONI28" si="5253">ONG28*$C$28</f>
        <v>1.2786722391801894E+27</v>
      </c>
      <c r="ONK28" s="160">
        <f t="shared" ref="ONK28" si="5254">ONI28*$C$28</f>
        <v>1.2914589615719912E+27</v>
      </c>
      <c r="ONM28" s="160">
        <f t="shared" ref="ONM28" si="5255">ONK28*$C$28</f>
        <v>1.3043735511877112E+27</v>
      </c>
      <c r="ONO28" s="160">
        <f t="shared" ref="ONO28" si="5256">ONM28*$C$28</f>
        <v>1.3174172866995885E+27</v>
      </c>
      <c r="ONQ28" s="160">
        <f t="shared" ref="ONQ28" si="5257">ONO28*$C$28</f>
        <v>1.3305914595665844E+27</v>
      </c>
      <c r="ONS28" s="160">
        <f t="shared" ref="ONS28" si="5258">ONQ28*$C$28</f>
        <v>1.3438973741622504E+27</v>
      </c>
      <c r="ONU28" s="160">
        <f t="shared" ref="ONU28" si="5259">ONS28*$C$28</f>
        <v>1.357336347903873E+27</v>
      </c>
      <c r="ONW28" s="160">
        <f t="shared" ref="ONW28" si="5260">ONU28*$C$28</f>
        <v>1.3709097113829118E+27</v>
      </c>
      <c r="ONY28" s="160">
        <f t="shared" ref="ONY28" si="5261">ONW28*$C$28</f>
        <v>1.3846188084967411E+27</v>
      </c>
      <c r="OOA28" s="160">
        <f t="shared" ref="OOA28" si="5262">ONY28*$C$28</f>
        <v>1.3984649965817084E+27</v>
      </c>
      <c r="OOC28" s="160">
        <f t="shared" ref="OOC28" si="5263">OOA28*$C$28</f>
        <v>1.4124496465475254E+27</v>
      </c>
      <c r="OOE28" s="160">
        <f t="shared" ref="OOE28" si="5264">OOC28*$C$28</f>
        <v>1.4265741430130007E+27</v>
      </c>
      <c r="OOG28" s="160">
        <f t="shared" ref="OOG28" si="5265">OOE28*$C$28</f>
        <v>1.4408398844431307E+27</v>
      </c>
      <c r="OOI28" s="160">
        <f t="shared" ref="OOI28" si="5266">OOG28*$C$28</f>
        <v>1.455248283287562E+27</v>
      </c>
      <c r="OOK28" s="160">
        <f t="shared" ref="OOK28" si="5267">OOI28*$C$28</f>
        <v>1.4698007661204378E+27</v>
      </c>
      <c r="OOM28" s="160">
        <f t="shared" ref="OOM28" si="5268">OOK28*$C$28</f>
        <v>1.4844987737816421E+27</v>
      </c>
      <c r="OOO28" s="160">
        <f t="shared" ref="OOO28" si="5269">OOM28*$C$28</f>
        <v>1.4993437615194587E+27</v>
      </c>
      <c r="OOQ28" s="160">
        <f t="shared" ref="OOQ28" si="5270">OOO28*$C$28</f>
        <v>1.5143371991346534E+27</v>
      </c>
      <c r="OOS28" s="160">
        <f t="shared" ref="OOS28" si="5271">OOQ28*$C$28</f>
        <v>1.5294805711259999E+27</v>
      </c>
      <c r="OOU28" s="160">
        <f t="shared" ref="OOU28" si="5272">OOS28*$C$28</f>
        <v>1.5447753768372599E+27</v>
      </c>
      <c r="OOW28" s="160">
        <f t="shared" ref="OOW28" si="5273">OOU28*$C$28</f>
        <v>1.5602231306056326E+27</v>
      </c>
      <c r="OOY28" s="160">
        <f t="shared" ref="OOY28" si="5274">OOW28*$C$28</f>
        <v>1.5758253619116889E+27</v>
      </c>
      <c r="OPA28" s="160">
        <f t="shared" ref="OPA28" si="5275">OOY28*$C$28</f>
        <v>1.591583615530806E+27</v>
      </c>
      <c r="OPC28" s="160">
        <f t="shared" ref="OPC28" si="5276">OPA28*$C$28</f>
        <v>1.6074994516861141E+27</v>
      </c>
      <c r="OPE28" s="160">
        <f t="shared" ref="OPE28" si="5277">OPC28*$C$28</f>
        <v>1.6235744462029751E+27</v>
      </c>
      <c r="OPG28" s="160">
        <f t="shared" ref="OPG28" si="5278">OPE28*$C$28</f>
        <v>1.6398101906650049E+27</v>
      </c>
      <c r="OPI28" s="160">
        <f t="shared" ref="OPI28" si="5279">OPG28*$C$28</f>
        <v>1.656208292571655E+27</v>
      </c>
      <c r="OPK28" s="160">
        <f t="shared" ref="OPK28" si="5280">OPI28*$C$28</f>
        <v>1.6727703754973714E+27</v>
      </c>
      <c r="OPM28" s="160">
        <f t="shared" ref="OPM28" si="5281">OPK28*$C$28</f>
        <v>1.6894980792523452E+27</v>
      </c>
      <c r="OPO28" s="160">
        <f t="shared" ref="OPO28" si="5282">OPM28*$C$28</f>
        <v>1.7063930600448687E+27</v>
      </c>
      <c r="OPQ28" s="160">
        <f t="shared" ref="OPQ28" si="5283">OPO28*$C$28</f>
        <v>1.7234569906453173E+27</v>
      </c>
      <c r="OPS28" s="160">
        <f t="shared" ref="OPS28" si="5284">OPQ28*$C$28</f>
        <v>1.7406915605517704E+27</v>
      </c>
      <c r="OPU28" s="160">
        <f t="shared" ref="OPU28" si="5285">OPS28*$C$28</f>
        <v>1.758098476157288E+27</v>
      </c>
      <c r="OPW28" s="160">
        <f t="shared" ref="OPW28" si="5286">OPU28*$C$28</f>
        <v>1.775679460918861E+27</v>
      </c>
      <c r="OPY28" s="160">
        <f t="shared" ref="OPY28" si="5287">OPW28*$C$28</f>
        <v>1.7934362555280498E+27</v>
      </c>
      <c r="OQA28" s="160">
        <f t="shared" ref="OQA28" si="5288">OPY28*$C$28</f>
        <v>1.8113706180833304E+27</v>
      </c>
      <c r="OQC28" s="160">
        <f t="shared" ref="OQC28" si="5289">OQA28*$C$28</f>
        <v>1.8294843242641638E+27</v>
      </c>
      <c r="OQE28" s="160">
        <f t="shared" ref="OQE28" si="5290">OQC28*$C$28</f>
        <v>1.8477791675068053E+27</v>
      </c>
      <c r="OQG28" s="160">
        <f t="shared" ref="OQG28" si="5291">OQE28*$C$28</f>
        <v>1.8662569591818733E+27</v>
      </c>
      <c r="OQI28" s="160">
        <f t="shared" ref="OQI28" si="5292">OQG28*$C$28</f>
        <v>1.8849195287736921E+27</v>
      </c>
      <c r="OQK28" s="160">
        <f t="shared" ref="OQK28" si="5293">OQI28*$C$28</f>
        <v>1.903768724061429E+27</v>
      </c>
      <c r="OQM28" s="160">
        <f t="shared" ref="OQM28" si="5294">OQK28*$C$28</f>
        <v>1.9228064113020433E+27</v>
      </c>
      <c r="OQO28" s="160">
        <f t="shared" ref="OQO28" si="5295">OQM28*$C$28</f>
        <v>1.9420344754150637E+27</v>
      </c>
      <c r="OQQ28" s="160">
        <f t="shared" ref="OQQ28" si="5296">OQO28*$C$28</f>
        <v>1.9614548201692144E+27</v>
      </c>
      <c r="OQS28" s="160">
        <f t="shared" ref="OQS28" si="5297">OQQ28*$C$28</f>
        <v>1.9810693683709066E+27</v>
      </c>
      <c r="OQU28" s="160">
        <f t="shared" ref="OQU28" si="5298">OQS28*$C$28</f>
        <v>2.0008800620546156E+27</v>
      </c>
      <c r="OQW28" s="160">
        <f t="shared" ref="OQW28" si="5299">OQU28*$C$28</f>
        <v>2.0208888626751616E+27</v>
      </c>
      <c r="OQY28" s="160">
        <f t="shared" ref="OQY28" si="5300">OQW28*$C$28</f>
        <v>2.0410977513019132E+27</v>
      </c>
      <c r="ORA28" s="160">
        <f t="shared" ref="ORA28" si="5301">OQY28*$C$28</f>
        <v>2.0615087288149323E+27</v>
      </c>
      <c r="ORC28" s="160">
        <f t="shared" ref="ORC28" si="5302">ORA28*$C$28</f>
        <v>2.0821238161030816E+27</v>
      </c>
      <c r="ORE28" s="160">
        <f t="shared" ref="ORE28" si="5303">ORC28*$C$28</f>
        <v>2.1029450542641123E+27</v>
      </c>
      <c r="ORG28" s="160">
        <f t="shared" ref="ORG28" si="5304">ORE28*$C$28</f>
        <v>2.1239745048067535E+27</v>
      </c>
      <c r="ORI28" s="160">
        <f t="shared" ref="ORI28" si="5305">ORG28*$C$28</f>
        <v>2.1452142498548211E+27</v>
      </c>
      <c r="ORK28" s="160">
        <f t="shared" ref="ORK28" si="5306">ORI28*$C$28</f>
        <v>2.1666663923533694E+27</v>
      </c>
      <c r="ORM28" s="160">
        <f t="shared" ref="ORM28" si="5307">ORK28*$C$28</f>
        <v>2.188333056276903E+27</v>
      </c>
      <c r="ORO28" s="160">
        <f t="shared" ref="ORO28" si="5308">ORM28*$C$28</f>
        <v>2.210216386839672E+27</v>
      </c>
      <c r="ORQ28" s="160">
        <f t="shared" ref="ORQ28" si="5309">ORO28*$C$28</f>
        <v>2.2323185507080689E+27</v>
      </c>
      <c r="ORS28" s="160">
        <f t="shared" ref="ORS28" si="5310">ORQ28*$C$28</f>
        <v>2.2546417362151495E+27</v>
      </c>
      <c r="ORU28" s="160">
        <f t="shared" ref="ORU28" si="5311">ORS28*$C$28</f>
        <v>2.277188153577301E+27</v>
      </c>
      <c r="ORW28" s="160">
        <f t="shared" ref="ORW28" si="5312">ORU28*$C$28</f>
        <v>2.2999600351130739E+27</v>
      </c>
      <c r="ORY28" s="160">
        <f t="shared" ref="ORY28" si="5313">ORW28*$C$28</f>
        <v>2.3229596354642048E+27</v>
      </c>
      <c r="OSA28" s="160">
        <f t="shared" ref="OSA28" si="5314">ORY28*$C$28</f>
        <v>2.3461892318188469E+27</v>
      </c>
      <c r="OSC28" s="160">
        <f t="shared" ref="OSC28" si="5315">OSA28*$C$28</f>
        <v>2.3696511241370355E+27</v>
      </c>
      <c r="OSE28" s="160">
        <f t="shared" ref="OSE28" si="5316">OSC28*$C$28</f>
        <v>2.3933476353784059E+27</v>
      </c>
      <c r="OSG28" s="160">
        <f t="shared" ref="OSG28" si="5317">OSE28*$C$28</f>
        <v>2.4172811117321899E+27</v>
      </c>
      <c r="OSI28" s="160">
        <f t="shared" ref="OSI28" si="5318">OSG28*$C$28</f>
        <v>2.4414539228495118E+27</v>
      </c>
      <c r="OSK28" s="160">
        <f t="shared" ref="OSK28" si="5319">OSI28*$C$28</f>
        <v>2.4658684620780071E+27</v>
      </c>
      <c r="OSM28" s="160">
        <f t="shared" ref="OSM28" si="5320">OSK28*$C$28</f>
        <v>2.4905271466987874E+27</v>
      </c>
      <c r="OSO28" s="160">
        <f t="shared" ref="OSO28" si="5321">OSM28*$C$28</f>
        <v>2.5154324181657753E+27</v>
      </c>
      <c r="OSQ28" s="160">
        <f t="shared" ref="OSQ28" si="5322">OSO28*$C$28</f>
        <v>2.5405867423474332E+27</v>
      </c>
      <c r="OSS28" s="160">
        <f t="shared" ref="OSS28" si="5323">OSQ28*$C$28</f>
        <v>2.5659926097709077E+27</v>
      </c>
      <c r="OSU28" s="160">
        <f t="shared" ref="OSU28" si="5324">OSS28*$C$28</f>
        <v>2.591652535868617E+27</v>
      </c>
      <c r="OSW28" s="160">
        <f t="shared" ref="OSW28" si="5325">OSU28*$C$28</f>
        <v>2.6175690612273034E+27</v>
      </c>
      <c r="OSY28" s="160">
        <f t="shared" ref="OSY28" si="5326">OSW28*$C$28</f>
        <v>2.6437447518395762E+27</v>
      </c>
      <c r="OTA28" s="160">
        <f t="shared" ref="OTA28" si="5327">OSY28*$C$28</f>
        <v>2.6701821993579722E+27</v>
      </c>
      <c r="OTC28" s="160">
        <f t="shared" ref="OTC28" si="5328">OTA28*$C$28</f>
        <v>2.6968840213515518E+27</v>
      </c>
      <c r="OTE28" s="160">
        <f t="shared" ref="OTE28" si="5329">OTC28*$C$28</f>
        <v>2.7238528615650672E+27</v>
      </c>
      <c r="OTG28" s="160">
        <f t="shared" ref="OTG28" si="5330">OTE28*$C$28</f>
        <v>2.7510913901807178E+27</v>
      </c>
      <c r="OTI28" s="160">
        <f t="shared" ref="OTI28" si="5331">OTG28*$C$28</f>
        <v>2.7786023040825252E+27</v>
      </c>
      <c r="OTK28" s="160">
        <f t="shared" ref="OTK28" si="5332">OTI28*$C$28</f>
        <v>2.8063883271233503E+27</v>
      </c>
      <c r="OTM28" s="160">
        <f t="shared" ref="OTM28" si="5333">OTK28*$C$28</f>
        <v>2.8344522103945841E+27</v>
      </c>
      <c r="OTO28" s="160">
        <f t="shared" ref="OTO28" si="5334">OTM28*$C$28</f>
        <v>2.86279673249853E+27</v>
      </c>
      <c r="OTQ28" s="160">
        <f t="shared" ref="OTQ28" si="5335">OTO28*$C$28</f>
        <v>2.8914246998235152E+27</v>
      </c>
      <c r="OTS28" s="160">
        <f t="shared" ref="OTS28" si="5336">OTQ28*$C$28</f>
        <v>2.9203389468217502E+27</v>
      </c>
      <c r="OTU28" s="160">
        <f t="shared" ref="OTU28" si="5337">OTS28*$C$28</f>
        <v>2.9495423362899675E+27</v>
      </c>
      <c r="OTW28" s="160">
        <f t="shared" ref="OTW28" si="5338">OTU28*$C$28</f>
        <v>2.979037759652867E+27</v>
      </c>
      <c r="OTY28" s="160">
        <f t="shared" ref="OTY28" si="5339">OTW28*$C$28</f>
        <v>3.0088281372493959E+27</v>
      </c>
      <c r="OUA28" s="160">
        <f t="shared" ref="OUA28" si="5340">OTY28*$C$28</f>
        <v>3.03891641862189E+27</v>
      </c>
      <c r="OUC28" s="160">
        <f t="shared" ref="OUC28" si="5341">OUA28*$C$28</f>
        <v>3.0693055828081087E+27</v>
      </c>
      <c r="OUE28" s="160">
        <f t="shared" ref="OUE28" si="5342">OUC28*$C$28</f>
        <v>3.0999986386361898E+27</v>
      </c>
      <c r="OUG28" s="160">
        <f t="shared" ref="OUG28" si="5343">OUE28*$C$28</f>
        <v>3.1309986250225517E+27</v>
      </c>
      <c r="OUI28" s="160">
        <f t="shared" ref="OUI28" si="5344">OUG28*$C$28</f>
        <v>3.1623086112727774E+27</v>
      </c>
      <c r="OUK28" s="160">
        <f t="shared" ref="OUK28" si="5345">OUI28*$C$28</f>
        <v>3.1939316973855052E+27</v>
      </c>
      <c r="OUM28" s="160">
        <f t="shared" ref="OUM28" si="5346">OUK28*$C$28</f>
        <v>3.2258710143593604E+27</v>
      </c>
      <c r="OUO28" s="160">
        <f t="shared" ref="OUO28" si="5347">OUM28*$C$28</f>
        <v>3.258129724502954E+27</v>
      </c>
      <c r="OUQ28" s="160">
        <f t="shared" ref="OUQ28" si="5348">OUO28*$C$28</f>
        <v>3.2907110217479838E+27</v>
      </c>
      <c r="OUS28" s="160">
        <f t="shared" ref="OUS28" si="5349">OUQ28*$C$28</f>
        <v>3.3236181319654634E+27</v>
      </c>
      <c r="OUU28" s="160">
        <f t="shared" ref="OUU28" si="5350">OUS28*$C$28</f>
        <v>3.3568543132851183E+27</v>
      </c>
      <c r="OUW28" s="160">
        <f t="shared" ref="OUW28" si="5351">OUU28*$C$28</f>
        <v>3.3904228564179693E+27</v>
      </c>
      <c r="OUY28" s="160">
        <f t="shared" ref="OUY28" si="5352">OUW28*$C$28</f>
        <v>3.4243270849821492E+27</v>
      </c>
      <c r="OVA28" s="160">
        <f t="shared" ref="OVA28" si="5353">OUY28*$C$28</f>
        <v>3.4585703558319707E+27</v>
      </c>
      <c r="OVC28" s="160">
        <f t="shared" ref="OVC28" si="5354">OVA28*$C$28</f>
        <v>3.4931560593902905E+27</v>
      </c>
      <c r="OVE28" s="160">
        <f t="shared" ref="OVE28" si="5355">OVC28*$C$28</f>
        <v>3.5280876199841932E+27</v>
      </c>
      <c r="OVG28" s="160">
        <f t="shared" ref="OVG28" si="5356">OVE28*$C$28</f>
        <v>3.5633684961840353E+27</v>
      </c>
      <c r="OVI28" s="160">
        <f t="shared" ref="OVI28" si="5357">OVG28*$C$28</f>
        <v>3.5990021811458757E+27</v>
      </c>
      <c r="OVK28" s="160">
        <f t="shared" ref="OVK28" si="5358">OVI28*$C$28</f>
        <v>3.6349922029573346E+27</v>
      </c>
      <c r="OVM28" s="160">
        <f t="shared" ref="OVM28" si="5359">OVK28*$C$28</f>
        <v>3.671342124986908E+27</v>
      </c>
      <c r="OVO28" s="160">
        <f t="shared" ref="OVO28" si="5360">OVM28*$C$28</f>
        <v>3.708055546236777E+27</v>
      </c>
      <c r="OVQ28" s="160">
        <f t="shared" ref="OVQ28" si="5361">OVO28*$C$28</f>
        <v>3.7451361016991445E+27</v>
      </c>
      <c r="OVS28" s="160">
        <f t="shared" ref="OVS28" si="5362">OVQ28*$C$28</f>
        <v>3.7825874627161361E+27</v>
      </c>
      <c r="OVU28" s="160">
        <f t="shared" ref="OVU28" si="5363">OVS28*$C$28</f>
        <v>3.8204133373432977E+27</v>
      </c>
      <c r="OVW28" s="160">
        <f t="shared" ref="OVW28" si="5364">OVU28*$C$28</f>
        <v>3.8586174707167305E+27</v>
      </c>
      <c r="OVY28" s="160">
        <f t="shared" ref="OVY28" si="5365">OVW28*$C$28</f>
        <v>3.8972036454238981E+27</v>
      </c>
      <c r="OWA28" s="160">
        <f t="shared" ref="OWA28" si="5366">OVY28*$C$28</f>
        <v>3.9361756818781374E+27</v>
      </c>
      <c r="OWC28" s="160">
        <f t="shared" ref="OWC28" si="5367">OWA28*$C$28</f>
        <v>3.9755374386969186E+27</v>
      </c>
      <c r="OWE28" s="160">
        <f t="shared" ref="OWE28" si="5368">OWC28*$C$28</f>
        <v>4.0152928130838877E+27</v>
      </c>
      <c r="OWG28" s="160">
        <f t="shared" ref="OWG28" si="5369">OWE28*$C$28</f>
        <v>4.0554457412147264E+27</v>
      </c>
      <c r="OWI28" s="160">
        <f t="shared" ref="OWI28" si="5370">OWG28*$C$28</f>
        <v>4.0960001986268739E+27</v>
      </c>
      <c r="OWK28" s="160">
        <f t="shared" ref="OWK28" si="5371">OWI28*$C$28</f>
        <v>4.1369602006131426E+27</v>
      </c>
      <c r="OWM28" s="160">
        <f t="shared" ref="OWM28" si="5372">OWK28*$C$28</f>
        <v>4.1783298026192743E+27</v>
      </c>
      <c r="OWO28" s="160">
        <f t="shared" ref="OWO28" si="5373">OWM28*$C$28</f>
        <v>4.220113100645467E+27</v>
      </c>
      <c r="OWQ28" s="160">
        <f t="shared" ref="OWQ28" si="5374">OWO28*$C$28</f>
        <v>4.2623142316519219E+27</v>
      </c>
      <c r="OWS28" s="160">
        <f t="shared" ref="OWS28" si="5375">OWQ28*$C$28</f>
        <v>4.3049373739684415E+27</v>
      </c>
      <c r="OWU28" s="160">
        <f t="shared" ref="OWU28" si="5376">OWS28*$C$28</f>
        <v>4.3479867477081258E+27</v>
      </c>
      <c r="OWW28" s="160">
        <f t="shared" ref="OWW28" si="5377">OWU28*$C$28</f>
        <v>4.3914666151852071E+27</v>
      </c>
      <c r="OWY28" s="160">
        <f t="shared" ref="OWY28" si="5378">OWW28*$C$28</f>
        <v>4.4353812813370592E+27</v>
      </c>
      <c r="OXA28" s="160">
        <f t="shared" ref="OXA28" si="5379">OWY28*$C$28</f>
        <v>4.4797350941504301E+27</v>
      </c>
      <c r="OXC28" s="160">
        <f t="shared" ref="OXC28" si="5380">OXA28*$C$28</f>
        <v>4.5245324450919342E+27</v>
      </c>
      <c r="OXE28" s="160">
        <f t="shared" ref="OXE28" si="5381">OXC28*$C$28</f>
        <v>4.5697777695428538E+27</v>
      </c>
      <c r="OXG28" s="160">
        <f t="shared" ref="OXG28" si="5382">OXE28*$C$28</f>
        <v>4.6154755472382825E+27</v>
      </c>
      <c r="OXI28" s="160">
        <f t="shared" ref="OXI28" si="5383">OXG28*$C$28</f>
        <v>4.6616303027106656E+27</v>
      </c>
      <c r="OXK28" s="160">
        <f t="shared" ref="OXK28" si="5384">OXI28*$C$28</f>
        <v>4.7082466057377725E+27</v>
      </c>
      <c r="OXM28" s="160">
        <f t="shared" ref="OXM28" si="5385">OXK28*$C$28</f>
        <v>4.7553290717951504E+27</v>
      </c>
      <c r="OXO28" s="160">
        <f t="shared" ref="OXO28" si="5386">OXM28*$C$28</f>
        <v>4.8028823625131018E+27</v>
      </c>
      <c r="OXQ28" s="160">
        <f t="shared" ref="OXQ28" si="5387">OXO28*$C$28</f>
        <v>4.8509111861382327E+27</v>
      </c>
      <c r="OXS28" s="160">
        <f t="shared" ref="OXS28" si="5388">OXQ28*$C$28</f>
        <v>4.899420297999615E+27</v>
      </c>
      <c r="OXU28" s="160">
        <f t="shared" ref="OXU28" si="5389">OXS28*$C$28</f>
        <v>4.9484145009796112E+27</v>
      </c>
      <c r="OXW28" s="160">
        <f t="shared" ref="OXW28" si="5390">OXU28*$C$28</f>
        <v>4.9978986459894075E+27</v>
      </c>
      <c r="OXY28" s="160">
        <f t="shared" ref="OXY28" si="5391">OXW28*$C$28</f>
        <v>5.047877632449302E+27</v>
      </c>
      <c r="OYA28" s="160">
        <f t="shared" ref="OYA28" si="5392">OXY28*$C$28</f>
        <v>5.0983564087737949E+27</v>
      </c>
      <c r="OYC28" s="160">
        <f t="shared" ref="OYC28" si="5393">OYA28*$C$28</f>
        <v>5.1493399728615326E+27</v>
      </c>
      <c r="OYE28" s="160">
        <f t="shared" ref="OYE28" si="5394">OYC28*$C$28</f>
        <v>5.2008333725901478E+27</v>
      </c>
      <c r="OYG28" s="160">
        <f t="shared" ref="OYG28" si="5395">OYE28*$C$28</f>
        <v>5.2528417063160496E+27</v>
      </c>
      <c r="OYI28" s="160">
        <f t="shared" ref="OYI28" si="5396">OYG28*$C$28</f>
        <v>5.3053701233792099E+27</v>
      </c>
      <c r="OYK28" s="160">
        <f t="shared" ref="OYK28" si="5397">OYI28*$C$28</f>
        <v>5.3584238246130022E+27</v>
      </c>
      <c r="OYM28" s="160">
        <f t="shared" ref="OYM28" si="5398">OYK28*$C$28</f>
        <v>5.4120080628591327E+27</v>
      </c>
      <c r="OYO28" s="160">
        <f t="shared" ref="OYO28" si="5399">OYM28*$C$28</f>
        <v>5.4661281434877246E+27</v>
      </c>
      <c r="OYQ28" s="160">
        <f t="shared" ref="OYQ28" si="5400">OYO28*$C$28</f>
        <v>5.5207894249226021E+27</v>
      </c>
      <c r="OYS28" s="160">
        <f t="shared" ref="OYS28" si="5401">OYQ28*$C$28</f>
        <v>5.5759973191718279E+27</v>
      </c>
      <c r="OYU28" s="160">
        <f t="shared" ref="OYU28" si="5402">OYS28*$C$28</f>
        <v>5.6317572923635459E+27</v>
      </c>
      <c r="OYW28" s="160">
        <f t="shared" ref="OYW28" si="5403">OYU28*$C$28</f>
        <v>5.6880748652871814E+27</v>
      </c>
      <c r="OYY28" s="160">
        <f t="shared" ref="OYY28" si="5404">OYW28*$C$28</f>
        <v>5.7449556139400537E+27</v>
      </c>
      <c r="OZA28" s="160">
        <f t="shared" ref="OZA28" si="5405">OYY28*$C$28</f>
        <v>5.802405170079454E+27</v>
      </c>
      <c r="OZC28" s="160">
        <f t="shared" ref="OZC28" si="5406">OZA28*$C$28</f>
        <v>5.8604292217802485E+27</v>
      </c>
      <c r="OZE28" s="160">
        <f t="shared" ref="OZE28" si="5407">OZC28*$C$28</f>
        <v>5.9190335139980512E+27</v>
      </c>
      <c r="OZG28" s="160">
        <f t="shared" ref="OZG28" si="5408">OZE28*$C$28</f>
        <v>5.9782238491380314E+27</v>
      </c>
      <c r="OZI28" s="160">
        <f t="shared" ref="OZI28" si="5409">OZG28*$C$28</f>
        <v>6.0380060876294117E+27</v>
      </c>
      <c r="OZK28" s="160">
        <f t="shared" ref="OZK28" si="5410">OZI28*$C$28</f>
        <v>6.0983861485057054E+27</v>
      </c>
      <c r="OZM28" s="160">
        <f t="shared" ref="OZM28" si="5411">OZK28*$C$28</f>
        <v>6.159370009990763E+27</v>
      </c>
      <c r="OZO28" s="160">
        <f t="shared" ref="OZO28" si="5412">OZM28*$C$28</f>
        <v>6.220963710090671E+27</v>
      </c>
      <c r="OZQ28" s="160">
        <f t="shared" ref="OZQ28" si="5413">OZO28*$C$28</f>
        <v>6.2831733471915774E+27</v>
      </c>
      <c r="OZS28" s="160">
        <f t="shared" ref="OZS28" si="5414">OZQ28*$C$28</f>
        <v>6.346005080663493E+27</v>
      </c>
      <c r="OZU28" s="160">
        <f t="shared" ref="OZU28" si="5415">OZS28*$C$28</f>
        <v>6.4094651314701276E+27</v>
      </c>
      <c r="OZW28" s="160">
        <f t="shared" ref="OZW28" si="5416">OZU28*$C$28</f>
        <v>6.4735597827848288E+27</v>
      </c>
      <c r="OZY28" s="160">
        <f t="shared" ref="OZY28" si="5417">OZW28*$C$28</f>
        <v>6.538295380612677E+27</v>
      </c>
      <c r="PAA28" s="160">
        <f t="shared" ref="PAA28" si="5418">OZY28*$C$28</f>
        <v>6.6036783344188033E+27</v>
      </c>
      <c r="PAC28" s="160">
        <f t="shared" ref="PAC28" si="5419">PAA28*$C$28</f>
        <v>6.6697151177629916E+27</v>
      </c>
      <c r="PAE28" s="160">
        <f t="shared" ref="PAE28" si="5420">PAC28*$C$28</f>
        <v>6.7364122689406211E+27</v>
      </c>
      <c r="PAG28" s="160">
        <f t="shared" ref="PAG28" si="5421">PAE28*$C$28</f>
        <v>6.8037763916300279E+27</v>
      </c>
      <c r="PAI28" s="160">
        <f t="shared" ref="PAI28" si="5422">PAG28*$C$28</f>
        <v>6.8718141555463277E+27</v>
      </c>
      <c r="PAK28" s="160">
        <f t="shared" ref="PAK28" si="5423">PAI28*$C$28</f>
        <v>6.940532297101791E+27</v>
      </c>
      <c r="PAM28" s="160">
        <f t="shared" ref="PAM28" si="5424">PAK28*$C$28</f>
        <v>7.0099376200728093E+27</v>
      </c>
      <c r="PAO28" s="160">
        <f t="shared" ref="PAO28" si="5425">PAM28*$C$28</f>
        <v>7.0800369962735379E+27</v>
      </c>
      <c r="PAQ28" s="160">
        <f t="shared" ref="PAQ28" si="5426">PAO28*$C$28</f>
        <v>7.1508373662362733E+27</v>
      </c>
      <c r="PAS28" s="160">
        <f t="shared" ref="PAS28" si="5427">PAQ28*$C$28</f>
        <v>7.2223457398986363E+27</v>
      </c>
      <c r="PAU28" s="160">
        <f t="shared" ref="PAU28" si="5428">PAS28*$C$28</f>
        <v>7.2945691972976228E+27</v>
      </c>
      <c r="PAW28" s="160">
        <f t="shared" ref="PAW28" si="5429">PAU28*$C$28</f>
        <v>7.3675148892705992E+27</v>
      </c>
      <c r="PAY28" s="160">
        <f t="shared" ref="PAY28" si="5430">PAW28*$C$28</f>
        <v>7.4411900381633055E+27</v>
      </c>
      <c r="PBA28" s="160">
        <f t="shared" ref="PBA28" si="5431">PAY28*$C$28</f>
        <v>7.5156019385449383E+27</v>
      </c>
      <c r="PBC28" s="160">
        <f t="shared" ref="PBC28" si="5432">PBA28*$C$28</f>
        <v>7.590757957930388E+27</v>
      </c>
      <c r="PBE28" s="160">
        <f t="shared" ref="PBE28" si="5433">PBC28*$C$28</f>
        <v>7.6666655375096921E+27</v>
      </c>
      <c r="PBG28" s="160">
        <f t="shared" ref="PBG28" si="5434">PBE28*$C$28</f>
        <v>7.7433321928847894E+27</v>
      </c>
      <c r="PBI28" s="160">
        <f t="shared" ref="PBI28" si="5435">PBG28*$C$28</f>
        <v>7.8207655148136377E+27</v>
      </c>
      <c r="PBK28" s="160">
        <f t="shared" ref="PBK28" si="5436">PBI28*$C$28</f>
        <v>7.8989731699617737E+27</v>
      </c>
      <c r="PBM28" s="160">
        <f t="shared" ref="PBM28" si="5437">PBK28*$C$28</f>
        <v>7.9779629016613921E+27</v>
      </c>
      <c r="PBO28" s="160">
        <f t="shared" ref="PBO28" si="5438">PBM28*$C$28</f>
        <v>8.0577425306780059E+27</v>
      </c>
      <c r="PBQ28" s="160">
        <f t="shared" ref="PBQ28" si="5439">PBO28*$C$28</f>
        <v>8.1383199559847856E+27</v>
      </c>
      <c r="PBS28" s="160">
        <f t="shared" ref="PBS28" si="5440">PBQ28*$C$28</f>
        <v>8.2197031555446339E+27</v>
      </c>
      <c r="PBU28" s="160">
        <f t="shared" ref="PBU28" si="5441">PBS28*$C$28</f>
        <v>8.3019001871000807E+27</v>
      </c>
      <c r="PBW28" s="160">
        <f t="shared" ref="PBW28" si="5442">PBU28*$C$28</f>
        <v>8.3849191889710814E+27</v>
      </c>
      <c r="PBY28" s="160">
        <f t="shared" ref="PBY28" si="5443">PBW28*$C$28</f>
        <v>8.4687683808607927E+27</v>
      </c>
      <c r="PCA28" s="160">
        <f t="shared" ref="PCA28" si="5444">PBY28*$C$28</f>
        <v>8.5534560646694007E+27</v>
      </c>
      <c r="PCC28" s="160">
        <f t="shared" ref="PCC28" si="5445">PCA28*$C$28</f>
        <v>8.6389906253160943E+27</v>
      </c>
      <c r="PCE28" s="160">
        <f t="shared" ref="PCE28" si="5446">PCC28*$C$28</f>
        <v>8.7253805315692554E+27</v>
      </c>
      <c r="PCG28" s="160">
        <f t="shared" ref="PCG28" si="5447">PCE28*$C$28</f>
        <v>8.812634336884948E+27</v>
      </c>
      <c r="PCI28" s="160">
        <f t="shared" ref="PCI28" si="5448">PCG28*$C$28</f>
        <v>8.9007606802537981E+27</v>
      </c>
      <c r="PCK28" s="160">
        <f t="shared" ref="PCK28" si="5449">PCI28*$C$28</f>
        <v>8.9897682870563357E+27</v>
      </c>
      <c r="PCM28" s="160">
        <f t="shared" ref="PCM28" si="5450">PCK28*$C$28</f>
        <v>9.0796659699268988E+27</v>
      </c>
      <c r="PCO28" s="160">
        <f t="shared" ref="PCO28" si="5451">PCM28*$C$28</f>
        <v>9.1704626296261681E+27</v>
      </c>
      <c r="PCQ28" s="160">
        <f t="shared" ref="PCQ28" si="5452">PCO28*$C$28</f>
        <v>9.2621672559224294E+27</v>
      </c>
      <c r="PCS28" s="160">
        <f t="shared" ref="PCS28" si="5453">PCQ28*$C$28</f>
        <v>9.3547889284816542E+27</v>
      </c>
      <c r="PCU28" s="160">
        <f t="shared" ref="PCU28" si="5454">PCS28*$C$28</f>
        <v>9.4483368177664706E+27</v>
      </c>
      <c r="PCW28" s="160">
        <f t="shared" ref="PCW28" si="5455">PCU28*$C$28</f>
        <v>9.5428201859441354E+27</v>
      </c>
      <c r="PCY28" s="160">
        <f t="shared" ref="PCY28" si="5456">PCW28*$C$28</f>
        <v>9.6382483878035763E+27</v>
      </c>
      <c r="PDA28" s="160">
        <f t="shared" ref="PDA28" si="5457">PCY28*$C$28</f>
        <v>9.7346308716816118E+27</v>
      </c>
      <c r="PDC28" s="160">
        <f t="shared" ref="PDC28" si="5458">PDA28*$C$28</f>
        <v>9.8319771803984279E+27</v>
      </c>
      <c r="PDE28" s="160">
        <f t="shared" ref="PDE28" si="5459">PDC28*$C$28</f>
        <v>9.9302969522024132E+27</v>
      </c>
      <c r="PDG28" s="160">
        <f t="shared" ref="PDG28" si="5460">PDE28*$C$28</f>
        <v>1.0029599921724438E+28</v>
      </c>
      <c r="PDI28" s="160">
        <f t="shared" ref="PDI28" si="5461">PDG28*$C$28</f>
        <v>1.0129895920941683E+28</v>
      </c>
      <c r="PDK28" s="160">
        <f t="shared" ref="PDK28" si="5462">PDI28*$C$28</f>
        <v>1.0231194880151099E+28</v>
      </c>
      <c r="PDM28" s="160">
        <f t="shared" ref="PDM28" si="5463">PDK28*$C$28</f>
        <v>1.0333506828952611E+28</v>
      </c>
      <c r="PDO28" s="160">
        <f t="shared" ref="PDO28" si="5464">PDM28*$C$28</f>
        <v>1.0436841897242137E+28</v>
      </c>
      <c r="PDQ28" s="160">
        <f t="shared" ref="PDQ28" si="5465">PDO28*$C$28</f>
        <v>1.0541210316214558E+28</v>
      </c>
      <c r="PDS28" s="160">
        <f t="shared" ref="PDS28" si="5466">PDQ28*$C$28</f>
        <v>1.0646622419376703E+28</v>
      </c>
      <c r="PDU28" s="160">
        <f t="shared" ref="PDU28" si="5467">PDS28*$C$28</f>
        <v>1.075308864357047E+28</v>
      </c>
      <c r="PDW28" s="160">
        <f t="shared" ref="PDW28" si="5468">PDU28*$C$28</f>
        <v>1.0860619530006175E+28</v>
      </c>
      <c r="PDY28" s="160">
        <f t="shared" ref="PDY28" si="5469">PDW28*$C$28</f>
        <v>1.0969225725306236E+28</v>
      </c>
      <c r="PEA28" s="160">
        <f t="shared" ref="PEA28" si="5470">PDY28*$C$28</f>
        <v>1.10789179825593E+28</v>
      </c>
      <c r="PEC28" s="160">
        <f t="shared" ref="PEC28" si="5471">PEA28*$C$28</f>
        <v>1.1189707162384894E+28</v>
      </c>
      <c r="PEE28" s="160">
        <f t="shared" ref="PEE28" si="5472">PEC28*$C$28</f>
        <v>1.1301604234008742E+28</v>
      </c>
      <c r="PEG28" s="160">
        <f t="shared" ref="PEG28" si="5473">PEE28*$C$28</f>
        <v>1.1414620276348829E+28</v>
      </c>
      <c r="PEI28" s="160">
        <f t="shared" ref="PEI28" si="5474">PEG28*$C$28</f>
        <v>1.1528766479112318E+28</v>
      </c>
      <c r="PEK28" s="160">
        <f t="shared" ref="PEK28" si="5475">PEI28*$C$28</f>
        <v>1.1644054143903442E+28</v>
      </c>
      <c r="PEM28" s="160">
        <f t="shared" ref="PEM28" si="5476">PEK28*$C$28</f>
        <v>1.1760494685342475E+28</v>
      </c>
      <c r="PEO28" s="160">
        <f t="shared" ref="PEO28" si="5477">PEM28*$C$28</f>
        <v>1.1878099632195899E+28</v>
      </c>
      <c r="PEQ28" s="160">
        <f t="shared" ref="PEQ28" si="5478">PEO28*$C$28</f>
        <v>1.1996880628517859E+28</v>
      </c>
      <c r="PES28" s="160">
        <f t="shared" ref="PES28" si="5479">PEQ28*$C$28</f>
        <v>1.2116849434803037E+28</v>
      </c>
      <c r="PEU28" s="160">
        <f t="shared" ref="PEU28" si="5480">PES28*$C$28</f>
        <v>1.2238017929151066E+28</v>
      </c>
      <c r="PEW28" s="160">
        <f t="shared" ref="PEW28" si="5481">PEU28*$C$28</f>
        <v>1.2360398108442577E+28</v>
      </c>
      <c r="PEY28" s="160">
        <f t="shared" ref="PEY28" si="5482">PEW28*$C$28</f>
        <v>1.2484002089527002E+28</v>
      </c>
      <c r="PFA28" s="160">
        <f t="shared" ref="PFA28" si="5483">PEY28*$C$28</f>
        <v>1.2608842110422273E+28</v>
      </c>
      <c r="PFC28" s="160">
        <f t="shared" ref="PFC28" si="5484">PFA28*$C$28</f>
        <v>1.2734930531526495E+28</v>
      </c>
      <c r="PFE28" s="160">
        <f t="shared" ref="PFE28" si="5485">PFC28*$C$28</f>
        <v>1.2862279836841759E+28</v>
      </c>
      <c r="PFG28" s="160">
        <f t="shared" ref="PFG28" si="5486">PFE28*$C$28</f>
        <v>1.2990902635210178E+28</v>
      </c>
      <c r="PFI28" s="160">
        <f t="shared" ref="PFI28" si="5487">PFG28*$C$28</f>
        <v>1.3120811661562279E+28</v>
      </c>
      <c r="PFK28" s="160">
        <f t="shared" ref="PFK28" si="5488">PFI28*$C$28</f>
        <v>1.3252019778177902E+28</v>
      </c>
      <c r="PFM28" s="160">
        <f t="shared" ref="PFM28" si="5489">PFK28*$C$28</f>
        <v>1.3384539975959681E+28</v>
      </c>
      <c r="PFO28" s="160">
        <f t="shared" ref="PFO28" si="5490">PFM28*$C$28</f>
        <v>1.3518385375719277E+28</v>
      </c>
      <c r="PFQ28" s="160">
        <f t="shared" ref="PFQ28" si="5491">PFO28*$C$28</f>
        <v>1.365356922947647E+28</v>
      </c>
      <c r="PFS28" s="160">
        <f t="shared" ref="PFS28" si="5492">PFQ28*$C$28</f>
        <v>1.3790104921771236E+28</v>
      </c>
      <c r="PFU28" s="160">
        <f t="shared" ref="PFU28" si="5493">PFS28*$C$28</f>
        <v>1.3928005970988949E+28</v>
      </c>
      <c r="PFW28" s="160">
        <f t="shared" ref="PFW28" si="5494">PFU28*$C$28</f>
        <v>1.4067286030698839E+28</v>
      </c>
      <c r="PFY28" s="160">
        <f t="shared" ref="PFY28" si="5495">PFW28*$C$28</f>
        <v>1.4207958891005828E+28</v>
      </c>
      <c r="PGA28" s="160">
        <f t="shared" ref="PGA28" si="5496">PFY28*$C$28</f>
        <v>1.4350038479915887E+28</v>
      </c>
      <c r="PGC28" s="160">
        <f t="shared" ref="PGC28" si="5497">PGA28*$C$28</f>
        <v>1.4493538864715046E+28</v>
      </c>
      <c r="PGE28" s="160">
        <f t="shared" ref="PGE28" si="5498">PGC28*$C$28</f>
        <v>1.4638474253362197E+28</v>
      </c>
      <c r="PGG28" s="160">
        <f t="shared" ref="PGG28" si="5499">PGE28*$C$28</f>
        <v>1.478485899589582E+28</v>
      </c>
      <c r="PGI28" s="160">
        <f t="shared" ref="PGI28" si="5500">PGG28*$C$28</f>
        <v>1.4932707585854777E+28</v>
      </c>
      <c r="PGK28" s="160">
        <f t="shared" ref="PGK28" si="5501">PGI28*$C$28</f>
        <v>1.5082034661713326E+28</v>
      </c>
      <c r="PGM28" s="160">
        <f t="shared" ref="PGM28" si="5502">PGK28*$C$28</f>
        <v>1.523285500833046E+28</v>
      </c>
      <c r="PGO28" s="160">
        <f t="shared" ref="PGO28" si="5503">PGM28*$C$28</f>
        <v>1.5385183558413765E+28</v>
      </c>
      <c r="PGQ28" s="160">
        <f t="shared" ref="PGQ28" si="5504">PGO28*$C$28</f>
        <v>1.5539035393997902E+28</v>
      </c>
      <c r="PGS28" s="160">
        <f t="shared" ref="PGS28" si="5505">PGQ28*$C$28</f>
        <v>1.5694425747937882E+28</v>
      </c>
      <c r="PGU28" s="160">
        <f t="shared" ref="PGU28" si="5506">PGS28*$C$28</f>
        <v>1.5851370005417261E+28</v>
      </c>
      <c r="PGW28" s="160">
        <f t="shared" ref="PGW28" si="5507">PGU28*$C$28</f>
        <v>1.6009883705471435E+28</v>
      </c>
      <c r="PGY28" s="160">
        <f t="shared" ref="PGY28" si="5508">PGW28*$C$28</f>
        <v>1.6169982542526149E+28</v>
      </c>
      <c r="PHA28" s="160">
        <f t="shared" ref="PHA28" si="5509">PGY28*$C$28</f>
        <v>1.633168236795141E+28</v>
      </c>
      <c r="PHC28" s="160">
        <f t="shared" ref="PHC28" si="5510">PHA28*$C$28</f>
        <v>1.6494999191630924E+28</v>
      </c>
      <c r="PHE28" s="160">
        <f t="shared" ref="PHE28" si="5511">PHC28*$C$28</f>
        <v>1.6659949183547233E+28</v>
      </c>
      <c r="PHG28" s="160">
        <f t="shared" ref="PHG28" si="5512">PHE28*$C$28</f>
        <v>1.6826548675382705E+28</v>
      </c>
      <c r="PHI28" s="160">
        <f t="shared" ref="PHI28" si="5513">PHG28*$C$28</f>
        <v>1.6994814162136531E+28</v>
      </c>
      <c r="PHK28" s="160">
        <f t="shared" ref="PHK28" si="5514">PHI28*$C$28</f>
        <v>1.7164762303757898E+28</v>
      </c>
      <c r="PHM28" s="160">
        <f t="shared" ref="PHM28" si="5515">PHK28*$C$28</f>
        <v>1.7336409926795478E+28</v>
      </c>
      <c r="PHO28" s="160">
        <f t="shared" ref="PHO28" si="5516">PHM28*$C$28</f>
        <v>1.7509774026063434E+28</v>
      </c>
      <c r="PHQ28" s="160">
        <f t="shared" ref="PHQ28" si="5517">PHO28*$C$28</f>
        <v>1.7684871766324069E+28</v>
      </c>
      <c r="PHS28" s="160">
        <f t="shared" ref="PHS28" si="5518">PHQ28*$C$28</f>
        <v>1.786172048398731E+28</v>
      </c>
      <c r="PHU28" s="160">
        <f t="shared" ref="PHU28" si="5519">PHS28*$C$28</f>
        <v>1.8040337688827183E+28</v>
      </c>
      <c r="PHW28" s="160">
        <f t="shared" ref="PHW28" si="5520">PHU28*$C$28</f>
        <v>1.8220741065715455E+28</v>
      </c>
      <c r="PHY28" s="160">
        <f t="shared" ref="PHY28" si="5521">PHW28*$C$28</f>
        <v>1.8402948476372609E+28</v>
      </c>
      <c r="PIA28" s="160">
        <f t="shared" ref="PIA28" si="5522">PHY28*$C$28</f>
        <v>1.8586977961136334E+28</v>
      </c>
      <c r="PIC28" s="160">
        <f t="shared" ref="PIC28" si="5523">PIA28*$C$28</f>
        <v>1.8772847740747697E+28</v>
      </c>
      <c r="PIE28" s="160">
        <f t="shared" ref="PIE28" si="5524">PIC28*$C$28</f>
        <v>1.8960576218155175E+28</v>
      </c>
      <c r="PIG28" s="160">
        <f t="shared" ref="PIG28" si="5525">PIE28*$C$28</f>
        <v>1.9150181980336727E+28</v>
      </c>
      <c r="PII28" s="160">
        <f t="shared" ref="PII28" si="5526">PIG28*$C$28</f>
        <v>1.9341683800140094E+28</v>
      </c>
      <c r="PIK28" s="160">
        <f t="shared" ref="PIK28" si="5527">PII28*$C$28</f>
        <v>1.9535100638141496E+28</v>
      </c>
      <c r="PIM28" s="160">
        <f t="shared" ref="PIM28" si="5528">PIK28*$C$28</f>
        <v>1.9730451644522911E+28</v>
      </c>
      <c r="PIO28" s="160">
        <f t="shared" ref="PIO28" si="5529">PIM28*$C$28</f>
        <v>1.992775616096814E+28</v>
      </c>
      <c r="PIQ28" s="160">
        <f t="shared" ref="PIQ28" si="5530">PIO28*$C$28</f>
        <v>2.012703372257782E+28</v>
      </c>
      <c r="PIS28" s="160">
        <f t="shared" ref="PIS28" si="5531">PIQ28*$C$28</f>
        <v>2.0328304059803598E+28</v>
      </c>
      <c r="PIU28" s="160">
        <f t="shared" ref="PIU28" si="5532">PIS28*$C$28</f>
        <v>2.0531587100401633E+28</v>
      </c>
      <c r="PIW28" s="160">
        <f t="shared" ref="PIW28" si="5533">PIU28*$C$28</f>
        <v>2.0736902971405651E+28</v>
      </c>
      <c r="PIY28" s="160">
        <f t="shared" ref="PIY28" si="5534">PIW28*$C$28</f>
        <v>2.0944272001119708E+28</v>
      </c>
      <c r="PJA28" s="160">
        <f t="shared" ref="PJA28" si="5535">PIY28*$C$28</f>
        <v>2.1153714721130907E+28</v>
      </c>
      <c r="PJC28" s="160">
        <f t="shared" ref="PJC28" si="5536">PJA28*$C$28</f>
        <v>2.1365251868342214E+28</v>
      </c>
      <c r="PJE28" s="160">
        <f t="shared" ref="PJE28" si="5537">PJC28*$C$28</f>
        <v>2.1578904387025639E+28</v>
      </c>
      <c r="PJG28" s="160">
        <f t="shared" ref="PJG28" si="5538">PJE28*$C$28</f>
        <v>2.1794693430895895E+28</v>
      </c>
      <c r="PJI28" s="160">
        <f t="shared" ref="PJI28" si="5539">PJG28*$C$28</f>
        <v>2.2012640365204855E+28</v>
      </c>
      <c r="PJK28" s="160">
        <f t="shared" ref="PJK28" si="5540">PJI28*$C$28</f>
        <v>2.2232766768856905E+28</v>
      </c>
      <c r="PJM28" s="160">
        <f t="shared" ref="PJM28" si="5541">PJK28*$C$28</f>
        <v>2.2455094436545472E+28</v>
      </c>
      <c r="PJO28" s="160">
        <f t="shared" ref="PJO28" si="5542">PJM28*$C$28</f>
        <v>2.2679645380910926E+28</v>
      </c>
      <c r="PJQ28" s="160">
        <f t="shared" ref="PJQ28" si="5543">PJO28*$C$28</f>
        <v>2.2906441834720033E+28</v>
      </c>
      <c r="PJS28" s="160">
        <f t="shared" ref="PJS28" si="5544">PJQ28*$C$28</f>
        <v>2.3135506253067234E+28</v>
      </c>
      <c r="PJU28" s="160">
        <f t="shared" ref="PJU28" si="5545">PJS28*$C$28</f>
        <v>2.3366861315597907E+28</v>
      </c>
      <c r="PJW28" s="160">
        <f t="shared" ref="PJW28" si="5546">PJU28*$C$28</f>
        <v>2.3600529928753887E+28</v>
      </c>
      <c r="PJY28" s="160">
        <f t="shared" ref="PJY28" si="5547">PJW28*$C$28</f>
        <v>2.3836535228041427E+28</v>
      </c>
      <c r="PKA28" s="160">
        <f t="shared" ref="PKA28" si="5548">PJY28*$C$28</f>
        <v>2.4074900580321843E+28</v>
      </c>
      <c r="PKC28" s="160">
        <f t="shared" ref="PKC28" si="5549">PKA28*$C$28</f>
        <v>2.4315649586125063E+28</v>
      </c>
      <c r="PKE28" s="160">
        <f t="shared" ref="PKE28" si="5550">PKC28*$C$28</f>
        <v>2.4558806081986315E+28</v>
      </c>
      <c r="PKG28" s="160">
        <f t="shared" ref="PKG28" si="5551">PKE28*$C$28</f>
        <v>2.4804394142806177E+28</v>
      </c>
      <c r="PKI28" s="160">
        <f t="shared" ref="PKI28" si="5552">PKG28*$C$28</f>
        <v>2.5052438084234238E+28</v>
      </c>
      <c r="PKK28" s="160">
        <f t="shared" ref="PKK28" si="5553">PKI28*$C$28</f>
        <v>2.5302962465076579E+28</v>
      </c>
      <c r="PKM28" s="160">
        <f t="shared" ref="PKM28" si="5554">PKK28*$C$28</f>
        <v>2.5555992089727344E+28</v>
      </c>
      <c r="PKO28" s="160">
        <f t="shared" ref="PKO28" si="5555">PKM28*$C$28</f>
        <v>2.5811552010624619E+28</v>
      </c>
      <c r="PKQ28" s="160">
        <f t="shared" ref="PKQ28" si="5556">PKO28*$C$28</f>
        <v>2.6069667530730867E+28</v>
      </c>
      <c r="PKS28" s="160">
        <f t="shared" ref="PKS28" si="5557">PKQ28*$C$28</f>
        <v>2.6330364206038177E+28</v>
      </c>
      <c r="PKU28" s="160">
        <f t="shared" ref="PKU28" si="5558">PKS28*$C$28</f>
        <v>2.6593667848098558E+28</v>
      </c>
      <c r="PKW28" s="160">
        <f t="shared" ref="PKW28" si="5559">PKU28*$C$28</f>
        <v>2.6859604526579544E+28</v>
      </c>
      <c r="PKY28" s="160">
        <f t="shared" ref="PKY28" si="5560">PKW28*$C$28</f>
        <v>2.7128200571845341E+28</v>
      </c>
      <c r="PLA28" s="160">
        <f t="shared" ref="PLA28" si="5561">PKY28*$C$28</f>
        <v>2.7399482577563796E+28</v>
      </c>
      <c r="PLC28" s="160">
        <f t="shared" ref="PLC28" si="5562">PLA28*$C$28</f>
        <v>2.7673477403339435E+28</v>
      </c>
      <c r="PLE28" s="160">
        <f t="shared" ref="PLE28" si="5563">PLC28*$C$28</f>
        <v>2.7950212177372829E+28</v>
      </c>
      <c r="PLG28" s="160">
        <f t="shared" ref="PLG28" si="5564">PLE28*$C$28</f>
        <v>2.8229714299146555E+28</v>
      </c>
      <c r="PLI28" s="160">
        <f t="shared" ref="PLI28" si="5565">PLG28*$C$28</f>
        <v>2.851201144213802E+28</v>
      </c>
      <c r="PLK28" s="160">
        <f t="shared" ref="PLK28" si="5566">PLI28*$C$28</f>
        <v>2.87971315565594E+28</v>
      </c>
      <c r="PLM28" s="160">
        <f t="shared" ref="PLM28" si="5567">PLK28*$C$28</f>
        <v>2.9085102872124994E+28</v>
      </c>
      <c r="PLO28" s="160">
        <f t="shared" ref="PLO28" si="5568">PLM28*$C$28</f>
        <v>2.9375953900846246E+28</v>
      </c>
      <c r="PLQ28" s="160">
        <f t="shared" ref="PLQ28" si="5569">PLO28*$C$28</f>
        <v>2.966971343985471E+28</v>
      </c>
      <c r="PLS28" s="160">
        <f t="shared" ref="PLS28" si="5570">PLQ28*$C$28</f>
        <v>2.9966410574253256E+28</v>
      </c>
      <c r="PLU28" s="160">
        <f t="shared" ref="PLU28" si="5571">PLS28*$C$28</f>
        <v>3.0266074679995788E+28</v>
      </c>
      <c r="PLW28" s="160">
        <f t="shared" ref="PLW28" si="5572">PLU28*$C$28</f>
        <v>3.0568735426795747E+28</v>
      </c>
      <c r="PLY28" s="160">
        <f t="shared" ref="PLY28" si="5573">PLW28*$C$28</f>
        <v>3.0874422781063705E+28</v>
      </c>
      <c r="PMA28" s="160">
        <f t="shared" ref="PMA28" si="5574">PLY28*$C$28</f>
        <v>3.1183167008874342E+28</v>
      </c>
      <c r="PMC28" s="160">
        <f t="shared" ref="PMC28" si="5575">PMA28*$C$28</f>
        <v>3.1494998678963085E+28</v>
      </c>
      <c r="PME28" s="160">
        <f t="shared" ref="PME28" si="5576">PMC28*$C$28</f>
        <v>3.1809948665752717E+28</v>
      </c>
      <c r="PMG28" s="160">
        <f t="shared" ref="PMG28" si="5577">PME28*$C$28</f>
        <v>3.2128048152410243E+28</v>
      </c>
      <c r="PMI28" s="160">
        <f t="shared" ref="PMI28" si="5578">PMG28*$C$28</f>
        <v>3.2449328633934347E+28</v>
      </c>
      <c r="PMK28" s="160">
        <f t="shared" ref="PMK28" si="5579">PMI28*$C$28</f>
        <v>3.2773821920273692E+28</v>
      </c>
      <c r="PMM28" s="160">
        <f t="shared" ref="PMM28" si="5580">PMK28*$C$28</f>
        <v>3.3101560139476429E+28</v>
      </c>
      <c r="PMO28" s="160">
        <f t="shared" ref="PMO28" si="5581">PMM28*$C$28</f>
        <v>3.3432575740871192E+28</v>
      </c>
      <c r="PMQ28" s="160">
        <f t="shared" ref="PMQ28" si="5582">PMO28*$C$28</f>
        <v>3.3766901498279903E+28</v>
      </c>
      <c r="PMS28" s="160">
        <f t="shared" ref="PMS28" si="5583">PMQ28*$C$28</f>
        <v>3.4104570513262703E+28</v>
      </c>
      <c r="PMU28" s="160">
        <f t="shared" ref="PMU28" si="5584">PMS28*$C$28</f>
        <v>3.4445616218395329E+28</v>
      </c>
      <c r="PMW28" s="160">
        <f t="shared" ref="PMW28" si="5585">PMU28*$C$28</f>
        <v>3.4790072380579285E+28</v>
      </c>
      <c r="PMY28" s="160">
        <f t="shared" ref="PMY28" si="5586">PMW28*$C$28</f>
        <v>3.5137973104385078E+28</v>
      </c>
      <c r="PNA28" s="160">
        <f t="shared" ref="PNA28" si="5587">PMY28*$C$28</f>
        <v>3.548935283542893E+28</v>
      </c>
      <c r="PNC28" s="160">
        <f t="shared" ref="PNC28" si="5588">PNA28*$C$28</f>
        <v>3.5844246363783221E+28</v>
      </c>
      <c r="PNE28" s="160">
        <f t="shared" ref="PNE28" si="5589">PNC28*$C$28</f>
        <v>3.6202688827421053E+28</v>
      </c>
      <c r="PNG28" s="160">
        <f t="shared" ref="PNG28" si="5590">PNE28*$C$28</f>
        <v>3.6564715715695266E+28</v>
      </c>
      <c r="PNI28" s="160">
        <f t="shared" ref="PNI28" si="5591">PNG28*$C$28</f>
        <v>3.6930362872852217E+28</v>
      </c>
      <c r="PNK28" s="160">
        <f t="shared" ref="PNK28" si="5592">PNI28*$C$28</f>
        <v>3.7299666501580739E+28</v>
      </c>
      <c r="PNM28" s="160">
        <f t="shared" ref="PNM28" si="5593">PNK28*$C$28</f>
        <v>3.7672663166596546E+28</v>
      </c>
      <c r="PNO28" s="160">
        <f t="shared" ref="PNO28" si="5594">PNM28*$C$28</f>
        <v>3.804938979826251E+28</v>
      </c>
      <c r="PNQ28" s="160">
        <f t="shared" ref="PNQ28" si="5595">PNO28*$C$28</f>
        <v>3.8429883696245137E+28</v>
      </c>
      <c r="PNS28" s="160">
        <f t="shared" ref="PNS28" si="5596">PNQ28*$C$28</f>
        <v>3.8814182533207589E+28</v>
      </c>
      <c r="PNU28" s="160">
        <f t="shared" ref="PNU28" si="5597">PNS28*$C$28</f>
        <v>3.9202324358539664E+28</v>
      </c>
      <c r="PNW28" s="160">
        <f t="shared" ref="PNW28" si="5598">PNU28*$C$28</f>
        <v>3.959434760212506E+28</v>
      </c>
      <c r="PNY28" s="160">
        <f t="shared" ref="PNY28" si="5599">PNW28*$C$28</f>
        <v>3.9990291078146311E+28</v>
      </c>
      <c r="POA28" s="160">
        <f t="shared" ref="POA28" si="5600">PNY28*$C$28</f>
        <v>4.0390193988927773E+28</v>
      </c>
      <c r="POC28" s="160">
        <f t="shared" ref="POC28" si="5601">POA28*$C$28</f>
        <v>4.0794095928817049E+28</v>
      </c>
      <c r="POE28" s="160">
        <f t="shared" ref="POE28" si="5602">POC28*$C$28</f>
        <v>4.1202036888105223E+28</v>
      </c>
      <c r="POG28" s="160">
        <f t="shared" ref="POG28" si="5603">POE28*$C$28</f>
        <v>4.1614057256986279E+28</v>
      </c>
      <c r="POI28" s="160">
        <f t="shared" ref="POI28" si="5604">POG28*$C$28</f>
        <v>4.2030197829556139E+28</v>
      </c>
      <c r="POK28" s="160">
        <f t="shared" ref="POK28" si="5605">POI28*$C$28</f>
        <v>4.2450499807851703E+28</v>
      </c>
      <c r="POM28" s="160">
        <f t="shared" ref="POM28" si="5606">POK28*$C$28</f>
        <v>4.2875004805930217E+28</v>
      </c>
      <c r="POO28" s="160">
        <f t="shared" ref="POO28" si="5607">POM28*$C$28</f>
        <v>4.330375485398952E+28</v>
      </c>
      <c r="POQ28" s="160">
        <f t="shared" ref="POQ28" si="5608">POO28*$C$28</f>
        <v>4.373679240252942E+28</v>
      </c>
      <c r="POS28" s="160">
        <f t="shared" ref="POS28" si="5609">POQ28*$C$28</f>
        <v>4.4174160326554716E+28</v>
      </c>
      <c r="POU28" s="160">
        <f t="shared" ref="POU28" si="5610">POS28*$C$28</f>
        <v>4.4615901929820266E+28</v>
      </c>
      <c r="POW28" s="160">
        <f t="shared" ref="POW28" si="5611">POU28*$C$28</f>
        <v>4.5062060949118467E+28</v>
      </c>
      <c r="POY28" s="160">
        <f t="shared" ref="POY28" si="5612">POW28*$C$28</f>
        <v>4.5512681558609652E+28</v>
      </c>
      <c r="PPA28" s="160">
        <f t="shared" ref="PPA28" si="5613">POY28*$C$28</f>
        <v>4.5967808374195745E+28</v>
      </c>
      <c r="PPC28" s="160">
        <f t="shared" ref="PPC28" si="5614">PPA28*$C$28</f>
        <v>4.6427486457937699E+28</v>
      </c>
      <c r="PPE28" s="160">
        <f t="shared" ref="PPE28" si="5615">PPC28*$C$28</f>
        <v>4.6891761322517077E+28</v>
      </c>
      <c r="PPG28" s="160">
        <f t="shared" ref="PPG28" si="5616">PPE28*$C$28</f>
        <v>4.7360678935742252E+28</v>
      </c>
      <c r="PPI28" s="160">
        <f t="shared" ref="PPI28" si="5617">PPG28*$C$28</f>
        <v>4.7834285725099676E+28</v>
      </c>
      <c r="PPK28" s="160">
        <f t="shared" ref="PPK28" si="5618">PPI28*$C$28</f>
        <v>4.8312628582350671E+28</v>
      </c>
      <c r="PPM28" s="160">
        <f t="shared" ref="PPM28" si="5619">PPK28*$C$28</f>
        <v>4.8795754868174177E+28</v>
      </c>
      <c r="PPO28" s="160">
        <f t="shared" ref="PPO28" si="5620">PPM28*$C$28</f>
        <v>4.9283712416855921E+28</v>
      </c>
      <c r="PPQ28" s="160">
        <f t="shared" ref="PPQ28" si="5621">PPO28*$C$28</f>
        <v>4.9776549541024481E+28</v>
      </c>
      <c r="PPS28" s="160">
        <f t="shared" ref="PPS28" si="5622">PPQ28*$C$28</f>
        <v>5.0274315036434723E+28</v>
      </c>
      <c r="PPU28" s="160">
        <f t="shared" ref="PPU28" si="5623">PPS28*$C$28</f>
        <v>5.0777058186799074E+28</v>
      </c>
      <c r="PPW28" s="160">
        <f t="shared" ref="PPW28" si="5624">PPU28*$C$28</f>
        <v>5.1284828768667066E+28</v>
      </c>
      <c r="PPY28" s="160">
        <f t="shared" ref="PPY28" si="5625">PPW28*$C$28</f>
        <v>5.1797677056353735E+28</v>
      </c>
      <c r="PQA28" s="160">
        <f t="shared" ref="PQA28" si="5626">PPY28*$C$28</f>
        <v>5.2315653826917276E+28</v>
      </c>
      <c r="PQC28" s="160">
        <f t="shared" ref="PQC28" si="5627">PQA28*$C$28</f>
        <v>5.283881036518645E+28</v>
      </c>
      <c r="PQE28" s="160">
        <f t="shared" ref="PQE28" si="5628">PQC28*$C$28</f>
        <v>5.3367198468838315E+28</v>
      </c>
      <c r="PQG28" s="160">
        <f t="shared" ref="PQG28" si="5629">PQE28*$C$28</f>
        <v>5.3900870453526699E+28</v>
      </c>
      <c r="PQI28" s="160">
        <f t="shared" ref="PQI28" si="5630">PQG28*$C$28</f>
        <v>5.4439879158061962E+28</v>
      </c>
      <c r="PQK28" s="160">
        <f t="shared" ref="PQK28" si="5631">PQI28*$C$28</f>
        <v>5.4984277949642584E+28</v>
      </c>
      <c r="PQM28" s="160">
        <f t="shared" ref="PQM28" si="5632">PQK28*$C$28</f>
        <v>5.5534120729139014E+28</v>
      </c>
      <c r="PQO28" s="160">
        <f t="shared" ref="PQO28" si="5633">PQM28*$C$28</f>
        <v>5.6089461936430408E+28</v>
      </c>
      <c r="PQQ28" s="160">
        <f t="shared" ref="PQQ28" si="5634">PQO28*$C$28</f>
        <v>5.665035655579471E+28</v>
      </c>
      <c r="PQS28" s="160">
        <f t="shared" ref="PQS28" si="5635">PQQ28*$C$28</f>
        <v>5.7216860121352655E+28</v>
      </c>
      <c r="PQU28" s="160">
        <f t="shared" ref="PQU28" si="5636">PQS28*$C$28</f>
        <v>5.778902872256618E+28</v>
      </c>
      <c r="PQW28" s="160">
        <f t="shared" ref="PQW28" si="5637">PQU28*$C$28</f>
        <v>5.8366919009791843E+28</v>
      </c>
      <c r="PQY28" s="160">
        <f t="shared" ref="PQY28" si="5638">PQW28*$C$28</f>
        <v>5.895058819988976E+28</v>
      </c>
      <c r="PRA28" s="160">
        <f t="shared" ref="PRA28" si="5639">PQY28*$C$28</f>
        <v>5.954009408188866E+28</v>
      </c>
      <c r="PRC28" s="160">
        <f t="shared" ref="PRC28" si="5640">PRA28*$C$28</f>
        <v>6.0135495022707544E+28</v>
      </c>
      <c r="PRE28" s="160">
        <f t="shared" ref="PRE28" si="5641">PRC28*$C$28</f>
        <v>6.0736849972934619E+28</v>
      </c>
      <c r="PRG28" s="160">
        <f t="shared" ref="PRG28" si="5642">PRE28*$C$28</f>
        <v>6.1344218472663969E+28</v>
      </c>
      <c r="PRI28" s="160">
        <f t="shared" ref="PRI28" si="5643">PRG28*$C$28</f>
        <v>6.1957660657390608E+28</v>
      </c>
      <c r="PRK28" s="160">
        <f t="shared" ref="PRK28" si="5644">PRI28*$C$28</f>
        <v>6.2577237263964512E+28</v>
      </c>
      <c r="PRM28" s="160">
        <f t="shared" ref="PRM28" si="5645">PRK28*$C$28</f>
        <v>6.3203009636604158E+28</v>
      </c>
      <c r="PRO28" s="160">
        <f t="shared" ref="PRO28" si="5646">PRM28*$C$28</f>
        <v>6.3835039732970204E+28</v>
      </c>
      <c r="PRQ28" s="160">
        <f t="shared" ref="PRQ28" si="5647">PRO28*$C$28</f>
        <v>6.4473390130299906E+28</v>
      </c>
      <c r="PRS28" s="160">
        <f t="shared" ref="PRS28" si="5648">PRQ28*$C$28</f>
        <v>6.511812403160291E+28</v>
      </c>
      <c r="PRU28" s="160">
        <f t="shared" ref="PRU28" si="5649">PRS28*$C$28</f>
        <v>6.5769305271918939E+28</v>
      </c>
      <c r="PRW28" s="160">
        <f t="shared" ref="PRW28" si="5650">PRU28*$C$28</f>
        <v>6.642699832463813E+28</v>
      </c>
      <c r="PRY28" s="160">
        <f t="shared" ref="PRY28" si="5651">PRW28*$C$28</f>
        <v>6.7091268307884512E+28</v>
      </c>
      <c r="PSA28" s="160">
        <f t="shared" ref="PSA28" si="5652">PRY28*$C$28</f>
        <v>6.776218099096336E+28</v>
      </c>
      <c r="PSC28" s="160">
        <f t="shared" ref="PSC28" si="5653">PSA28*$C$28</f>
        <v>6.8439802800872991E+28</v>
      </c>
      <c r="PSE28" s="160">
        <f t="shared" ref="PSE28" si="5654">PSC28*$C$28</f>
        <v>6.9124200828881726E+28</v>
      </c>
      <c r="PSG28" s="160">
        <f t="shared" ref="PSG28" si="5655">PSE28*$C$28</f>
        <v>6.9815442837170545E+28</v>
      </c>
      <c r="PSI28" s="160">
        <f t="shared" ref="PSI28" si="5656">PSG28*$C$28</f>
        <v>7.0513597265542254E+28</v>
      </c>
      <c r="PSK28" s="160">
        <f t="shared" ref="PSK28" si="5657">PSI28*$C$28</f>
        <v>7.1218733238197677E+28</v>
      </c>
      <c r="PSM28" s="160">
        <f t="shared" ref="PSM28" si="5658">PSK28*$C$28</f>
        <v>7.193092057057965E+28</v>
      </c>
      <c r="PSO28" s="160">
        <f t="shared" ref="PSO28" si="5659">PSM28*$C$28</f>
        <v>7.2650229776285443E+28</v>
      </c>
      <c r="PSQ28" s="160">
        <f t="shared" ref="PSQ28" si="5660">PSO28*$C$28</f>
        <v>7.3376732074048299E+28</v>
      </c>
      <c r="PSS28" s="160">
        <f t="shared" ref="PSS28" si="5661">PSQ28*$C$28</f>
        <v>7.411049939478878E+28</v>
      </c>
      <c r="PSU28" s="160">
        <f t="shared" ref="PSU28" si="5662">PSS28*$C$28</f>
        <v>7.485160438873667E+28</v>
      </c>
      <c r="PSW28" s="160">
        <f t="shared" ref="PSW28" si="5663">PSU28*$C$28</f>
        <v>7.5600120432624036E+28</v>
      </c>
      <c r="PSY28" s="160">
        <f t="shared" ref="PSY28" si="5664">PSW28*$C$28</f>
        <v>7.635612163695028E+28</v>
      </c>
      <c r="PTA28" s="160">
        <f t="shared" ref="PTA28" si="5665">PSY28*$C$28</f>
        <v>7.7119682853319779E+28</v>
      </c>
      <c r="PTC28" s="160">
        <f t="shared" ref="PTC28" si="5666">PTA28*$C$28</f>
        <v>7.789087968185298E+28</v>
      </c>
      <c r="PTE28" s="160">
        <f t="shared" ref="PTE28" si="5667">PTC28*$C$28</f>
        <v>7.8669788478671507E+28</v>
      </c>
      <c r="PTG28" s="160">
        <f t="shared" ref="PTG28" si="5668">PTE28*$C$28</f>
        <v>7.9456486363458223E+28</v>
      </c>
      <c r="PTI28" s="160">
        <f t="shared" ref="PTI28" si="5669">PTG28*$C$28</f>
        <v>8.0251051227092799E+28</v>
      </c>
      <c r="PTK28" s="160">
        <f t="shared" ref="PTK28" si="5670">PTI28*$C$28</f>
        <v>8.1053561739363728E+28</v>
      </c>
      <c r="PTM28" s="160">
        <f t="shared" ref="PTM28" si="5671">PTK28*$C$28</f>
        <v>8.1864097356757362E+28</v>
      </c>
      <c r="PTO28" s="160">
        <f t="shared" ref="PTO28" si="5672">PTM28*$C$28</f>
        <v>8.2682738330324931E+28</v>
      </c>
      <c r="PTQ28" s="160">
        <f t="shared" ref="PTQ28" si="5673">PTO28*$C$28</f>
        <v>8.350956571362819E+28</v>
      </c>
      <c r="PTS28" s="160">
        <f t="shared" ref="PTS28" si="5674">PTQ28*$C$28</f>
        <v>8.4344661370764465E+28</v>
      </c>
      <c r="PTU28" s="160">
        <f t="shared" ref="PTU28" si="5675">PTS28*$C$28</f>
        <v>8.5188107984472114E+28</v>
      </c>
      <c r="PTW28" s="160">
        <f t="shared" ref="PTW28" si="5676">PTU28*$C$28</f>
        <v>8.6039989064316836E+28</v>
      </c>
      <c r="PTY28" s="160">
        <f t="shared" ref="PTY28" si="5677">PTW28*$C$28</f>
        <v>8.6900388954960004E+28</v>
      </c>
      <c r="PUA28" s="160">
        <f t="shared" ref="PUA28" si="5678">PTY28*$C$28</f>
        <v>8.77693928445096E+28</v>
      </c>
      <c r="PUC28" s="160">
        <f t="shared" ref="PUC28" si="5679">PUA28*$C$28</f>
        <v>8.8647086772954702E+28</v>
      </c>
      <c r="PUE28" s="160">
        <f t="shared" ref="PUE28" si="5680">PUC28*$C$28</f>
        <v>8.9533557640684256E+28</v>
      </c>
      <c r="PUG28" s="160">
        <f t="shared" ref="PUG28" si="5681">PUE28*$C$28</f>
        <v>9.0428893217091097E+28</v>
      </c>
      <c r="PUI28" s="160">
        <f t="shared" ref="PUI28" si="5682">PUG28*$C$28</f>
        <v>9.1333182149262009E+28</v>
      </c>
      <c r="PUK28" s="160">
        <f t="shared" ref="PUK28" si="5683">PUI28*$C$28</f>
        <v>9.2246513970754634E+28</v>
      </c>
      <c r="PUM28" s="160">
        <f t="shared" ref="PUM28" si="5684">PUK28*$C$28</f>
        <v>9.3168979110462183E+28</v>
      </c>
      <c r="PUO28" s="160">
        <f t="shared" ref="PUO28" si="5685">PUM28*$C$28</f>
        <v>9.4100668901566809E+28</v>
      </c>
      <c r="PUQ28" s="160">
        <f t="shared" ref="PUQ28" si="5686">PUO28*$C$28</f>
        <v>9.5041675590582482E+28</v>
      </c>
      <c r="PUS28" s="160">
        <f t="shared" ref="PUS28" si="5687">PUQ28*$C$28</f>
        <v>9.5992092346488305E+28</v>
      </c>
      <c r="PUU28" s="160">
        <f t="shared" ref="PUU28" si="5688">PUS28*$C$28</f>
        <v>9.6952013269953188E+28</v>
      </c>
      <c r="PUW28" s="160">
        <f t="shared" ref="PUW28" si="5689">PUU28*$C$28</f>
        <v>9.7921533402652726E+28</v>
      </c>
      <c r="PUY28" s="160">
        <f t="shared" ref="PUY28" si="5690">PUW28*$C$28</f>
        <v>9.8900748736679255E+28</v>
      </c>
      <c r="PVA28" s="160">
        <f t="shared" ref="PVA28" si="5691">PUY28*$C$28</f>
        <v>9.9889756224046049E+28</v>
      </c>
      <c r="PVC28" s="160">
        <f t="shared" ref="PVC28" si="5692">PVA28*$C$28</f>
        <v>1.0088865378628652E+29</v>
      </c>
      <c r="PVE28" s="160">
        <f t="shared" ref="PVE28" si="5693">PVC28*$C$28</f>
        <v>1.0189754032414938E+29</v>
      </c>
      <c r="PVG28" s="160">
        <f t="shared" ref="PVG28" si="5694">PVE28*$C$28</f>
        <v>1.0291651572739087E+29</v>
      </c>
      <c r="PVI28" s="160">
        <f t="shared" ref="PVI28" si="5695">PVG28*$C$28</f>
        <v>1.0394568088466478E+29</v>
      </c>
      <c r="PVK28" s="160">
        <f t="shared" ref="PVK28" si="5696">PVI28*$C$28</f>
        <v>1.0498513769351143E+29</v>
      </c>
      <c r="PVM28" s="160">
        <f t="shared" ref="PVM28" si="5697">PVK28*$C$28</f>
        <v>1.0603498907044655E+29</v>
      </c>
      <c r="PVO28" s="160">
        <f t="shared" ref="PVO28" si="5698">PVM28*$C$28</f>
        <v>1.0709533896115101E+29</v>
      </c>
      <c r="PVQ28" s="160">
        <f t="shared" ref="PVQ28" si="5699">PVO28*$C$28</f>
        <v>1.0816629235076252E+29</v>
      </c>
      <c r="PVS28" s="160">
        <f t="shared" ref="PVS28" si="5700">PVQ28*$C$28</f>
        <v>1.0924795527427014E+29</v>
      </c>
      <c r="PVU28" s="160">
        <f t="shared" ref="PVU28" si="5701">PVS28*$C$28</f>
        <v>1.1034043482701285E+29</v>
      </c>
      <c r="PVW28" s="160">
        <f t="shared" ref="PVW28" si="5702">PVU28*$C$28</f>
        <v>1.1144383917528299E+29</v>
      </c>
      <c r="PVY28" s="160">
        <f t="shared" ref="PVY28" si="5703">PVW28*$C$28</f>
        <v>1.1255827756703581E+29</v>
      </c>
      <c r="PWA28" s="160">
        <f t="shared" ref="PWA28" si="5704">PVY28*$C$28</f>
        <v>1.1368386034270617E+29</v>
      </c>
      <c r="PWC28" s="160">
        <f t="shared" ref="PWC28" si="5705">PWA28*$C$28</f>
        <v>1.1482069894613324E+29</v>
      </c>
      <c r="PWE28" s="160">
        <f t="shared" ref="PWE28" si="5706">PWC28*$C$28</f>
        <v>1.1596890593559457E+29</v>
      </c>
      <c r="PWG28" s="160">
        <f t="shared" ref="PWG28" si="5707">PWE28*$C$28</f>
        <v>1.1712859499495053E+29</v>
      </c>
      <c r="PWI28" s="160">
        <f t="shared" ref="PWI28" si="5708">PWG28*$C$28</f>
        <v>1.1829988094490003E+29</v>
      </c>
      <c r="PWK28" s="160">
        <f t="shared" ref="PWK28" si="5709">PWI28*$C$28</f>
        <v>1.1948287975434903E+29</v>
      </c>
      <c r="PWM28" s="160">
        <f t="shared" ref="PWM28" si="5710">PWK28*$C$28</f>
        <v>1.2067770855189252E+29</v>
      </c>
      <c r="PWO28" s="160">
        <f t="shared" ref="PWO28" si="5711">PWM28*$C$28</f>
        <v>1.2188448563741144E+29</v>
      </c>
      <c r="PWQ28" s="160">
        <f t="shared" ref="PWQ28" si="5712">PWO28*$C$28</f>
        <v>1.2310333049378555E+29</v>
      </c>
      <c r="PWS28" s="160">
        <f t="shared" ref="PWS28" si="5713">PWQ28*$C$28</f>
        <v>1.243343637987234E+29</v>
      </c>
      <c r="PWU28" s="160">
        <f t="shared" ref="PWU28" si="5714">PWS28*$C$28</f>
        <v>1.2557770743671063E+29</v>
      </c>
      <c r="PWW28" s="160">
        <f t="shared" ref="PWW28" si="5715">PWU28*$C$28</f>
        <v>1.2683348451107775E+29</v>
      </c>
      <c r="PWY28" s="160">
        <f t="shared" ref="PWY28" si="5716">PWW28*$C$28</f>
        <v>1.2810181935618852E+29</v>
      </c>
      <c r="PXA28" s="160">
        <f t="shared" ref="PXA28" si="5717">PWY28*$C$28</f>
        <v>1.2938283754975041E+29</v>
      </c>
      <c r="PXC28" s="160">
        <f t="shared" ref="PXC28" si="5718">PXA28*$C$28</f>
        <v>1.3067666592524791E+29</v>
      </c>
      <c r="PXE28" s="160">
        <f t="shared" ref="PXE28" si="5719">PXC28*$C$28</f>
        <v>1.319834325845004E+29</v>
      </c>
      <c r="PXG28" s="160">
        <f t="shared" ref="PXG28" si="5720">PXE28*$C$28</f>
        <v>1.3330326691034541E+29</v>
      </c>
      <c r="PXI28" s="160">
        <f t="shared" ref="PXI28" si="5721">PXG28*$C$28</f>
        <v>1.3463629957944887E+29</v>
      </c>
      <c r="PXK28" s="160">
        <f t="shared" ref="PXK28" si="5722">PXI28*$C$28</f>
        <v>1.3598266257524335E+29</v>
      </c>
      <c r="PXM28" s="160">
        <f t="shared" ref="PXM28" si="5723">PXK28*$C$28</f>
        <v>1.3734248920099579E+29</v>
      </c>
      <c r="PXO28" s="160">
        <f t="shared" ref="PXO28" si="5724">PXM28*$C$28</f>
        <v>1.3871591409300574E+29</v>
      </c>
      <c r="PXQ28" s="160">
        <f t="shared" ref="PXQ28" si="5725">PXO28*$C$28</f>
        <v>1.401030732339358E+29</v>
      </c>
      <c r="PXS28" s="160">
        <f t="shared" ref="PXS28" si="5726">PXQ28*$C$28</f>
        <v>1.4150410396627517E+29</v>
      </c>
      <c r="PXU28" s="160">
        <f t="shared" ref="PXU28" si="5727">PXS28*$C$28</f>
        <v>1.4291914500593792E+29</v>
      </c>
      <c r="PXW28" s="160">
        <f t="shared" ref="PXW28" si="5728">PXU28*$C$28</f>
        <v>1.443483364559973E+29</v>
      </c>
      <c r="PXY28" s="160">
        <f t="shared" ref="PXY28" si="5729">PXW28*$C$28</f>
        <v>1.4579181982055727E+29</v>
      </c>
      <c r="PYA28" s="160">
        <f t="shared" ref="PYA28" si="5730">PXY28*$C$28</f>
        <v>1.4724973801876285E+29</v>
      </c>
      <c r="PYC28" s="160">
        <f t="shared" ref="PYC28" si="5731">PYA28*$C$28</f>
        <v>1.4872223539895048E+29</v>
      </c>
      <c r="PYE28" s="160">
        <f t="shared" ref="PYE28" si="5732">PYC28*$C$28</f>
        <v>1.5020945775293998E+29</v>
      </c>
      <c r="PYG28" s="160">
        <f t="shared" ref="PYG28" si="5733">PYE28*$C$28</f>
        <v>1.5171155233046937E+29</v>
      </c>
      <c r="PYI28" s="160">
        <f t="shared" ref="PYI28" si="5734">PYG28*$C$28</f>
        <v>1.5322866785377407E+29</v>
      </c>
      <c r="PYK28" s="160">
        <f t="shared" ref="PYK28" si="5735">PYI28*$C$28</f>
        <v>1.5476095453231181E+29</v>
      </c>
      <c r="PYM28" s="160">
        <f t="shared" ref="PYM28" si="5736">PYK28*$C$28</f>
        <v>1.5630856407763494E+29</v>
      </c>
      <c r="PYO28" s="160">
        <f t="shared" ref="PYO28" si="5737">PYM28*$C$28</f>
        <v>1.578716497184113E+29</v>
      </c>
      <c r="PYQ28" s="160">
        <f t="shared" ref="PYQ28" si="5738">PYO28*$C$28</f>
        <v>1.5945036621559542E+29</v>
      </c>
      <c r="PYS28" s="160">
        <f t="shared" ref="PYS28" si="5739">PYQ28*$C$28</f>
        <v>1.6104486987775139E+29</v>
      </c>
      <c r="PYU28" s="160">
        <f t="shared" ref="PYU28" si="5740">PYS28*$C$28</f>
        <v>1.6265531857652892E+29</v>
      </c>
      <c r="PYW28" s="160">
        <f t="shared" ref="PYW28" si="5741">PYU28*$C$28</f>
        <v>1.642818717622942E+29</v>
      </c>
      <c r="PYY28" s="160">
        <f t="shared" ref="PYY28" si="5742">PYW28*$C$28</f>
        <v>1.6592469047991714E+29</v>
      </c>
      <c r="PZA28" s="160">
        <f t="shared" ref="PZA28" si="5743">PYY28*$C$28</f>
        <v>1.675839373847163E+29</v>
      </c>
      <c r="PZC28" s="160">
        <f t="shared" ref="PZC28" si="5744">PZA28*$C$28</f>
        <v>1.6925977675856346E+29</v>
      </c>
      <c r="PZE28" s="160">
        <f t="shared" ref="PZE28" si="5745">PZC28*$C$28</f>
        <v>1.7095237452614908E+29</v>
      </c>
      <c r="PZG28" s="160">
        <f t="shared" ref="PZG28" si="5746">PZE28*$C$28</f>
        <v>1.7266189827141056E+29</v>
      </c>
      <c r="PZI28" s="160">
        <f t="shared" ref="PZI28" si="5747">PZG28*$C$28</f>
        <v>1.7438851725412467E+29</v>
      </c>
      <c r="PZK28" s="160">
        <f t="shared" ref="PZK28" si="5748">PZI28*$C$28</f>
        <v>1.761324024266659E+29</v>
      </c>
      <c r="PZM28" s="160">
        <f t="shared" ref="PZM28" si="5749">PZK28*$C$28</f>
        <v>1.7789372645093257E+29</v>
      </c>
      <c r="PZO28" s="160">
        <f t="shared" ref="PZO28" si="5750">PZM28*$C$28</f>
        <v>1.796726637154419E+29</v>
      </c>
      <c r="PZQ28" s="160">
        <f t="shared" ref="PZQ28" si="5751">PZO28*$C$28</f>
        <v>1.8146939035259633E+29</v>
      </c>
      <c r="PZS28" s="160">
        <f t="shared" ref="PZS28" si="5752">PZQ28*$C$28</f>
        <v>1.8328408425612231E+29</v>
      </c>
      <c r="PZU28" s="160">
        <f t="shared" ref="PZU28" si="5753">PZS28*$C$28</f>
        <v>1.8511692509868353E+29</v>
      </c>
      <c r="PZW28" s="160">
        <f t="shared" ref="PZW28" si="5754">PZU28*$C$28</f>
        <v>1.8696809434967039E+29</v>
      </c>
      <c r="PZY28" s="160">
        <f t="shared" ref="PZY28" si="5755">PZW28*$C$28</f>
        <v>1.8883777529316709E+29</v>
      </c>
      <c r="QAA28" s="160">
        <f t="shared" ref="QAA28" si="5756">PZY28*$C$28</f>
        <v>1.9072615304609876E+29</v>
      </c>
      <c r="QAC28" s="160">
        <f t="shared" ref="QAC28" si="5757">QAA28*$C$28</f>
        <v>1.9263341457655975E+29</v>
      </c>
      <c r="QAE28" s="160">
        <f t="shared" ref="QAE28" si="5758">QAC28*$C$28</f>
        <v>1.9455974872232533E+29</v>
      </c>
      <c r="QAG28" s="160">
        <f t="shared" ref="QAG28" si="5759">QAE28*$C$28</f>
        <v>1.9650534620954861E+29</v>
      </c>
      <c r="QAI28" s="160">
        <f t="shared" ref="QAI28" si="5760">QAG28*$C$28</f>
        <v>1.9847039967164408E+29</v>
      </c>
      <c r="QAK28" s="160">
        <f t="shared" ref="QAK28" si="5761">QAI28*$C$28</f>
        <v>2.0045510366836052E+29</v>
      </c>
      <c r="QAM28" s="160">
        <f t="shared" ref="QAM28" si="5762">QAK28*$C$28</f>
        <v>2.0245965470504414E+29</v>
      </c>
      <c r="QAO28" s="160">
        <f t="shared" ref="QAO28" si="5763">QAM28*$C$28</f>
        <v>2.0448425125209458E+29</v>
      </c>
      <c r="QAQ28" s="160">
        <f t="shared" ref="QAQ28" si="5764">QAO28*$C$28</f>
        <v>2.0652909376461554E+29</v>
      </c>
      <c r="QAS28" s="160">
        <f t="shared" ref="QAS28" si="5765">QAQ28*$C$28</f>
        <v>2.0859438470226171E+29</v>
      </c>
      <c r="QAU28" s="160">
        <f t="shared" ref="QAU28" si="5766">QAS28*$C$28</f>
        <v>2.1068032854928433E+29</v>
      </c>
      <c r="QAW28" s="160">
        <f t="shared" ref="QAW28" si="5767">QAU28*$C$28</f>
        <v>2.1278713183477717E+29</v>
      </c>
      <c r="QAY28" s="160">
        <f t="shared" ref="QAY28" si="5768">QAW28*$C$28</f>
        <v>2.1491500315312494E+29</v>
      </c>
      <c r="QBA28" s="160">
        <f t="shared" ref="QBA28" si="5769">QAY28*$C$28</f>
        <v>2.1706415318465619E+29</v>
      </c>
      <c r="QBC28" s="160">
        <f t="shared" ref="QBC28" si="5770">QBA28*$C$28</f>
        <v>2.1923479471650275E+29</v>
      </c>
      <c r="QBE28" s="160">
        <f t="shared" ref="QBE28" si="5771">QBC28*$C$28</f>
        <v>2.2142714266366778E+29</v>
      </c>
      <c r="QBG28" s="160">
        <f t="shared" ref="QBG28" si="5772">QBE28*$C$28</f>
        <v>2.2364141409030446E+29</v>
      </c>
      <c r="QBI28" s="160">
        <f t="shared" ref="QBI28" si="5773">QBG28*$C$28</f>
        <v>2.2587782823120751E+29</v>
      </c>
      <c r="QBK28" s="160">
        <f t="shared" ref="QBK28" si="5774">QBI28*$C$28</f>
        <v>2.2813660651351959E+29</v>
      </c>
      <c r="QBM28" s="160">
        <f t="shared" ref="QBM28" si="5775">QBK28*$C$28</f>
        <v>2.304179725786548E+29</v>
      </c>
      <c r="QBO28" s="160">
        <f t="shared" ref="QBO28" si="5776">QBM28*$C$28</f>
        <v>2.3272215230444133E+29</v>
      </c>
      <c r="QBQ28" s="160">
        <f t="shared" ref="QBQ28" si="5777">QBO28*$C$28</f>
        <v>2.3504937382748576E+29</v>
      </c>
      <c r="QBS28" s="160">
        <f t="shared" ref="QBS28" si="5778">QBQ28*$C$28</f>
        <v>2.3739986756576062E+29</v>
      </c>
      <c r="QBU28" s="160">
        <f t="shared" ref="QBU28" si="5779">QBS28*$C$28</f>
        <v>2.3977386624141821E+29</v>
      </c>
      <c r="QBW28" s="160">
        <f t="shared" ref="QBW28" si="5780">QBU28*$C$28</f>
        <v>2.4217160490383241E+29</v>
      </c>
      <c r="QBY28" s="160">
        <f t="shared" ref="QBY28" si="5781">QBW28*$C$28</f>
        <v>2.4459332095287073E+29</v>
      </c>
      <c r="QCA28" s="160">
        <f t="shared" ref="QCA28" si="5782">QBY28*$C$28</f>
        <v>2.4703925416239942E+29</v>
      </c>
      <c r="QCC28" s="160">
        <f t="shared" ref="QCC28" si="5783">QCA28*$C$28</f>
        <v>2.495096467040234E+29</v>
      </c>
      <c r="QCE28" s="160">
        <f t="shared" ref="QCE28" si="5784">QCC28*$C$28</f>
        <v>2.5200474317106363E+29</v>
      </c>
      <c r="QCG28" s="160">
        <f t="shared" ref="QCG28" si="5785">QCE28*$C$28</f>
        <v>2.5452479060277428E+29</v>
      </c>
      <c r="QCI28" s="160">
        <f t="shared" ref="QCI28" si="5786">QCG28*$C$28</f>
        <v>2.5707003850880203E+29</v>
      </c>
      <c r="QCK28" s="160">
        <f t="shared" ref="QCK28" si="5787">QCI28*$C$28</f>
        <v>2.5964073889389004E+29</v>
      </c>
      <c r="QCM28" s="160">
        <f t="shared" ref="QCM28" si="5788">QCK28*$C$28</f>
        <v>2.6223714628282892E+29</v>
      </c>
      <c r="QCO28" s="160">
        <f t="shared" ref="QCO28" si="5789">QCM28*$C$28</f>
        <v>2.6485951774565721E+29</v>
      </c>
      <c r="QCQ28" s="160">
        <f t="shared" ref="QCQ28" si="5790">QCO28*$C$28</f>
        <v>2.6750811292311378E+29</v>
      </c>
      <c r="QCS28" s="160">
        <f t="shared" ref="QCS28" si="5791">QCQ28*$C$28</f>
        <v>2.701831940523449E+29</v>
      </c>
      <c r="QCU28" s="160">
        <f t="shared" ref="QCU28" si="5792">QCS28*$C$28</f>
        <v>2.7288502599286835E+29</v>
      </c>
      <c r="QCW28" s="160">
        <f t="shared" ref="QCW28" si="5793">QCU28*$C$28</f>
        <v>2.7561387625279705E+29</v>
      </c>
      <c r="QCY28" s="160">
        <f t="shared" ref="QCY28" si="5794">QCW28*$C$28</f>
        <v>2.7837001501532501E+29</v>
      </c>
      <c r="QDA28" s="160">
        <f t="shared" ref="QDA28" si="5795">QCY28*$C$28</f>
        <v>2.8115371516547827E+29</v>
      </c>
      <c r="QDC28" s="160">
        <f t="shared" ref="QDC28" si="5796">QDA28*$C$28</f>
        <v>2.8396525231713306E+29</v>
      </c>
      <c r="QDE28" s="160">
        <f t="shared" ref="QDE28" si="5797">QDC28*$C$28</f>
        <v>2.8680490484030438E+29</v>
      </c>
      <c r="QDG28" s="160">
        <f t="shared" ref="QDG28" si="5798">QDE28*$C$28</f>
        <v>2.8967295388870742E+29</v>
      </c>
      <c r="QDI28" s="160">
        <f t="shared" ref="QDI28" si="5799">QDG28*$C$28</f>
        <v>2.9256968342759451E+29</v>
      </c>
      <c r="QDK28" s="160">
        <f t="shared" ref="QDK28" si="5800">QDI28*$C$28</f>
        <v>2.9549538026187047E+29</v>
      </c>
      <c r="QDM28" s="160">
        <f t="shared" ref="QDM28" si="5801">QDK28*$C$28</f>
        <v>2.9845033406448916E+29</v>
      </c>
      <c r="QDO28" s="160">
        <f t="shared" ref="QDO28" si="5802">QDM28*$C$28</f>
        <v>3.0143483740513405E+29</v>
      </c>
      <c r="QDQ28" s="160">
        <f t="shared" ref="QDQ28" si="5803">QDO28*$C$28</f>
        <v>3.0444918577918539E+29</v>
      </c>
      <c r="QDS28" s="160">
        <f t="shared" ref="QDS28" si="5804">QDQ28*$C$28</f>
        <v>3.0749367763697724E+29</v>
      </c>
      <c r="QDU28" s="160">
        <f t="shared" ref="QDU28" si="5805">QDS28*$C$28</f>
        <v>3.1056861441334702E+29</v>
      </c>
      <c r="QDW28" s="160">
        <f t="shared" ref="QDW28" si="5806">QDU28*$C$28</f>
        <v>3.1367430055748048E+29</v>
      </c>
      <c r="QDY28" s="160">
        <f t="shared" ref="QDY28" si="5807">QDW28*$C$28</f>
        <v>3.1681104356305528E+29</v>
      </c>
      <c r="QEA28" s="160">
        <f t="shared" ref="QEA28" si="5808">QDY28*$C$28</f>
        <v>3.1997915399868586E+29</v>
      </c>
      <c r="QEC28" s="160">
        <f t="shared" ref="QEC28" si="5809">QEA28*$C$28</f>
        <v>3.2317894553867274E+29</v>
      </c>
      <c r="QEE28" s="160">
        <f t="shared" ref="QEE28" si="5810">QEC28*$C$28</f>
        <v>3.2641073499405949E+29</v>
      </c>
      <c r="QEG28" s="160">
        <f t="shared" ref="QEG28" si="5811">QEE28*$C$28</f>
        <v>3.296748423440001E+29</v>
      </c>
      <c r="QEI28" s="160">
        <f t="shared" ref="QEI28" si="5812">QEG28*$C$28</f>
        <v>3.3297159076744009E+29</v>
      </c>
      <c r="QEK28" s="160">
        <f t="shared" ref="QEK28" si="5813">QEI28*$C$28</f>
        <v>3.363013066751145E+29</v>
      </c>
      <c r="QEM28" s="160">
        <f t="shared" ref="QEM28" si="5814">QEK28*$C$28</f>
        <v>3.3966431974186568E+29</v>
      </c>
      <c r="QEO28" s="160">
        <f t="shared" ref="QEO28" si="5815">QEM28*$C$28</f>
        <v>3.4306096293928436E+29</v>
      </c>
      <c r="QEQ28" s="160">
        <f t="shared" ref="QEQ28" si="5816">QEO28*$C$28</f>
        <v>3.4649157256867723E+29</v>
      </c>
      <c r="QES28" s="160">
        <f t="shared" ref="QES28" si="5817">QEQ28*$C$28</f>
        <v>3.4995648829436397E+29</v>
      </c>
      <c r="QEU28" s="160">
        <f t="shared" ref="QEU28" si="5818">QES28*$C$28</f>
        <v>3.5345605317730761E+29</v>
      </c>
      <c r="QEW28" s="160">
        <f t="shared" ref="QEW28" si="5819">QEU28*$C$28</f>
        <v>3.5699061370908066E+29</v>
      </c>
      <c r="QEY28" s="160">
        <f t="shared" ref="QEY28" si="5820">QEW28*$C$28</f>
        <v>3.6056051984617151E+29</v>
      </c>
      <c r="QFA28" s="160">
        <f t="shared" ref="QFA28" si="5821">QEY28*$C$28</f>
        <v>3.6416612504463326E+29</v>
      </c>
      <c r="QFC28" s="160">
        <f t="shared" ref="QFC28" si="5822">QFA28*$C$28</f>
        <v>3.6780778629507961E+29</v>
      </c>
      <c r="QFE28" s="160">
        <f t="shared" ref="QFE28" si="5823">QFC28*$C$28</f>
        <v>3.7148586415803038E+29</v>
      </c>
      <c r="QFG28" s="160">
        <f t="shared" ref="QFG28" si="5824">QFE28*$C$28</f>
        <v>3.7520072279961065E+29</v>
      </c>
      <c r="QFI28" s="160">
        <f t="shared" ref="QFI28" si="5825">QFG28*$C$28</f>
        <v>3.789527300276068E+29</v>
      </c>
      <c r="QFK28" s="160">
        <f t="shared" ref="QFK28" si="5826">QFI28*$C$28</f>
        <v>3.8274225732788287E+29</v>
      </c>
      <c r="QFM28" s="160">
        <f t="shared" ref="QFM28" si="5827">QFK28*$C$28</f>
        <v>3.865696799011617E+29</v>
      </c>
      <c r="QFO28" s="160">
        <f t="shared" ref="QFO28" si="5828">QFM28*$C$28</f>
        <v>3.9043537670017335E+29</v>
      </c>
      <c r="QFQ28" s="160">
        <f t="shared" ref="QFQ28" si="5829">QFO28*$C$28</f>
        <v>3.9433973046717506E+29</v>
      </c>
      <c r="QFS28" s="160">
        <f t="shared" ref="QFS28" si="5830">QFQ28*$C$28</f>
        <v>3.9828312777184678E+29</v>
      </c>
      <c r="QFU28" s="160">
        <f t="shared" ref="QFU28" si="5831">QFS28*$C$28</f>
        <v>4.0226595904956529E+29</v>
      </c>
      <c r="QFW28" s="160">
        <f t="shared" ref="QFW28" si="5832">QFU28*$C$28</f>
        <v>4.0628861864006096E+29</v>
      </c>
      <c r="QFY28" s="160">
        <f t="shared" ref="QFY28" si="5833">QFW28*$C$28</f>
        <v>4.1035150482646156E+29</v>
      </c>
      <c r="QGA28" s="160">
        <f t="shared" ref="QGA28" si="5834">QFY28*$C$28</f>
        <v>4.144550198747262E+29</v>
      </c>
      <c r="QGC28" s="160">
        <f t="shared" ref="QGC28" si="5835">QGA28*$C$28</f>
        <v>4.1859957007347347E+29</v>
      </c>
      <c r="QGE28" s="160">
        <f t="shared" ref="QGE28" si="5836">QGC28*$C$28</f>
        <v>4.2278556577420824E+29</v>
      </c>
      <c r="QGG28" s="160">
        <f t="shared" ref="QGG28" si="5837">QGE28*$C$28</f>
        <v>4.2701342143195035E+29</v>
      </c>
      <c r="QGI28" s="160">
        <f t="shared" ref="QGI28" si="5838">QGG28*$C$28</f>
        <v>4.3128355564626987E+29</v>
      </c>
      <c r="QGK28" s="160">
        <f t="shared" ref="QGK28" si="5839">QGI28*$C$28</f>
        <v>4.3559639120273259E+29</v>
      </c>
      <c r="QGM28" s="160">
        <f t="shared" ref="QGM28" si="5840">QGK28*$C$28</f>
        <v>4.3995235511475989E+29</v>
      </c>
      <c r="QGO28" s="160">
        <f t="shared" ref="QGO28" si="5841">QGM28*$C$28</f>
        <v>4.4435187866590748E+29</v>
      </c>
      <c r="QGQ28" s="160">
        <f t="shared" ref="QGQ28" si="5842">QGO28*$C$28</f>
        <v>4.4879539745256657E+29</v>
      </c>
      <c r="QGS28" s="160">
        <f t="shared" ref="QGS28" si="5843">QGQ28*$C$28</f>
        <v>4.5328335142709226E+29</v>
      </c>
      <c r="QGU28" s="160">
        <f t="shared" ref="QGU28" si="5844">QGS28*$C$28</f>
        <v>4.5781618494136321E+29</v>
      </c>
      <c r="QGW28" s="160">
        <f t="shared" ref="QGW28" si="5845">QGU28*$C$28</f>
        <v>4.6239434679077687E+29</v>
      </c>
      <c r="QGY28" s="160">
        <f t="shared" ref="QGY28" si="5846">QGW28*$C$28</f>
        <v>4.6701829025868467E+29</v>
      </c>
      <c r="QHA28" s="160">
        <f t="shared" ref="QHA28" si="5847">QGY28*$C$28</f>
        <v>4.7168847316127151E+29</v>
      </c>
      <c r="QHC28" s="160">
        <f t="shared" ref="QHC28" si="5848">QHA28*$C$28</f>
        <v>4.7640535789288423E+29</v>
      </c>
      <c r="QHE28" s="160">
        <f t="shared" ref="QHE28" si="5849">QHC28*$C$28</f>
        <v>4.8116941147181308E+29</v>
      </c>
      <c r="QHG28" s="160">
        <f t="shared" ref="QHG28" si="5850">QHE28*$C$28</f>
        <v>4.8598110558653122E+29</v>
      </c>
      <c r="QHI28" s="160">
        <f t="shared" ref="QHI28" si="5851">QHG28*$C$28</f>
        <v>4.908409166423965E+29</v>
      </c>
      <c r="QHK28" s="160">
        <f t="shared" ref="QHK28" si="5852">QHI28*$C$28</f>
        <v>4.9574932580882049E+29</v>
      </c>
      <c r="QHM28" s="160">
        <f t="shared" ref="QHM28" si="5853">QHK28*$C$28</f>
        <v>5.007068190669087E+29</v>
      </c>
      <c r="QHO28" s="160">
        <f t="shared" ref="QHO28" si="5854">QHM28*$C$28</f>
        <v>5.057138872575778E+29</v>
      </c>
      <c r="QHQ28" s="160">
        <f t="shared" ref="QHQ28" si="5855">QHO28*$C$28</f>
        <v>5.1077102613015359E+29</v>
      </c>
      <c r="QHS28" s="160">
        <f t="shared" ref="QHS28" si="5856">QHQ28*$C$28</f>
        <v>5.1587873639145516E+29</v>
      </c>
      <c r="QHU28" s="160">
        <f t="shared" ref="QHU28" si="5857">QHS28*$C$28</f>
        <v>5.2103752375536973E+29</v>
      </c>
      <c r="QHW28" s="160">
        <f t="shared" ref="QHW28" si="5858">QHU28*$C$28</f>
        <v>5.2624789899292345E+29</v>
      </c>
      <c r="QHY28" s="160">
        <f t="shared" ref="QHY28" si="5859">QHW28*$C$28</f>
        <v>5.3151037798285266E+29</v>
      </c>
      <c r="QIA28" s="160">
        <f t="shared" ref="QIA28" si="5860">QHY28*$C$28</f>
        <v>5.3682548176268117E+29</v>
      </c>
      <c r="QIC28" s="160">
        <f t="shared" ref="QIC28" si="5861">QIA28*$C$28</f>
        <v>5.42193736580308E+29</v>
      </c>
      <c r="QIE28" s="160">
        <f t="shared" ref="QIE28" si="5862">QIC28*$C$28</f>
        <v>5.476156739461111E+29</v>
      </c>
      <c r="QIG28" s="160">
        <f t="shared" ref="QIG28" si="5863">QIE28*$C$28</f>
        <v>5.530918306855722E+29</v>
      </c>
      <c r="QII28" s="160">
        <f t="shared" ref="QII28" si="5864">QIG28*$C$28</f>
        <v>5.5862274899242794E+29</v>
      </c>
      <c r="QIK28" s="160">
        <f t="shared" ref="QIK28" si="5865">QII28*$C$28</f>
        <v>5.6420897648235226E+29</v>
      </c>
      <c r="QIM28" s="160">
        <f t="shared" ref="QIM28" si="5866">QIK28*$C$28</f>
        <v>5.6985106624717576E+29</v>
      </c>
      <c r="QIO28" s="160">
        <f t="shared" ref="QIO28" si="5867">QIM28*$C$28</f>
        <v>5.7554957690964754E+29</v>
      </c>
      <c r="QIQ28" s="160">
        <f t="shared" ref="QIQ28" si="5868">QIO28*$C$28</f>
        <v>5.8130507267874403E+29</v>
      </c>
      <c r="QIS28" s="160">
        <f t="shared" ref="QIS28" si="5869">QIQ28*$C$28</f>
        <v>5.8711812340553148E+29</v>
      </c>
      <c r="QIU28" s="160">
        <f t="shared" ref="QIU28" si="5870">QIS28*$C$28</f>
        <v>5.9298930463958684E+29</v>
      </c>
      <c r="QIW28" s="160">
        <f t="shared" ref="QIW28" si="5871">QIU28*$C$28</f>
        <v>5.9891919768598268E+29</v>
      </c>
      <c r="QIY28" s="160">
        <f t="shared" ref="QIY28" si="5872">QIW28*$C$28</f>
        <v>6.0490838966284255E+29</v>
      </c>
      <c r="QJA28" s="160">
        <f t="shared" ref="QJA28" si="5873">QIY28*$C$28</f>
        <v>6.10957473559471E+29</v>
      </c>
      <c r="QJC28" s="160">
        <f t="shared" ref="QJC28" si="5874">QJA28*$C$28</f>
        <v>6.170670482950657E+29</v>
      </c>
      <c r="QJE28" s="160">
        <f t="shared" ref="QJE28" si="5875">QJC28*$C$28</f>
        <v>6.2323771877801635E+29</v>
      </c>
      <c r="QJG28" s="160">
        <f t="shared" ref="QJG28" si="5876">QJE28*$C$28</f>
        <v>6.294700959657965E+29</v>
      </c>
      <c r="QJI28" s="160">
        <f t="shared" ref="QJI28" si="5877">QJG28*$C$28</f>
        <v>6.3576479692545454E+29</v>
      </c>
      <c r="QJK28" s="160">
        <f t="shared" ref="QJK28" si="5878">QJI28*$C$28</f>
        <v>6.4212244489470913E+29</v>
      </c>
      <c r="QJM28" s="160">
        <f t="shared" ref="QJM28" si="5879">QJK28*$C$28</f>
        <v>6.4854366934365621E+29</v>
      </c>
      <c r="QJO28" s="160">
        <f t="shared" ref="QJO28" si="5880">QJM28*$C$28</f>
        <v>6.5502910603709284E+29</v>
      </c>
      <c r="QJQ28" s="160">
        <f t="shared" ref="QJQ28" si="5881">QJO28*$C$28</f>
        <v>6.6157939709746378E+29</v>
      </c>
      <c r="QJS28" s="160">
        <f t="shared" ref="QJS28" si="5882">QJQ28*$C$28</f>
        <v>6.6819519106843843E+29</v>
      </c>
      <c r="QJU28" s="160">
        <f t="shared" ref="QJU28" si="5883">QJS28*$C$28</f>
        <v>6.7487714297912279E+29</v>
      </c>
      <c r="QJW28" s="160">
        <f t="shared" ref="QJW28" si="5884">QJU28*$C$28</f>
        <v>6.8162591440891408E+29</v>
      </c>
      <c r="QJY28" s="160">
        <f t="shared" ref="QJY28" si="5885">QJW28*$C$28</f>
        <v>6.8844217355300322E+29</v>
      </c>
      <c r="QKA28" s="160">
        <f t="shared" ref="QKA28" si="5886">QJY28*$C$28</f>
        <v>6.9532659528853324E+29</v>
      </c>
      <c r="QKC28" s="160">
        <f t="shared" ref="QKC28" si="5887">QKA28*$C$28</f>
        <v>7.0227986124141857E+29</v>
      </c>
      <c r="QKE28" s="160">
        <f t="shared" ref="QKE28" si="5888">QKC28*$C$28</f>
        <v>7.0930265985383274E+29</v>
      </c>
      <c r="QKG28" s="160">
        <f t="shared" ref="QKG28" si="5889">QKE28*$C$28</f>
        <v>7.163956864523711E+29</v>
      </c>
      <c r="QKI28" s="160">
        <f t="shared" ref="QKI28" si="5890">QKG28*$C$28</f>
        <v>7.2355964331689477E+29</v>
      </c>
      <c r="QKK28" s="160">
        <f t="shared" ref="QKK28" si="5891">QKI28*$C$28</f>
        <v>7.3079523975006373E+29</v>
      </c>
      <c r="QKM28" s="160">
        <f t="shared" ref="QKM28" si="5892">QKK28*$C$28</f>
        <v>7.3810319214756439E+29</v>
      </c>
      <c r="QKO28" s="160">
        <f t="shared" ref="QKO28" si="5893">QKM28*$C$28</f>
        <v>7.4548422406903999E+29</v>
      </c>
      <c r="QKQ28" s="160">
        <f t="shared" ref="QKQ28" si="5894">QKO28*$C$28</f>
        <v>7.5293906630973037E+29</v>
      </c>
      <c r="QKS28" s="160">
        <f t="shared" ref="QKS28" si="5895">QKQ28*$C$28</f>
        <v>7.6046845697282766E+29</v>
      </c>
      <c r="QKU28" s="160">
        <f t="shared" ref="QKU28" si="5896">QKS28*$C$28</f>
        <v>7.68073141542556E+29</v>
      </c>
      <c r="QKW28" s="160">
        <f t="shared" ref="QKW28" si="5897">QKU28*$C$28</f>
        <v>7.7575387295798153E+29</v>
      </c>
      <c r="QKY28" s="160">
        <f t="shared" ref="QKY28" si="5898">QKW28*$C$28</f>
        <v>7.8351141168756138E+29</v>
      </c>
      <c r="QLA28" s="160">
        <f t="shared" ref="QLA28" si="5899">QKY28*$C$28</f>
        <v>7.9134652580443702E+29</v>
      </c>
      <c r="QLC28" s="160">
        <f t="shared" ref="QLC28" si="5900">QLA28*$C$28</f>
        <v>7.9925999106248146E+29</v>
      </c>
      <c r="QLE28" s="160">
        <f t="shared" ref="QLE28" si="5901">QLC28*$C$28</f>
        <v>8.0725259097310629E+29</v>
      </c>
      <c r="QLG28" s="160">
        <f t="shared" ref="QLG28" si="5902">QLE28*$C$28</f>
        <v>8.1532511688283735E+29</v>
      </c>
      <c r="QLI28" s="160">
        <f t="shared" ref="QLI28" si="5903">QLG28*$C$28</f>
        <v>8.234783680516658E+29</v>
      </c>
      <c r="QLK28" s="160">
        <f t="shared" ref="QLK28" si="5904">QLI28*$C$28</f>
        <v>8.3171315173218241E+29</v>
      </c>
      <c r="QLM28" s="160">
        <f t="shared" ref="QLM28" si="5905">QLK28*$C$28</f>
        <v>8.4003028324950423E+29</v>
      </c>
      <c r="QLO28" s="160">
        <f t="shared" ref="QLO28" si="5906">QLM28*$C$28</f>
        <v>8.4843058608199935E+29</v>
      </c>
      <c r="QLQ28" s="160">
        <f t="shared" ref="QLQ28" si="5907">QLO28*$C$28</f>
        <v>8.5691489194281936E+29</v>
      </c>
      <c r="QLS28" s="160">
        <f t="shared" ref="QLS28" si="5908">QLQ28*$C$28</f>
        <v>8.6548404086224753E+29</v>
      </c>
      <c r="QLU28" s="160">
        <f t="shared" ref="QLU28" si="5909">QLS28*$C$28</f>
        <v>8.7413888127087004E+29</v>
      </c>
      <c r="QLW28" s="160">
        <f t="shared" ref="QLW28" si="5910">QLU28*$C$28</f>
        <v>8.8288027008357878E+29</v>
      </c>
      <c r="QLY28" s="160">
        <f t="shared" ref="QLY28" si="5911">QLW28*$C$28</f>
        <v>8.9170907278441453E+29</v>
      </c>
      <c r="QMA28" s="160">
        <f t="shared" ref="QMA28" si="5912">QLY28*$C$28</f>
        <v>9.0062616351225868E+29</v>
      </c>
      <c r="QMC28" s="160">
        <f t="shared" ref="QMC28" si="5913">QMA28*$C$28</f>
        <v>9.0963242514738121E+29</v>
      </c>
      <c r="QME28" s="160">
        <f t="shared" ref="QME28" si="5914">QMC28*$C$28</f>
        <v>9.187287493988551E+29</v>
      </c>
      <c r="QMG28" s="160">
        <f t="shared" ref="QMG28" si="5915">QME28*$C$28</f>
        <v>9.2791603689284368E+29</v>
      </c>
      <c r="QMI28" s="160">
        <f t="shared" ref="QMI28" si="5916">QMG28*$C$28</f>
        <v>9.371951972617721E+29</v>
      </c>
      <c r="QMK28" s="160">
        <f t="shared" ref="QMK28" si="5917">QMI28*$C$28</f>
        <v>9.4656714923438987E+29</v>
      </c>
      <c r="QMM28" s="160">
        <f t="shared" ref="QMM28" si="5918">QMK28*$C$28</f>
        <v>9.5603282072673373E+29</v>
      </c>
      <c r="QMO28" s="160">
        <f t="shared" ref="QMO28" si="5919">QMM28*$C$28</f>
        <v>9.6559314893400109E+29</v>
      </c>
      <c r="QMQ28" s="160">
        <f t="shared" ref="QMQ28" si="5920">QMO28*$C$28</f>
        <v>9.7524908042334117E+29</v>
      </c>
      <c r="QMS28" s="160">
        <f t="shared" ref="QMS28" si="5921">QMQ28*$C$28</f>
        <v>9.8500157122757454E+29</v>
      </c>
      <c r="QMU28" s="160">
        <f t="shared" ref="QMU28" si="5922">QMS28*$C$28</f>
        <v>9.9485158693985032E+29</v>
      </c>
      <c r="QMW28" s="160">
        <f t="shared" ref="QMW28" si="5923">QMU28*$C$28</f>
        <v>1.0048001028092488E+30</v>
      </c>
      <c r="QMY28" s="160">
        <f t="shared" ref="QMY28" si="5924">QMW28*$C$28</f>
        <v>1.0148481038373413E+30</v>
      </c>
      <c r="QNA28" s="160">
        <f t="shared" ref="QNA28" si="5925">QMY28*$C$28</f>
        <v>1.0249965848757148E+30</v>
      </c>
      <c r="QNC28" s="160">
        <f t="shared" ref="QNC28" si="5926">QNA28*$C$28</f>
        <v>1.0352465507244719E+30</v>
      </c>
      <c r="QNE28" s="160">
        <f t="shared" ref="QNE28" si="5927">QNC28*$C$28</f>
        <v>1.0455990162317166E+30</v>
      </c>
      <c r="QNG28" s="160">
        <f t="shared" ref="QNG28" si="5928">QNE28*$C$28</f>
        <v>1.0560550063940337E+30</v>
      </c>
      <c r="QNI28" s="160">
        <f t="shared" ref="QNI28" si="5929">QNG28*$C$28</f>
        <v>1.0666155564579741E+30</v>
      </c>
      <c r="QNK28" s="160">
        <f t="shared" ref="QNK28" si="5930">QNI28*$C$28</f>
        <v>1.0772817120225538E+30</v>
      </c>
      <c r="QNM28" s="160">
        <f t="shared" ref="QNM28" si="5931">QNK28*$C$28</f>
        <v>1.0880545291427794E+30</v>
      </c>
      <c r="QNO28" s="160">
        <f t="shared" ref="QNO28" si="5932">QNM28*$C$28</f>
        <v>1.0989350744342072E+30</v>
      </c>
      <c r="QNQ28" s="160">
        <f t="shared" ref="QNQ28" si="5933">QNO28*$C$28</f>
        <v>1.1099244251785492E+30</v>
      </c>
      <c r="QNS28" s="160">
        <f t="shared" ref="QNS28" si="5934">QNQ28*$C$28</f>
        <v>1.1210236694303347E+30</v>
      </c>
      <c r="QNU28" s="160">
        <f t="shared" ref="QNU28" si="5935">QNS28*$C$28</f>
        <v>1.1322339061246381E+30</v>
      </c>
      <c r="QNW28" s="160">
        <f t="shared" ref="QNW28" si="5936">QNU28*$C$28</f>
        <v>1.1435562451858845E+30</v>
      </c>
      <c r="QNY28" s="160">
        <f t="shared" ref="QNY28" si="5937">QNW28*$C$28</f>
        <v>1.1549918076377434E+30</v>
      </c>
      <c r="QOA28" s="160">
        <f t="shared" ref="QOA28" si="5938">QNY28*$C$28</f>
        <v>1.1665417257141209E+30</v>
      </c>
      <c r="QOC28" s="160">
        <f t="shared" ref="QOC28" si="5939">QOA28*$C$28</f>
        <v>1.1782071429712621E+30</v>
      </c>
      <c r="QOE28" s="160">
        <f t="shared" ref="QOE28" si="5940">QOC28*$C$28</f>
        <v>1.1899892144009747E+30</v>
      </c>
      <c r="QOG28" s="160">
        <f t="shared" ref="QOG28" si="5941">QOE28*$C$28</f>
        <v>1.2018891065449845E+30</v>
      </c>
      <c r="QOI28" s="160">
        <f t="shared" ref="QOI28" si="5942">QOG28*$C$28</f>
        <v>1.2139079976104344E+30</v>
      </c>
      <c r="QOK28" s="160">
        <f t="shared" ref="QOK28" si="5943">QOI28*$C$28</f>
        <v>1.2260470775865387E+30</v>
      </c>
      <c r="QOM28" s="160">
        <f t="shared" ref="QOM28" si="5944">QOK28*$C$28</f>
        <v>1.2383075483624041E+30</v>
      </c>
      <c r="QOO28" s="160">
        <f t="shared" ref="QOO28" si="5945">QOM28*$C$28</f>
        <v>1.2506906238460282E+30</v>
      </c>
      <c r="QOQ28" s="160">
        <f t="shared" ref="QOQ28" si="5946">QOO28*$C$28</f>
        <v>1.2631975300844885E+30</v>
      </c>
      <c r="QOS28" s="160">
        <f t="shared" ref="QOS28" si="5947">QOQ28*$C$28</f>
        <v>1.2758295053853333E+30</v>
      </c>
      <c r="QOU28" s="160">
        <f t="shared" ref="QOU28" si="5948">QOS28*$C$28</f>
        <v>1.2885878004391868E+30</v>
      </c>
      <c r="QOW28" s="160">
        <f t="shared" ref="QOW28" si="5949">QOU28*$C$28</f>
        <v>1.3014736784435788E+30</v>
      </c>
      <c r="QOY28" s="160">
        <f t="shared" ref="QOY28" si="5950">QOW28*$C$28</f>
        <v>1.3144884152280146E+30</v>
      </c>
      <c r="QPA28" s="160">
        <f t="shared" ref="QPA28" si="5951">QOY28*$C$28</f>
        <v>1.3276332993802948E+30</v>
      </c>
      <c r="QPC28" s="160">
        <f t="shared" ref="QPC28" si="5952">QPA28*$C$28</f>
        <v>1.3409096323740977E+30</v>
      </c>
      <c r="QPE28" s="160">
        <f t="shared" ref="QPE28" si="5953">QPC28*$C$28</f>
        <v>1.3543187286978387E+30</v>
      </c>
      <c r="QPG28" s="160">
        <f t="shared" ref="QPG28" si="5954">QPE28*$C$28</f>
        <v>1.367861915984817E+30</v>
      </c>
      <c r="QPI28" s="160">
        <f t="shared" ref="QPI28" si="5955">QPG28*$C$28</f>
        <v>1.3815405351446651E+30</v>
      </c>
      <c r="QPK28" s="160">
        <f t="shared" ref="QPK28" si="5956">QPI28*$C$28</f>
        <v>1.3953559404961117E+30</v>
      </c>
      <c r="QPM28" s="160">
        <f t="shared" ref="QPM28" si="5957">QPK28*$C$28</f>
        <v>1.4093094999010729E+30</v>
      </c>
      <c r="QPO28" s="160">
        <f t="shared" ref="QPO28" si="5958">QPM28*$C$28</f>
        <v>1.4234025949000836E+30</v>
      </c>
      <c r="QPQ28" s="160">
        <f t="shared" ref="QPQ28" si="5959">QPO28*$C$28</f>
        <v>1.4376366208490845E+30</v>
      </c>
      <c r="QPS28" s="160">
        <f t="shared" ref="QPS28" si="5960">QPQ28*$C$28</f>
        <v>1.4520129870575754E+30</v>
      </c>
      <c r="QPU28" s="160">
        <f t="shared" ref="QPU28" si="5961">QPS28*$C$28</f>
        <v>1.4665331169281511E+30</v>
      </c>
      <c r="QPW28" s="160">
        <f t="shared" ref="QPW28" si="5962">QPU28*$C$28</f>
        <v>1.4811984480974327E+30</v>
      </c>
      <c r="QPY28" s="160">
        <f t="shared" ref="QPY28" si="5963">QPW28*$C$28</f>
        <v>1.496010432578407E+30</v>
      </c>
      <c r="QQA28" s="160">
        <f t="shared" ref="QQA28" si="5964">QPY28*$C$28</f>
        <v>1.5109705369041912E+30</v>
      </c>
      <c r="QQC28" s="160">
        <f t="shared" ref="QQC28" si="5965">QQA28*$C$28</f>
        <v>1.5260802422732332E+30</v>
      </c>
      <c r="QQE28" s="160">
        <f t="shared" ref="QQE28" si="5966">QQC28*$C$28</f>
        <v>1.5413410446959655E+30</v>
      </c>
      <c r="QQG28" s="160">
        <f t="shared" ref="QQG28" si="5967">QQE28*$C$28</f>
        <v>1.5567544551429251E+30</v>
      </c>
      <c r="QQI28" s="160">
        <f t="shared" ref="QQI28" si="5968">QQG28*$C$28</f>
        <v>1.5723219996943544E+30</v>
      </c>
      <c r="QQK28" s="160">
        <f t="shared" ref="QQK28" si="5969">QQI28*$C$28</f>
        <v>1.588045219691298E+30</v>
      </c>
      <c r="QQM28" s="160">
        <f t="shared" ref="QQM28" si="5970">QQK28*$C$28</f>
        <v>1.6039256718882109E+30</v>
      </c>
      <c r="QQO28" s="160">
        <f t="shared" ref="QQO28" si="5971">QQM28*$C$28</f>
        <v>1.6199649286070929E+30</v>
      </c>
      <c r="QQQ28" s="160">
        <f t="shared" ref="QQQ28" si="5972">QQO28*$C$28</f>
        <v>1.6361645778931639E+30</v>
      </c>
      <c r="QQS28" s="160">
        <f t="shared" ref="QQS28" si="5973">QQQ28*$C$28</f>
        <v>1.6525262236720955E+30</v>
      </c>
      <c r="QQU28" s="160">
        <f t="shared" ref="QQU28" si="5974">QQS28*$C$28</f>
        <v>1.6690514859088165E+30</v>
      </c>
      <c r="QQW28" s="160">
        <f t="shared" ref="QQW28" si="5975">QQU28*$C$28</f>
        <v>1.6857420007679048E+30</v>
      </c>
      <c r="QQY28" s="160">
        <f t="shared" ref="QQY28" si="5976">QQW28*$C$28</f>
        <v>1.702599420775584E+30</v>
      </c>
      <c r="QRA28" s="160">
        <f t="shared" ref="QRA28" si="5977">QQY28*$C$28</f>
        <v>1.7196254149833397E+30</v>
      </c>
      <c r="QRC28" s="160">
        <f t="shared" ref="QRC28" si="5978">QRA28*$C$28</f>
        <v>1.7368216691331731E+30</v>
      </c>
      <c r="QRE28" s="160">
        <f t="shared" ref="QRE28" si="5979">QRC28*$C$28</f>
        <v>1.7541898858245048E+30</v>
      </c>
      <c r="QRG28" s="160">
        <f t="shared" ref="QRG28" si="5980">QRE28*$C$28</f>
        <v>1.7717317846827498E+30</v>
      </c>
      <c r="QRI28" s="160">
        <f t="shared" ref="QRI28" si="5981">QRG28*$C$28</f>
        <v>1.7894491025295772E+30</v>
      </c>
      <c r="QRK28" s="160">
        <f t="shared" ref="QRK28" si="5982">QRI28*$C$28</f>
        <v>1.807343593554873E+30</v>
      </c>
      <c r="QRM28" s="160">
        <f t="shared" ref="QRM28" si="5983">QRK28*$C$28</f>
        <v>1.8254170294904218E+30</v>
      </c>
      <c r="QRO28" s="160">
        <f t="shared" ref="QRO28" si="5984">QRM28*$C$28</f>
        <v>1.843671199785326E+30</v>
      </c>
      <c r="QRQ28" s="160">
        <f t="shared" ref="QRQ28" si="5985">QRO28*$C$28</f>
        <v>1.8621079117831794E+30</v>
      </c>
      <c r="QRS28" s="160">
        <f t="shared" ref="QRS28" si="5986">QRQ28*$C$28</f>
        <v>1.8807289909010111E+30</v>
      </c>
      <c r="QRU28" s="160">
        <f t="shared" ref="QRU28" si="5987">QRS28*$C$28</f>
        <v>1.8995362808100213E+30</v>
      </c>
      <c r="QRW28" s="160">
        <f t="shared" ref="QRW28" si="5988">QRU28*$C$28</f>
        <v>1.9185316436181215E+30</v>
      </c>
      <c r="QRY28" s="160">
        <f t="shared" ref="QRY28" si="5989">QRW28*$C$28</f>
        <v>1.9377169600543027E+30</v>
      </c>
      <c r="QSA28" s="160">
        <f t="shared" ref="QSA28" si="5990">QRY28*$C$28</f>
        <v>1.9570941296548459E+30</v>
      </c>
      <c r="QSC28" s="160">
        <f t="shared" ref="QSC28" si="5991">QSA28*$C$28</f>
        <v>1.9766650709513942E+30</v>
      </c>
      <c r="QSE28" s="160">
        <f t="shared" ref="QSE28" si="5992">QSC28*$C$28</f>
        <v>1.9964317216609082E+30</v>
      </c>
      <c r="QSG28" s="160">
        <f t="shared" ref="QSG28" si="5993">QSE28*$C$28</f>
        <v>2.0163960388775172E+30</v>
      </c>
      <c r="QSI28" s="160">
        <f t="shared" ref="QSI28" si="5994">QSG28*$C$28</f>
        <v>2.0365599992662924E+30</v>
      </c>
      <c r="QSK28" s="160">
        <f t="shared" ref="QSK28" si="5995">QSI28*$C$28</f>
        <v>2.0569255992589553E+30</v>
      </c>
      <c r="QSM28" s="160">
        <f t="shared" ref="QSM28" si="5996">QSK28*$C$28</f>
        <v>2.0774948552515448E+30</v>
      </c>
      <c r="QSO28" s="160">
        <f t="shared" ref="QSO28" si="5997">QSM28*$C$28</f>
        <v>2.0982698038040602E+30</v>
      </c>
      <c r="QSQ28" s="160">
        <f t="shared" ref="QSQ28" si="5998">QSO28*$C$28</f>
        <v>2.1192525018421007E+30</v>
      </c>
      <c r="QSS28" s="160">
        <f t="shared" ref="QSS28" si="5999">QSQ28*$C$28</f>
        <v>2.1404450268605217E+30</v>
      </c>
      <c r="QSU28" s="160">
        <f t="shared" ref="QSU28" si="6000">QSS28*$C$28</f>
        <v>2.1618494771291269E+30</v>
      </c>
      <c r="QSW28" s="160">
        <f t="shared" ref="QSW28" si="6001">QSU28*$C$28</f>
        <v>2.1834679719004183E+30</v>
      </c>
      <c r="QSY28" s="160">
        <f t="shared" ref="QSY28" si="6002">QSW28*$C$28</f>
        <v>2.2053026516194225E+30</v>
      </c>
      <c r="QTA28" s="160">
        <f t="shared" ref="QTA28" si="6003">QSY28*$C$28</f>
        <v>2.2273556781356166E+30</v>
      </c>
      <c r="QTC28" s="160">
        <f t="shared" ref="QTC28" si="6004">QTA28*$C$28</f>
        <v>2.2496292349169729E+30</v>
      </c>
      <c r="QTE28" s="160">
        <f t="shared" ref="QTE28" si="6005">QTC28*$C$28</f>
        <v>2.2721255272661425E+30</v>
      </c>
      <c r="QTG28" s="160">
        <f t="shared" ref="QTG28" si="6006">QTE28*$C$28</f>
        <v>2.2948467825388039E+30</v>
      </c>
      <c r="QTI28" s="160">
        <f t="shared" ref="QTI28" si="6007">QTG28*$C$28</f>
        <v>2.3177952503641918E+30</v>
      </c>
      <c r="QTK28" s="160">
        <f t="shared" ref="QTK28" si="6008">QTI28*$C$28</f>
        <v>2.3409732028678337E+30</v>
      </c>
      <c r="QTM28" s="160">
        <f t="shared" ref="QTM28" si="6009">QTK28*$C$28</f>
        <v>2.3643829348965122E+30</v>
      </c>
      <c r="QTO28" s="160">
        <f t="shared" ref="QTO28" si="6010">QTM28*$C$28</f>
        <v>2.3880267642454772E+30</v>
      </c>
      <c r="QTQ28" s="160">
        <f t="shared" ref="QTQ28" si="6011">QTO28*$C$28</f>
        <v>2.411907031887932E+30</v>
      </c>
      <c r="QTS28" s="160">
        <f t="shared" ref="QTS28" si="6012">QTQ28*$C$28</f>
        <v>2.4360261022068114E+30</v>
      </c>
      <c r="QTU28" s="160">
        <f t="shared" ref="QTU28" si="6013">QTS28*$C$28</f>
        <v>2.4603863632288795E+30</v>
      </c>
      <c r="QTW28" s="160">
        <f t="shared" ref="QTW28" si="6014">QTU28*$C$28</f>
        <v>2.4849902268611684E+30</v>
      </c>
      <c r="QTY28" s="160">
        <f t="shared" ref="QTY28" si="6015">QTW28*$C$28</f>
        <v>2.50984012912978E+30</v>
      </c>
      <c r="QUA28" s="160">
        <f t="shared" ref="QUA28" si="6016">QTY28*$C$28</f>
        <v>2.5349385304210778E+30</v>
      </c>
      <c r="QUC28" s="160">
        <f t="shared" ref="QUC28" si="6017">QUA28*$C$28</f>
        <v>2.5602879157252889E+30</v>
      </c>
      <c r="QUE28" s="160">
        <f t="shared" ref="QUE28" si="6018">QUC28*$C$28</f>
        <v>2.5858907948825416E+30</v>
      </c>
      <c r="QUG28" s="160">
        <f t="shared" ref="QUG28" si="6019">QUE28*$C$28</f>
        <v>2.6117497028313673E+30</v>
      </c>
      <c r="QUI28" s="160">
        <f t="shared" ref="QUI28" si="6020">QUG28*$C$28</f>
        <v>2.6378671998596811E+30</v>
      </c>
      <c r="QUK28" s="160">
        <f t="shared" ref="QUK28" si="6021">QUI28*$C$28</f>
        <v>2.6642458718582778E+30</v>
      </c>
      <c r="QUM28" s="160">
        <f t="shared" ref="QUM28" si="6022">QUK28*$C$28</f>
        <v>2.6908883305768603E+30</v>
      </c>
      <c r="QUO28" s="160">
        <f t="shared" ref="QUO28" si="6023">QUM28*$C$28</f>
        <v>2.7177972138826288E+30</v>
      </c>
      <c r="QUQ28" s="160">
        <f t="shared" ref="QUQ28" si="6024">QUO28*$C$28</f>
        <v>2.7449751860214553E+30</v>
      </c>
      <c r="QUS28" s="160">
        <f t="shared" ref="QUS28" si="6025">QUQ28*$C$28</f>
        <v>2.77242493788167E+30</v>
      </c>
      <c r="QUU28" s="160">
        <f t="shared" ref="QUU28" si="6026">QUS28*$C$28</f>
        <v>2.8001491872604866E+30</v>
      </c>
      <c r="QUW28" s="160">
        <f t="shared" ref="QUW28" si="6027">QUU28*$C$28</f>
        <v>2.8281506791330913E+30</v>
      </c>
      <c r="QUY28" s="160">
        <f t="shared" ref="QUY28" si="6028">QUW28*$C$28</f>
        <v>2.8564321859244221E+30</v>
      </c>
      <c r="QVA28" s="160">
        <f t="shared" ref="QVA28" si="6029">QUY28*$C$28</f>
        <v>2.8849965077836665E+30</v>
      </c>
      <c r="QVC28" s="160">
        <f t="shared" ref="QVC28" si="6030">QVA28*$C$28</f>
        <v>2.9138464728615035E+30</v>
      </c>
      <c r="QVE28" s="160">
        <f t="shared" ref="QVE28" si="6031">QVC28*$C$28</f>
        <v>2.9429849375901184E+30</v>
      </c>
      <c r="QVG28" s="160">
        <f t="shared" ref="QVG28" si="6032">QVE28*$C$28</f>
        <v>2.9724147869660194E+30</v>
      </c>
      <c r="QVI28" s="160">
        <f t="shared" ref="QVI28" si="6033">QVG28*$C$28</f>
        <v>3.0021389348356794E+30</v>
      </c>
      <c r="QVK28" s="160">
        <f t="shared" ref="QVK28" si="6034">QVI28*$C$28</f>
        <v>3.032160324184036E+30</v>
      </c>
      <c r="QVM28" s="160">
        <f t="shared" ref="QVM28" si="6035">QVK28*$C$28</f>
        <v>3.0624819274258764E+30</v>
      </c>
      <c r="QVO28" s="160">
        <f t="shared" ref="QVO28" si="6036">QVM28*$C$28</f>
        <v>3.0931067467001351E+30</v>
      </c>
      <c r="QVQ28" s="160">
        <f t="shared" ref="QVQ28" si="6037">QVO28*$C$28</f>
        <v>3.1240378141671362E+30</v>
      </c>
      <c r="QVS28" s="160">
        <f t="shared" ref="QVS28" si="6038">QVQ28*$C$28</f>
        <v>3.1552781923088075E+30</v>
      </c>
      <c r="QVU28" s="160">
        <f t="shared" ref="QVU28" si="6039">QVS28*$C$28</f>
        <v>3.1868309742318955E+30</v>
      </c>
      <c r="QVW28" s="160">
        <f t="shared" ref="QVW28" si="6040">QVU28*$C$28</f>
        <v>3.2186992839742146E+30</v>
      </c>
      <c r="QVY28" s="160">
        <f t="shared" ref="QVY28" si="6041">QVW28*$C$28</f>
        <v>3.2508862768139568E+30</v>
      </c>
      <c r="QWA28" s="160">
        <f t="shared" ref="QWA28" si="6042">QVY28*$C$28</f>
        <v>3.2833951395820964E+30</v>
      </c>
      <c r="QWC28" s="160">
        <f t="shared" ref="QWC28" si="6043">QWA28*$C$28</f>
        <v>3.3162290909779174E+30</v>
      </c>
      <c r="QWE28" s="160">
        <f t="shared" ref="QWE28" si="6044">QWC28*$C$28</f>
        <v>3.3493913818876966E+30</v>
      </c>
      <c r="QWG28" s="160">
        <f t="shared" ref="QWG28" si="6045">QWE28*$C$28</f>
        <v>3.3828852957065737E+30</v>
      </c>
      <c r="QWI28" s="160">
        <f t="shared" ref="QWI28" si="6046">QWG28*$C$28</f>
        <v>3.4167141486636394E+30</v>
      </c>
      <c r="QWK28" s="160">
        <f t="shared" ref="QWK28" si="6047">QWI28*$C$28</f>
        <v>3.450881290150276E+30</v>
      </c>
      <c r="QWM28" s="160">
        <f t="shared" ref="QWM28" si="6048">QWK28*$C$28</f>
        <v>3.4853901030517788E+30</v>
      </c>
      <c r="QWO28" s="160">
        <f t="shared" ref="QWO28" si="6049">QWM28*$C$28</f>
        <v>3.5202440040822967E+30</v>
      </c>
      <c r="QWQ28" s="160">
        <f t="shared" ref="QWQ28" si="6050">QWO28*$C$28</f>
        <v>3.5554464441231196E+30</v>
      </c>
      <c r="QWS28" s="160">
        <f t="shared" ref="QWS28" si="6051">QWQ28*$C$28</f>
        <v>3.5910009085643508E+30</v>
      </c>
      <c r="QWU28" s="160">
        <f t="shared" ref="QWU28" si="6052">QWS28*$C$28</f>
        <v>3.6269109176499943E+30</v>
      </c>
      <c r="QWW28" s="160">
        <f t="shared" ref="QWW28" si="6053">QWU28*$C$28</f>
        <v>3.6631800268264942E+30</v>
      </c>
      <c r="QWY28" s="160">
        <f t="shared" ref="QWY28" si="6054">QWW28*$C$28</f>
        <v>3.699811827094759E+30</v>
      </c>
      <c r="QXA28" s="160">
        <f t="shared" ref="QXA28" si="6055">QWY28*$C$28</f>
        <v>3.7368099453657065E+30</v>
      </c>
      <c r="QXC28" s="160">
        <f t="shared" ref="QXC28" si="6056">QXA28*$C$28</f>
        <v>3.7741780448193638E+30</v>
      </c>
      <c r="QXE28" s="160">
        <f t="shared" ref="QXE28" si="6057">QXC28*$C$28</f>
        <v>3.8119198252675572E+30</v>
      </c>
      <c r="QXG28" s="160">
        <f t="shared" ref="QXG28" si="6058">QXE28*$C$28</f>
        <v>3.8500390235202326E+30</v>
      </c>
      <c r="QXI28" s="160">
        <f t="shared" ref="QXI28" si="6059">QXG28*$C$28</f>
        <v>3.8885394137554348E+30</v>
      </c>
      <c r="QXK28" s="160">
        <f t="shared" ref="QXK28" si="6060">QXI28*$C$28</f>
        <v>3.9274248078929891E+30</v>
      </c>
      <c r="QXM28" s="160">
        <f t="shared" ref="QXM28" si="6061">QXK28*$C$28</f>
        <v>3.9666990559719189E+30</v>
      </c>
      <c r="QXO28" s="160">
        <f t="shared" ref="QXO28" si="6062">QXM28*$C$28</f>
        <v>4.0063660465316379E+30</v>
      </c>
      <c r="QXQ28" s="160">
        <f t="shared" ref="QXQ28" si="6063">QXO28*$C$28</f>
        <v>4.0464297069969541E+30</v>
      </c>
      <c r="QXS28" s="160">
        <f t="shared" ref="QXS28" si="6064">QXQ28*$C$28</f>
        <v>4.0868940040669237E+30</v>
      </c>
      <c r="QXU28" s="160">
        <f t="shared" ref="QXU28" si="6065">QXS28*$C$28</f>
        <v>4.1277629441075932E+30</v>
      </c>
      <c r="QXW28" s="160">
        <f t="shared" ref="QXW28" si="6066">QXU28*$C$28</f>
        <v>4.1690405735486689E+30</v>
      </c>
      <c r="QXY28" s="160">
        <f t="shared" ref="QXY28" si="6067">QXW28*$C$28</f>
        <v>4.2107309792841555E+30</v>
      </c>
      <c r="QYA28" s="160">
        <f t="shared" ref="QYA28" si="6068">QXY28*$C$28</f>
        <v>4.2528382890769969E+30</v>
      </c>
      <c r="QYC28" s="160">
        <f t="shared" ref="QYC28" si="6069">QYA28*$C$28</f>
        <v>4.295366671967767E+30</v>
      </c>
      <c r="QYE28" s="160">
        <f t="shared" ref="QYE28" si="6070">QYC28*$C$28</f>
        <v>4.3383203386874445E+30</v>
      </c>
      <c r="QYG28" s="160">
        <f t="shared" ref="QYG28" si="6071">QYE28*$C$28</f>
        <v>4.3817035420743192E+30</v>
      </c>
      <c r="QYI28" s="160">
        <f t="shared" ref="QYI28" si="6072">QYG28*$C$28</f>
        <v>4.4255205774950623E+30</v>
      </c>
      <c r="QYK28" s="160">
        <f t="shared" ref="QYK28" si="6073">QYI28*$C$28</f>
        <v>4.4697757832700129E+30</v>
      </c>
      <c r="QYM28" s="160">
        <f t="shared" ref="QYM28" si="6074">QYK28*$C$28</f>
        <v>4.514473541102713E+30</v>
      </c>
      <c r="QYO28" s="160">
        <f t="shared" ref="QYO28" si="6075">QYM28*$C$28</f>
        <v>4.5596182765137403E+30</v>
      </c>
      <c r="QYQ28" s="160">
        <f t="shared" ref="QYQ28" si="6076">QYO28*$C$28</f>
        <v>4.6052144592788779E+30</v>
      </c>
      <c r="QYS28" s="160">
        <f t="shared" ref="QYS28" si="6077">QYQ28*$C$28</f>
        <v>4.6512666038716669E+30</v>
      </c>
      <c r="QYU28" s="160">
        <f t="shared" ref="QYU28" si="6078">QYS28*$C$28</f>
        <v>4.6977792699103835E+30</v>
      </c>
      <c r="QYW28" s="160">
        <f t="shared" ref="QYW28" si="6079">QYU28*$C$28</f>
        <v>4.7447570626094872E+30</v>
      </c>
      <c r="QYY28" s="160">
        <f t="shared" ref="QYY28" si="6080">QYW28*$C$28</f>
        <v>4.792204633235582E+30</v>
      </c>
      <c r="QZA28" s="160">
        <f t="shared" ref="QZA28" si="6081">QYY28*$C$28</f>
        <v>4.8401266795679379E+30</v>
      </c>
      <c r="QZC28" s="160">
        <f t="shared" ref="QZC28" si="6082">QZA28*$C$28</f>
        <v>4.8885279463636171E+30</v>
      </c>
      <c r="QZE28" s="160">
        <f t="shared" ref="QZE28" si="6083">QZC28*$C$28</f>
        <v>4.9374132258272534E+30</v>
      </c>
      <c r="QZG28" s="160">
        <f t="shared" ref="QZG28" si="6084">QZE28*$C$28</f>
        <v>4.986787358085526E+30</v>
      </c>
      <c r="QZI28" s="160">
        <f t="shared" ref="QZI28" si="6085">QZG28*$C$28</f>
        <v>5.0366552316663811E+30</v>
      </c>
      <c r="QZK28" s="160">
        <f t="shared" ref="QZK28" si="6086">QZI28*$C$28</f>
        <v>5.0870217839830453E+30</v>
      </c>
      <c r="QZM28" s="160">
        <f t="shared" ref="QZM28" si="6087">QZK28*$C$28</f>
        <v>5.1378920018228761E+30</v>
      </c>
      <c r="QZO28" s="160">
        <f t="shared" ref="QZO28" si="6088">QZM28*$C$28</f>
        <v>5.1892709218411053E+30</v>
      </c>
      <c r="QZQ28" s="160">
        <f t="shared" ref="QZQ28" si="6089">QZO28*$C$28</f>
        <v>5.2411636310595159E+30</v>
      </c>
      <c r="QZS28" s="160">
        <f t="shared" ref="QZS28" si="6090">QZQ28*$C$28</f>
        <v>5.2935752673701109E+30</v>
      </c>
      <c r="QZU28" s="160">
        <f t="shared" ref="QZU28" si="6091">QZS28*$C$28</f>
        <v>5.3465110200438125E+30</v>
      </c>
      <c r="QZW28" s="160">
        <f t="shared" ref="QZW28" si="6092">QZU28*$C$28</f>
        <v>5.3999761302442505E+30</v>
      </c>
      <c r="QZY28" s="160">
        <f t="shared" ref="QZY28" si="6093">QZW28*$C$28</f>
        <v>5.4539758915466926E+30</v>
      </c>
      <c r="RAA28" s="160">
        <f t="shared" ref="RAA28" si="6094">QZY28*$C$28</f>
        <v>5.5085156504621592E+30</v>
      </c>
      <c r="RAC28" s="160">
        <f t="shared" ref="RAC28" si="6095">RAA28*$C$28</f>
        <v>5.563600806966781E+30</v>
      </c>
      <c r="RAE28" s="160">
        <f t="shared" ref="RAE28" si="6096">RAC28*$C$28</f>
        <v>5.6192368150364488E+30</v>
      </c>
      <c r="RAG28" s="160">
        <f t="shared" ref="RAG28" si="6097">RAE28*$C$28</f>
        <v>5.6754291831868129E+30</v>
      </c>
      <c r="RAI28" s="160">
        <f t="shared" ref="RAI28" si="6098">RAG28*$C$28</f>
        <v>5.7321834750186806E+30</v>
      </c>
      <c r="RAK28" s="160">
        <f t="shared" ref="RAK28" si="6099">RAI28*$C$28</f>
        <v>5.7895053097688678E+30</v>
      </c>
      <c r="RAM28" s="160">
        <f t="shared" ref="RAM28" si="6100">RAK28*$C$28</f>
        <v>5.8474003628665565E+30</v>
      </c>
      <c r="RAO28" s="160">
        <f t="shared" ref="RAO28" si="6101">RAM28*$C$28</f>
        <v>5.9058743664952226E+30</v>
      </c>
      <c r="RAQ28" s="160">
        <f t="shared" ref="RAQ28" si="6102">RAO28*$C$28</f>
        <v>5.9649331101601747E+30</v>
      </c>
      <c r="RAS28" s="160">
        <f t="shared" ref="RAS28" si="6103">RAQ28*$C$28</f>
        <v>6.0245824412617763E+30</v>
      </c>
      <c r="RAU28" s="160">
        <f t="shared" ref="RAU28" si="6104">RAS28*$C$28</f>
        <v>6.084828265674394E+30</v>
      </c>
      <c r="RAW28" s="160">
        <f t="shared" ref="RAW28" si="6105">RAU28*$C$28</f>
        <v>6.1456765483311375E+30</v>
      </c>
      <c r="RAY28" s="160">
        <f t="shared" ref="RAY28" si="6106">RAW28*$C$28</f>
        <v>6.2071333138144492E+30</v>
      </c>
      <c r="RBA28" s="160">
        <f t="shared" ref="RBA28" si="6107">RAY28*$C$28</f>
        <v>6.2692046469525935E+30</v>
      </c>
      <c r="RBC28" s="160">
        <f t="shared" ref="RBC28" si="6108">RBA28*$C$28</f>
        <v>6.331896693422119E+30</v>
      </c>
      <c r="RBE28" s="160">
        <f t="shared" ref="RBE28" si="6109">RBC28*$C$28</f>
        <v>6.3952156603563401E+30</v>
      </c>
      <c r="RBG28" s="160">
        <f t="shared" ref="RBG28" si="6110">RBE28*$C$28</f>
        <v>6.4591678169599037E+30</v>
      </c>
      <c r="RBI28" s="160">
        <f t="shared" ref="RBI28" si="6111">RBG28*$C$28</f>
        <v>6.5237594951295032E+30</v>
      </c>
      <c r="RBK28" s="160">
        <f t="shared" ref="RBK28" si="6112">RBI28*$C$28</f>
        <v>6.5889970900807981E+30</v>
      </c>
      <c r="RBM28" s="160">
        <f t="shared" ref="RBM28" si="6113">RBK28*$C$28</f>
        <v>6.6548870609816063E+30</v>
      </c>
      <c r="RBO28" s="160">
        <f t="shared" ref="RBO28" si="6114">RBM28*$C$28</f>
        <v>6.7214359315914229E+30</v>
      </c>
      <c r="RBQ28" s="160">
        <f t="shared" ref="RBQ28" si="6115">RBO28*$C$28</f>
        <v>6.788650290907337E+30</v>
      </c>
      <c r="RBS28" s="160">
        <f t="shared" ref="RBS28" si="6116">RBQ28*$C$28</f>
        <v>6.8565367938164106E+30</v>
      </c>
      <c r="RBU28" s="160">
        <f t="shared" ref="RBU28" si="6117">RBS28*$C$28</f>
        <v>6.9251021617545745E+30</v>
      </c>
      <c r="RBW28" s="160">
        <f t="shared" ref="RBW28" si="6118">RBU28*$C$28</f>
        <v>6.9943531833721203E+30</v>
      </c>
      <c r="RBY28" s="160">
        <f t="shared" ref="RBY28" si="6119">RBW28*$C$28</f>
        <v>7.0642967152058416E+30</v>
      </c>
      <c r="RCA28" s="160">
        <f t="shared" ref="RCA28" si="6120">RBY28*$C$28</f>
        <v>7.1349396823578999E+30</v>
      </c>
      <c r="RCC28" s="160">
        <f t="shared" ref="RCC28" si="6121">RCA28*$C$28</f>
        <v>7.2062890791814794E+30</v>
      </c>
      <c r="RCE28" s="160">
        <f t="shared" ref="RCE28" si="6122">RCC28*$C$28</f>
        <v>7.2783519699732944E+30</v>
      </c>
      <c r="RCG28" s="160">
        <f t="shared" ref="RCG28" si="6123">RCE28*$C$28</f>
        <v>7.3511354896730277E+30</v>
      </c>
      <c r="RCI28" s="160">
        <f t="shared" ref="RCI28" si="6124">RCG28*$C$28</f>
        <v>7.424646844569758E+30</v>
      </c>
      <c r="RCK28" s="160">
        <f t="shared" ref="RCK28" si="6125">RCI28*$C$28</f>
        <v>7.4988933130154557E+30</v>
      </c>
      <c r="RCM28" s="160">
        <f t="shared" ref="RCM28" si="6126">RCK28*$C$28</f>
        <v>7.5738822461456102E+30</v>
      </c>
      <c r="RCO28" s="160">
        <f t="shared" ref="RCO28" si="6127">RCM28*$C$28</f>
        <v>7.6496210686070658E+30</v>
      </c>
      <c r="RCQ28" s="160">
        <f t="shared" ref="RCQ28" si="6128">RCO28*$C$28</f>
        <v>7.7261172792931364E+30</v>
      </c>
      <c r="RCS28" s="160">
        <f t="shared" ref="RCS28" si="6129">RCQ28*$C$28</f>
        <v>7.8033784520860677E+30</v>
      </c>
      <c r="RCU28" s="160">
        <f t="shared" ref="RCU28" si="6130">RCS28*$C$28</f>
        <v>7.8814122366069282E+30</v>
      </c>
      <c r="RCW28" s="160">
        <f t="shared" ref="RCW28" si="6131">RCU28*$C$28</f>
        <v>7.9602263589729978E+30</v>
      </c>
      <c r="RCY28" s="160">
        <f t="shared" ref="RCY28" si="6132">RCW28*$C$28</f>
        <v>8.0398286225627276E+30</v>
      </c>
      <c r="RDA28" s="160">
        <f t="shared" ref="RDA28" si="6133">RCY28*$C$28</f>
        <v>8.1202269087883549E+30</v>
      </c>
      <c r="RDC28" s="160">
        <f t="shared" ref="RDC28" si="6134">RDA28*$C$28</f>
        <v>8.2014291778762387E+30</v>
      </c>
      <c r="RDE28" s="160">
        <f t="shared" ref="RDE28" si="6135">RDC28*$C$28</f>
        <v>8.2834434696550009E+30</v>
      </c>
      <c r="RDG28" s="160">
        <f t="shared" ref="RDG28" si="6136">RDE28*$C$28</f>
        <v>8.3662779043515509E+30</v>
      </c>
      <c r="RDI28" s="160">
        <f t="shared" ref="RDI28" si="6137">RDG28*$C$28</f>
        <v>8.449940683395066E+30</v>
      </c>
      <c r="RDK28" s="160">
        <f t="shared" ref="RDK28" si="6138">RDI28*$C$28</f>
        <v>8.5344400902290164E+30</v>
      </c>
      <c r="RDM28" s="160">
        <f t="shared" ref="RDM28" si="6139">RDK28*$C$28</f>
        <v>8.6197844911313066E+30</v>
      </c>
      <c r="RDO28" s="160">
        <f t="shared" ref="RDO28" si="6140">RDM28*$C$28</f>
        <v>8.7059823360426202E+30</v>
      </c>
      <c r="RDQ28" s="160">
        <f t="shared" ref="RDQ28" si="6141">RDO28*$C$28</f>
        <v>8.7930421594030459E+30</v>
      </c>
      <c r="RDS28" s="160">
        <f t="shared" ref="RDS28" si="6142">RDQ28*$C$28</f>
        <v>8.8809725809970767E+30</v>
      </c>
      <c r="RDU28" s="160">
        <f t="shared" ref="RDU28" si="6143">RDS28*$C$28</f>
        <v>8.9697823068070472E+30</v>
      </c>
      <c r="RDW28" s="160">
        <f t="shared" ref="RDW28" si="6144">RDU28*$C$28</f>
        <v>9.0594801298751173E+30</v>
      </c>
      <c r="RDY28" s="160">
        <f t="shared" ref="RDY28" si="6145">RDW28*$C$28</f>
        <v>9.1500749311738689E+30</v>
      </c>
      <c r="REA28" s="160">
        <f t="shared" ref="REA28" si="6146">RDY28*$C$28</f>
        <v>9.2415756804856071E+30</v>
      </c>
      <c r="REC28" s="160">
        <f t="shared" ref="REC28" si="6147">REA28*$C$28</f>
        <v>9.333991437290463E+30</v>
      </c>
      <c r="REE28" s="160">
        <f t="shared" ref="REE28" si="6148">REC28*$C$28</f>
        <v>9.4273313516633683E+30</v>
      </c>
      <c r="REG28" s="160">
        <f t="shared" ref="REG28" si="6149">REE28*$C$28</f>
        <v>9.5216046651800018E+30</v>
      </c>
      <c r="REI28" s="160">
        <f t="shared" ref="REI28" si="6150">REG28*$C$28</f>
        <v>9.6168207118318016E+30</v>
      </c>
      <c r="REK28" s="160">
        <f t="shared" ref="REK28" si="6151">REI28*$C$28</f>
        <v>9.7129889189501196E+30</v>
      </c>
      <c r="REM28" s="160">
        <f t="shared" ref="REM28" si="6152">REK28*$C$28</f>
        <v>9.8101188081396214E+30</v>
      </c>
      <c r="REO28" s="160">
        <f t="shared" ref="REO28" si="6153">REM28*$C$28</f>
        <v>9.9082199962210174E+30</v>
      </c>
      <c r="REQ28" s="160">
        <f t="shared" ref="REQ28" si="6154">REO28*$C$28</f>
        <v>1.0007302196183228E+31</v>
      </c>
      <c r="RES28" s="160">
        <f t="shared" ref="RES28" si="6155">REQ28*$C$28</f>
        <v>1.010737521814506E+31</v>
      </c>
      <c r="REU28" s="160">
        <f t="shared" ref="REU28" si="6156">RES28*$C$28</f>
        <v>1.020844897032651E+31</v>
      </c>
      <c r="REW28" s="160">
        <f t="shared" ref="REW28" si="6157">REU28*$C$28</f>
        <v>1.0310533460029775E+31</v>
      </c>
      <c r="REY28" s="160">
        <f t="shared" ref="REY28" si="6158">REW28*$C$28</f>
        <v>1.0413638794630074E+31</v>
      </c>
      <c r="RFA28" s="160">
        <f t="shared" ref="RFA28" si="6159">REY28*$C$28</f>
        <v>1.0517775182576374E+31</v>
      </c>
      <c r="RFC28" s="160">
        <f t="shared" ref="RFC28" si="6160">RFA28*$C$28</f>
        <v>1.0622952934402137E+31</v>
      </c>
      <c r="RFE28" s="160">
        <f t="shared" ref="RFE28" si="6161">RFC28*$C$28</f>
        <v>1.0729182463746159E+31</v>
      </c>
      <c r="RFG28" s="160">
        <f t="shared" ref="RFG28" si="6162">RFE28*$C$28</f>
        <v>1.0836474288383621E+31</v>
      </c>
      <c r="RFI28" s="160">
        <f t="shared" ref="RFI28" si="6163">RFG28*$C$28</f>
        <v>1.0944839031267458E+31</v>
      </c>
      <c r="RFK28" s="160">
        <f t="shared" ref="RFK28" si="6164">RFI28*$C$28</f>
        <v>1.1054287421580132E+31</v>
      </c>
      <c r="RFM28" s="160">
        <f t="shared" ref="RFM28" si="6165">RFK28*$C$28</f>
        <v>1.1164830295795934E+31</v>
      </c>
      <c r="RFO28" s="160">
        <f t="shared" ref="RFO28" si="6166">RFM28*$C$28</f>
        <v>1.1276478598753894E+31</v>
      </c>
      <c r="RFQ28" s="160">
        <f t="shared" ref="RFQ28" si="6167">RFO28*$C$28</f>
        <v>1.1389243384741434E+31</v>
      </c>
      <c r="RFS28" s="160">
        <f t="shared" ref="RFS28" si="6168">RFQ28*$C$28</f>
        <v>1.1503135818588849E+31</v>
      </c>
      <c r="RFU28" s="160">
        <f t="shared" ref="RFU28" si="6169">RFS28*$C$28</f>
        <v>1.1618167176774738E+31</v>
      </c>
      <c r="RFW28" s="160">
        <f t="shared" ref="RFW28" si="6170">RFU28*$C$28</f>
        <v>1.1734348848542484E+31</v>
      </c>
      <c r="RFY28" s="160">
        <f t="shared" ref="RFY28" si="6171">RFW28*$C$28</f>
        <v>1.1851692337027909E+31</v>
      </c>
      <c r="RGA28" s="160">
        <f t="shared" ref="RGA28" si="6172">RFY28*$C$28</f>
        <v>1.1970209260398189E+31</v>
      </c>
      <c r="RGC28" s="160">
        <f t="shared" ref="RGC28" si="6173">RGA28*$C$28</f>
        <v>1.208991135300217E+31</v>
      </c>
      <c r="RGE28" s="160">
        <f t="shared" ref="RGE28" si="6174">RGC28*$C$28</f>
        <v>1.2210810466532191E+31</v>
      </c>
      <c r="RGG28" s="160">
        <f t="shared" ref="RGG28" si="6175">RGE28*$C$28</f>
        <v>1.2332918571197514E+31</v>
      </c>
      <c r="RGI28" s="160">
        <f t="shared" ref="RGI28" si="6176">RGG28*$C$28</f>
        <v>1.2456247756909489E+31</v>
      </c>
      <c r="RGK28" s="160">
        <f t="shared" ref="RGK28" si="6177">RGI28*$C$28</f>
        <v>1.2580810234478585E+31</v>
      </c>
      <c r="RGM28" s="160">
        <f t="shared" ref="RGM28" si="6178">RGK28*$C$28</f>
        <v>1.2706618336823372E+31</v>
      </c>
      <c r="RGO28" s="160">
        <f t="shared" ref="RGO28" si="6179">RGM28*$C$28</f>
        <v>1.2833684520191605E+31</v>
      </c>
      <c r="RGQ28" s="160">
        <f t="shared" ref="RGQ28" si="6180">RGO28*$C$28</f>
        <v>1.2962021365393522E+31</v>
      </c>
      <c r="RGS28" s="160">
        <f t="shared" ref="RGS28" si="6181">RGQ28*$C$28</f>
        <v>1.3091641579047456E+31</v>
      </c>
      <c r="RGU28" s="160">
        <f t="shared" ref="RGU28" si="6182">RGS28*$C$28</f>
        <v>1.3222557994837931E+31</v>
      </c>
      <c r="RGW28" s="160">
        <f t="shared" ref="RGW28" si="6183">RGU28*$C$28</f>
        <v>1.335478357478631E+31</v>
      </c>
      <c r="RGY28" s="160">
        <f t="shared" ref="RGY28" si="6184">RGW28*$C$28</f>
        <v>1.3488331410534174E+31</v>
      </c>
      <c r="RHA28" s="160">
        <f t="shared" ref="RHA28" si="6185">RGY28*$C$28</f>
        <v>1.3623214724639516E+31</v>
      </c>
      <c r="RHC28" s="160">
        <f t="shared" ref="RHC28" si="6186">RHA28*$C$28</f>
        <v>1.3759446871885911E+31</v>
      </c>
      <c r="RHE28" s="160">
        <f t="shared" ref="RHE28" si="6187">RHC28*$C$28</f>
        <v>1.389704134060477E+31</v>
      </c>
      <c r="RHG28" s="160">
        <f t="shared" ref="RHG28" si="6188">RHE28*$C$28</f>
        <v>1.4036011754010817E+31</v>
      </c>
      <c r="RHI28" s="160">
        <f t="shared" ref="RHI28" si="6189">RHG28*$C$28</f>
        <v>1.4176371871550926E+31</v>
      </c>
      <c r="RHK28" s="160">
        <f t="shared" ref="RHK28" si="6190">RHI28*$C$28</f>
        <v>1.4318135590266435E+31</v>
      </c>
      <c r="RHM28" s="160">
        <f t="shared" ref="RHM28" si="6191">RHK28*$C$28</f>
        <v>1.44613169461691E+31</v>
      </c>
      <c r="RHO28" s="160">
        <f t="shared" ref="RHO28" si="6192">RHM28*$C$28</f>
        <v>1.4605930115630792E+31</v>
      </c>
      <c r="RHQ28" s="160">
        <f t="shared" ref="RHQ28" si="6193">RHO28*$C$28</f>
        <v>1.4751989416787099E+31</v>
      </c>
      <c r="RHS28" s="160">
        <f t="shared" ref="RHS28" si="6194">RHQ28*$C$28</f>
        <v>1.4899509310954971E+31</v>
      </c>
      <c r="RHU28" s="160">
        <f t="shared" ref="RHU28" si="6195">RHS28*$C$28</f>
        <v>1.504850440406452E+31</v>
      </c>
      <c r="RHW28" s="160">
        <f t="shared" ref="RHW28" si="6196">RHU28*$C$28</f>
        <v>1.5198989448105165E+31</v>
      </c>
      <c r="RHY28" s="160">
        <f t="shared" ref="RHY28" si="6197">RHW28*$C$28</f>
        <v>1.5350979342586217E+31</v>
      </c>
      <c r="RIA28" s="160">
        <f t="shared" ref="RIA28" si="6198">RHY28*$C$28</f>
        <v>1.5504489136012081E+31</v>
      </c>
      <c r="RIC28" s="160">
        <f t="shared" ref="RIC28" si="6199">RIA28*$C$28</f>
        <v>1.5659534027372202E+31</v>
      </c>
      <c r="RIE28" s="160">
        <f t="shared" ref="RIE28" si="6200">RIC28*$C$28</f>
        <v>1.5816129367645924E+31</v>
      </c>
      <c r="RIG28" s="160">
        <f t="shared" ref="RIG28" si="6201">RIE28*$C$28</f>
        <v>1.5974290661322385E+31</v>
      </c>
      <c r="RII28" s="160">
        <f t="shared" ref="RII28" si="6202">RIG28*$C$28</f>
        <v>1.6134033567935609E+31</v>
      </c>
      <c r="RIK28" s="160">
        <f t="shared" ref="RIK28" si="6203">RII28*$C$28</f>
        <v>1.6295373903614965E+31</v>
      </c>
      <c r="RIM28" s="160">
        <f t="shared" ref="RIM28" si="6204">RIK28*$C$28</f>
        <v>1.6458327642651114E+31</v>
      </c>
      <c r="RIO28" s="160">
        <f t="shared" ref="RIO28" si="6205">RIM28*$C$28</f>
        <v>1.6622910919077626E+31</v>
      </c>
      <c r="RIQ28" s="160">
        <f t="shared" ref="RIQ28" si="6206">RIO28*$C$28</f>
        <v>1.6789140028268403E+31</v>
      </c>
      <c r="RIS28" s="160">
        <f t="shared" ref="RIS28" si="6207">RIQ28*$C$28</f>
        <v>1.6957031428551088E+31</v>
      </c>
      <c r="RIU28" s="160">
        <f t="shared" ref="RIU28" si="6208">RIS28*$C$28</f>
        <v>1.7126601742836598E+31</v>
      </c>
      <c r="RIW28" s="160">
        <f t="shared" ref="RIW28" si="6209">RIU28*$C$28</f>
        <v>1.7297867760264964E+31</v>
      </c>
      <c r="RIY28" s="160">
        <f t="shared" ref="RIY28" si="6210">RIW28*$C$28</f>
        <v>1.7470846437867612E+31</v>
      </c>
      <c r="RJA28" s="160">
        <f t="shared" ref="RJA28" si="6211">RIY28*$C$28</f>
        <v>1.7645554902246288E+31</v>
      </c>
      <c r="RJC28" s="160">
        <f t="shared" ref="RJC28" si="6212">RJA28*$C$28</f>
        <v>1.7822010451268752E+31</v>
      </c>
      <c r="RJE28" s="160">
        <f t="shared" ref="RJE28" si="6213">RJC28*$C$28</f>
        <v>1.800023055578144E+31</v>
      </c>
      <c r="RJG28" s="160">
        <f t="shared" ref="RJG28" si="6214">RJE28*$C$28</f>
        <v>1.8180232861339253E+31</v>
      </c>
      <c r="RJI28" s="160">
        <f t="shared" ref="RJI28" si="6215">RJG28*$C$28</f>
        <v>1.8362035189952646E+31</v>
      </c>
      <c r="RJK28" s="160">
        <f t="shared" ref="RJK28" si="6216">RJI28*$C$28</f>
        <v>1.8545655541852172E+31</v>
      </c>
      <c r="RJM28" s="160">
        <f t="shared" ref="RJM28" si="6217">RJK28*$C$28</f>
        <v>1.8731112097270695E+31</v>
      </c>
      <c r="RJO28" s="160">
        <f t="shared" ref="RJO28" si="6218">RJM28*$C$28</f>
        <v>1.8918423218243402E+31</v>
      </c>
      <c r="RJQ28" s="160">
        <f t="shared" ref="RJQ28" si="6219">RJO28*$C$28</f>
        <v>1.9107607450425836E+31</v>
      </c>
      <c r="RJS28" s="160">
        <f t="shared" ref="RJS28" si="6220">RJQ28*$C$28</f>
        <v>1.9298683524930095E+31</v>
      </c>
      <c r="RJU28" s="160">
        <f t="shared" ref="RJU28" si="6221">RJS28*$C$28</f>
        <v>1.9491670360179395E+31</v>
      </c>
      <c r="RJW28" s="160">
        <f t="shared" ref="RJW28" si="6222">RJU28*$C$28</f>
        <v>1.968658706378119E+31</v>
      </c>
      <c r="RJY28" s="160">
        <f t="shared" ref="RJY28" si="6223">RJW28*$C$28</f>
        <v>1.9883452934419003E+31</v>
      </c>
      <c r="RKA28" s="160">
        <f t="shared" ref="RKA28" si="6224">RJY28*$C$28</f>
        <v>2.0082287463763194E+31</v>
      </c>
      <c r="RKC28" s="160">
        <f t="shared" ref="RKC28" si="6225">RKA28*$C$28</f>
        <v>2.0283110338400828E+31</v>
      </c>
      <c r="RKE28" s="160">
        <f t="shared" ref="RKE28" si="6226">RKC28*$C$28</f>
        <v>2.0485941441784835E+31</v>
      </c>
      <c r="RKG28" s="160">
        <f t="shared" ref="RKG28" si="6227">RKE28*$C$28</f>
        <v>2.0690800856202682E+31</v>
      </c>
      <c r="RKI28" s="160">
        <f t="shared" ref="RKI28" si="6228">RKG28*$C$28</f>
        <v>2.0897708864764708E+31</v>
      </c>
      <c r="RKK28" s="160">
        <f t="shared" ref="RKK28" si="6229">RKI28*$C$28</f>
        <v>2.1106685953412354E+31</v>
      </c>
      <c r="RKM28" s="160">
        <f t="shared" ref="RKM28" si="6230">RKK28*$C$28</f>
        <v>2.131775281294648E+31</v>
      </c>
      <c r="RKO28" s="160">
        <f t="shared" ref="RKO28" si="6231">RKM28*$C$28</f>
        <v>2.1530930341075946E+31</v>
      </c>
      <c r="RKQ28" s="160">
        <f t="shared" ref="RKQ28" si="6232">RKO28*$C$28</f>
        <v>2.1746239644486706E+31</v>
      </c>
      <c r="RKS28" s="160">
        <f t="shared" ref="RKS28" si="6233">RKQ28*$C$28</f>
        <v>2.1963702040931573E+31</v>
      </c>
      <c r="RKU28" s="160">
        <f t="shared" ref="RKU28" si="6234">RKS28*$C$28</f>
        <v>2.2183339061340891E+31</v>
      </c>
      <c r="RKW28" s="160">
        <f t="shared" ref="RKW28" si="6235">RKU28*$C$28</f>
        <v>2.2405172451954302E+31</v>
      </c>
      <c r="RKY28" s="160">
        <f t="shared" ref="RKY28" si="6236">RKW28*$C$28</f>
        <v>2.2629224176473846E+31</v>
      </c>
      <c r="RLA28" s="160">
        <f t="shared" ref="RLA28" si="6237">RKY28*$C$28</f>
        <v>2.2855516418238584E+31</v>
      </c>
      <c r="RLC28" s="160">
        <f t="shared" ref="RLC28" si="6238">RLA28*$C$28</f>
        <v>2.3084071582420972E+31</v>
      </c>
      <c r="RLE28" s="160">
        <f t="shared" ref="RLE28" si="6239">RLC28*$C$28</f>
        <v>2.3314912298245181E+31</v>
      </c>
      <c r="RLG28" s="160">
        <f t="shared" ref="RLG28" si="6240">RLE28*$C$28</f>
        <v>2.3548061421227633E+31</v>
      </c>
      <c r="RLI28" s="160">
        <f t="shared" ref="RLI28" si="6241">RLG28*$C$28</f>
        <v>2.3783542035439911E+31</v>
      </c>
      <c r="RLK28" s="160">
        <f t="shared" ref="RLK28" si="6242">RLI28*$C$28</f>
        <v>2.4021377455794309E+31</v>
      </c>
      <c r="RLM28" s="160">
        <f t="shared" ref="RLM28" si="6243">RLK28*$C$28</f>
        <v>2.4261591230352252E+31</v>
      </c>
      <c r="RLO28" s="160">
        <f t="shared" ref="RLO28" si="6244">RLM28*$C$28</f>
        <v>2.4504207142655776E+31</v>
      </c>
      <c r="RLQ28" s="160">
        <f t="shared" ref="RLQ28" si="6245">RLO28*$C$28</f>
        <v>2.4749249214082332E+31</v>
      </c>
      <c r="RLS28" s="160">
        <f t="shared" ref="RLS28" si="6246">RLQ28*$C$28</f>
        <v>2.4996741706223157E+31</v>
      </c>
      <c r="RLU28" s="160">
        <f t="shared" ref="RLU28" si="6247">RLS28*$C$28</f>
        <v>2.524670912328539E+31</v>
      </c>
      <c r="RLW28" s="160">
        <f t="shared" ref="RLW28" si="6248">RLU28*$C$28</f>
        <v>2.5499176214518245E+31</v>
      </c>
      <c r="RLY28" s="160">
        <f t="shared" ref="RLY28" si="6249">RLW28*$C$28</f>
        <v>2.5754167976663429E+31</v>
      </c>
      <c r="RMA28" s="160">
        <f t="shared" ref="RMA28" si="6250">RLY28*$C$28</f>
        <v>2.6011709656430062E+31</v>
      </c>
      <c r="RMC28" s="160">
        <f t="shared" ref="RMC28" si="6251">RMA28*$C$28</f>
        <v>2.6271826752994361E+31</v>
      </c>
      <c r="RME28" s="160">
        <f t="shared" ref="RME28" si="6252">RMC28*$C$28</f>
        <v>2.6534545020524305E+31</v>
      </c>
      <c r="RMG28" s="160">
        <f t="shared" ref="RMG28" si="6253">RME28*$C$28</f>
        <v>2.6799890470729549E+31</v>
      </c>
      <c r="RMI28" s="160">
        <f t="shared" ref="RMI28" si="6254">RMG28*$C$28</f>
        <v>2.7067889375436846E+31</v>
      </c>
      <c r="RMK28" s="160">
        <f t="shared" ref="RMK28" si="6255">RMI28*$C$28</f>
        <v>2.7338568269191214E+31</v>
      </c>
      <c r="RMM28" s="160">
        <f t="shared" ref="RMM28" si="6256">RMK28*$C$28</f>
        <v>2.7611953951883128E+31</v>
      </c>
      <c r="RMO28" s="160">
        <f t="shared" ref="RMO28" si="6257">RMM28*$C$28</f>
        <v>2.7888073491401961E+31</v>
      </c>
      <c r="RMQ28" s="160">
        <f t="shared" ref="RMQ28" si="6258">RMO28*$C$28</f>
        <v>2.8166954226315981E+31</v>
      </c>
      <c r="RMS28" s="160">
        <f t="shared" ref="RMS28" si="6259">RMQ28*$C$28</f>
        <v>2.8448623768579143E+31</v>
      </c>
      <c r="RMU28" s="160">
        <f t="shared" ref="RMU28" si="6260">RMS28*$C$28</f>
        <v>2.8733110006264933E+31</v>
      </c>
      <c r="RMW28" s="160">
        <f t="shared" ref="RMW28" si="6261">RMU28*$C$28</f>
        <v>2.9020441106327585E+31</v>
      </c>
      <c r="RMY28" s="160">
        <f t="shared" ref="RMY28" si="6262">RMW28*$C$28</f>
        <v>2.9310645517390863E+31</v>
      </c>
      <c r="RNA28" s="160">
        <f t="shared" ref="RNA28" si="6263">RMY28*$C$28</f>
        <v>2.9603751972564772E+31</v>
      </c>
      <c r="RNC28" s="160">
        <f t="shared" ref="RNC28" si="6264">RNA28*$C$28</f>
        <v>2.9899789492290421E+31</v>
      </c>
      <c r="RNE28" s="160">
        <f t="shared" ref="RNE28" si="6265">RNC28*$C$28</f>
        <v>3.0198787387213324E+31</v>
      </c>
      <c r="RNG28" s="160">
        <f t="shared" ref="RNG28" si="6266">RNE28*$C$28</f>
        <v>3.0500775261085457E+31</v>
      </c>
      <c r="RNI28" s="160">
        <f t="shared" ref="RNI28" si="6267">RNG28*$C$28</f>
        <v>3.0805783013696312E+31</v>
      </c>
      <c r="RNK28" s="160">
        <f t="shared" ref="RNK28" si="6268">RNI28*$C$28</f>
        <v>3.1113840843833274E+31</v>
      </c>
      <c r="RNM28" s="160">
        <f t="shared" ref="RNM28" si="6269">RNK28*$C$28</f>
        <v>3.1424979252271608E+31</v>
      </c>
      <c r="RNO28" s="160">
        <f t="shared" ref="RNO28" si="6270">RNM28*$C$28</f>
        <v>3.1739229044794326E+31</v>
      </c>
      <c r="RNQ28" s="160">
        <f t="shared" ref="RNQ28" si="6271">RNO28*$C$28</f>
        <v>3.2056621335242268E+31</v>
      </c>
      <c r="RNS28" s="160">
        <f t="shared" ref="RNS28" si="6272">RNQ28*$C$28</f>
        <v>3.2377187548594691E+31</v>
      </c>
      <c r="RNU28" s="160">
        <f t="shared" ref="RNU28" si="6273">RNS28*$C$28</f>
        <v>3.270095942408064E+31</v>
      </c>
      <c r="RNW28" s="160">
        <f t="shared" ref="RNW28" si="6274">RNU28*$C$28</f>
        <v>3.3027969018321448E+31</v>
      </c>
      <c r="RNY28" s="160">
        <f t="shared" ref="RNY28" si="6275">RNW28*$C$28</f>
        <v>3.3358248708504664E+31</v>
      </c>
      <c r="ROA28" s="160">
        <f t="shared" ref="ROA28" si="6276">RNY28*$C$28</f>
        <v>3.3691831195589713E+31</v>
      </c>
      <c r="ROC28" s="160">
        <f t="shared" ref="ROC28" si="6277">ROA28*$C$28</f>
        <v>3.4028749507545612E+31</v>
      </c>
      <c r="ROE28" s="160">
        <f t="shared" ref="ROE28" si="6278">ROC28*$C$28</f>
        <v>3.4369037002621067E+31</v>
      </c>
      <c r="ROG28" s="160">
        <f t="shared" ref="ROG28" si="6279">ROE28*$C$28</f>
        <v>3.4712727372647279E+31</v>
      </c>
      <c r="ROI28" s="160">
        <f t="shared" ref="ROI28" si="6280">ROG28*$C$28</f>
        <v>3.5059854646373752E+31</v>
      </c>
      <c r="ROK28" s="160">
        <f t="shared" ref="ROK28" si="6281">ROI28*$C$28</f>
        <v>3.541045319283749E+31</v>
      </c>
      <c r="ROM28" s="160">
        <f t="shared" ref="ROM28" si="6282">ROK28*$C$28</f>
        <v>3.5764557724765865E+31</v>
      </c>
      <c r="ROO28" s="160">
        <f t="shared" ref="ROO28" si="6283">ROM28*$C$28</f>
        <v>3.6122203302013523E+31</v>
      </c>
      <c r="ROQ28" s="160">
        <f t="shared" ref="ROQ28" si="6284">ROO28*$C$28</f>
        <v>3.648342533503366E+31</v>
      </c>
      <c r="ROS28" s="160">
        <f t="shared" ref="ROS28" si="6285">ROQ28*$C$28</f>
        <v>3.6848259588383995E+31</v>
      </c>
      <c r="ROU28" s="160">
        <f t="shared" ref="ROU28" si="6286">ROS28*$C$28</f>
        <v>3.7216742184267834E+31</v>
      </c>
      <c r="ROW28" s="160">
        <f t="shared" ref="ROW28" si="6287">ROU28*$C$28</f>
        <v>3.7588909606110513E+31</v>
      </c>
      <c r="ROY28" s="160">
        <f t="shared" ref="ROY28" si="6288">ROW28*$C$28</f>
        <v>3.7964798702171617E+31</v>
      </c>
      <c r="RPA28" s="160">
        <f t="shared" ref="RPA28" si="6289">ROY28*$C$28</f>
        <v>3.8344446689193331E+31</v>
      </c>
      <c r="RPC28" s="160">
        <f t="shared" ref="RPC28" si="6290">RPA28*$C$28</f>
        <v>3.8727891156085266E+31</v>
      </c>
      <c r="RPE28" s="160">
        <f t="shared" ref="RPE28" si="6291">RPC28*$C$28</f>
        <v>3.9115170067646121E+31</v>
      </c>
      <c r="RPG28" s="160">
        <f t="shared" ref="RPG28" si="6292">RPE28*$C$28</f>
        <v>3.9506321768322582E+31</v>
      </c>
      <c r="RPI28" s="160">
        <f t="shared" ref="RPI28" si="6293">RPG28*$C$28</f>
        <v>3.990138498600581E+31</v>
      </c>
      <c r="RPK28" s="160">
        <f t="shared" ref="RPK28" si="6294">RPI28*$C$28</f>
        <v>4.0300398835865867E+31</v>
      </c>
      <c r="RPM28" s="160">
        <f t="shared" ref="RPM28" si="6295">RPK28*$C$28</f>
        <v>4.0703402824224524E+31</v>
      </c>
      <c r="RPO28" s="160">
        <f t="shared" ref="RPO28" si="6296">RPM28*$C$28</f>
        <v>4.1110436852466772E+31</v>
      </c>
      <c r="RPQ28" s="160">
        <f t="shared" ref="RPQ28" si="6297">RPO28*$C$28</f>
        <v>4.1521541220991438E+31</v>
      </c>
      <c r="RPS28" s="160">
        <f t="shared" ref="RPS28" si="6298">RPQ28*$C$28</f>
        <v>4.1936756633201351E+31</v>
      </c>
      <c r="RPU28" s="160">
        <f t="shared" ref="RPU28" si="6299">RPS28*$C$28</f>
        <v>4.2356124199533365E+31</v>
      </c>
      <c r="RPW28" s="160">
        <f t="shared" ref="RPW28" si="6300">RPU28*$C$28</f>
        <v>4.2779685441528701E+31</v>
      </c>
      <c r="RPY28" s="160">
        <f t="shared" ref="RPY28" si="6301">RPW28*$C$28</f>
        <v>4.320748229594399E+31</v>
      </c>
      <c r="RQA28" s="160">
        <f t="shared" ref="RQA28" si="6302">RPY28*$C$28</f>
        <v>4.3639557118903432E+31</v>
      </c>
      <c r="RQC28" s="160">
        <f t="shared" ref="RQC28" si="6303">RQA28*$C$28</f>
        <v>4.4075952690092464E+31</v>
      </c>
      <c r="RQE28" s="160">
        <f t="shared" ref="RQE28" si="6304">RQC28*$C$28</f>
        <v>4.4516712216993391E+31</v>
      </c>
      <c r="RQG28" s="160">
        <f t="shared" ref="RQG28" si="6305">RQE28*$C$28</f>
        <v>4.4961879339163324E+31</v>
      </c>
      <c r="RQI28" s="160">
        <f t="shared" ref="RQI28" si="6306">RQG28*$C$28</f>
        <v>4.5411498132554955E+31</v>
      </c>
      <c r="RQK28" s="160">
        <f t="shared" ref="RQK28" si="6307">RQI28*$C$28</f>
        <v>4.5865613113880506E+31</v>
      </c>
      <c r="RQM28" s="160">
        <f t="shared" ref="RQM28" si="6308">RQK28*$C$28</f>
        <v>4.6324269245019314E+31</v>
      </c>
      <c r="RQO28" s="160">
        <f t="shared" ref="RQO28" si="6309">RQM28*$C$28</f>
        <v>4.6787511937469512E+31</v>
      </c>
      <c r="RQQ28" s="160">
        <f t="shared" ref="RQQ28" si="6310">RQO28*$C$28</f>
        <v>4.7255387056844207E+31</v>
      </c>
      <c r="RQS28" s="160">
        <f t="shared" ref="RQS28" si="6311">RQQ28*$C$28</f>
        <v>4.7727940927412649E+31</v>
      </c>
      <c r="RQU28" s="160">
        <f t="shared" ref="RQU28" si="6312">RQS28*$C$28</f>
        <v>4.8205220336686777E+31</v>
      </c>
      <c r="RQW28" s="160">
        <f t="shared" ref="RQW28" si="6313">RQU28*$C$28</f>
        <v>4.8687272540053649E+31</v>
      </c>
      <c r="RQY28" s="160">
        <f t="shared" ref="RQY28" si="6314">RQW28*$C$28</f>
        <v>4.9174145265454188E+31</v>
      </c>
      <c r="RRA28" s="160">
        <f t="shared" ref="RRA28" si="6315">RQY28*$C$28</f>
        <v>4.9665886718108727E+31</v>
      </c>
      <c r="RRC28" s="160">
        <f t="shared" ref="RRC28" si="6316">RRA28*$C$28</f>
        <v>5.0162545585289813E+31</v>
      </c>
      <c r="RRE28" s="160">
        <f t="shared" ref="RRE28" si="6317">RRC28*$C$28</f>
        <v>5.0664171041142714E+31</v>
      </c>
      <c r="RRG28" s="160">
        <f t="shared" ref="RRG28" si="6318">RRE28*$C$28</f>
        <v>5.1170812751554143E+31</v>
      </c>
      <c r="RRI28" s="160">
        <f t="shared" ref="RRI28" si="6319">RRG28*$C$28</f>
        <v>5.1682520879069685E+31</v>
      </c>
      <c r="RRK28" s="160">
        <f t="shared" ref="RRK28" si="6320">RRI28*$C$28</f>
        <v>5.2199346087860386E+31</v>
      </c>
      <c r="RRM28" s="160">
        <f t="shared" ref="RRM28" si="6321">RRK28*$C$28</f>
        <v>5.2721339548738993E+31</v>
      </c>
      <c r="RRO28" s="160">
        <f t="shared" ref="RRO28" si="6322">RRM28*$C$28</f>
        <v>5.3248552944226384E+31</v>
      </c>
      <c r="RRQ28" s="160">
        <f t="shared" ref="RRQ28" si="6323">RRO28*$C$28</f>
        <v>5.3781038473668649E+31</v>
      </c>
      <c r="RRS28" s="160">
        <f t="shared" ref="RRS28" si="6324">RRQ28*$C$28</f>
        <v>5.4318848858405333E+31</v>
      </c>
      <c r="RRU28" s="160">
        <f t="shared" ref="RRU28" si="6325">RRS28*$C$28</f>
        <v>5.4862037346989391E+31</v>
      </c>
      <c r="RRW28" s="160">
        <f t="shared" ref="RRW28" si="6326">RRU28*$C$28</f>
        <v>5.5410657720459286E+31</v>
      </c>
      <c r="RRY28" s="160">
        <f t="shared" ref="RRY28" si="6327">RRW28*$C$28</f>
        <v>5.5964764297663882E+31</v>
      </c>
      <c r="RSA28" s="160">
        <f t="shared" ref="RSA28" si="6328">RRY28*$C$28</f>
        <v>5.6524411940640518E+31</v>
      </c>
      <c r="RSC28" s="160">
        <f t="shared" ref="RSC28" si="6329">RSA28*$C$28</f>
        <v>5.7089656060046921E+31</v>
      </c>
      <c r="RSE28" s="160">
        <f t="shared" ref="RSE28" si="6330">RSC28*$C$28</f>
        <v>5.7660552620647388E+31</v>
      </c>
      <c r="RSG28" s="160">
        <f t="shared" ref="RSG28" si="6331">RSE28*$C$28</f>
        <v>5.8237158146853861E+31</v>
      </c>
      <c r="RSI28" s="160">
        <f t="shared" ref="RSI28" si="6332">RSG28*$C$28</f>
        <v>5.8819529728322403E+31</v>
      </c>
      <c r="RSK28" s="160">
        <f t="shared" ref="RSK28" si="6333">RSI28*$C$28</f>
        <v>5.9407725025605623E+31</v>
      </c>
      <c r="RSM28" s="160">
        <f t="shared" ref="RSM28" si="6334">RSK28*$C$28</f>
        <v>6.0001802275861684E+31</v>
      </c>
      <c r="RSO28" s="160">
        <f t="shared" ref="RSO28" si="6335">RSM28*$C$28</f>
        <v>6.0601820298620303E+31</v>
      </c>
      <c r="RSQ28" s="160">
        <f t="shared" ref="RSQ28" si="6336">RSO28*$C$28</f>
        <v>6.1207838501606502E+31</v>
      </c>
      <c r="RSS28" s="160">
        <f t="shared" ref="RSS28" si="6337">RSQ28*$C$28</f>
        <v>6.181991688662257E+31</v>
      </c>
      <c r="RSU28" s="160">
        <f t="shared" ref="RSU28" si="6338">RSS28*$C$28</f>
        <v>6.2438116055488796E+31</v>
      </c>
      <c r="RSW28" s="160">
        <f t="shared" ref="RSW28" si="6339">RSU28*$C$28</f>
        <v>6.3062497216043682E+31</v>
      </c>
      <c r="RSY28" s="160">
        <f t="shared" ref="RSY28" si="6340">RSW28*$C$28</f>
        <v>6.3693122188204123E+31</v>
      </c>
      <c r="RTA28" s="160">
        <f t="shared" ref="RTA28" si="6341">RSY28*$C$28</f>
        <v>6.4330053410086167E+31</v>
      </c>
      <c r="RTC28" s="160">
        <f t="shared" ref="RTC28" si="6342">RTA28*$C$28</f>
        <v>6.4973353944187031E+31</v>
      </c>
      <c r="RTE28" s="160">
        <f t="shared" ref="RTE28" si="6343">RTC28*$C$28</f>
        <v>6.56230874836289E+31</v>
      </c>
      <c r="RTG28" s="160">
        <f t="shared" ref="RTG28" si="6344">RTE28*$C$28</f>
        <v>6.6279318358465191E+31</v>
      </c>
      <c r="RTI28" s="160">
        <f t="shared" ref="RTI28" si="6345">RTG28*$C$28</f>
        <v>6.6942111542049844E+31</v>
      </c>
      <c r="RTK28" s="160">
        <f t="shared" ref="RTK28" si="6346">RTI28*$C$28</f>
        <v>6.7611532657470341E+31</v>
      </c>
      <c r="RTM28" s="160">
        <f t="shared" ref="RTM28" si="6347">RTK28*$C$28</f>
        <v>6.8287647984045042E+31</v>
      </c>
      <c r="RTO28" s="160">
        <f t="shared" ref="RTO28" si="6348">RTM28*$C$28</f>
        <v>6.8970524463885497E+31</v>
      </c>
      <c r="RTQ28" s="160">
        <f t="shared" ref="RTQ28" si="6349">RTO28*$C$28</f>
        <v>6.9660229708524349E+31</v>
      </c>
      <c r="RTS28" s="160">
        <f t="shared" ref="RTS28" si="6350">RTQ28*$C$28</f>
        <v>7.0356832005609592E+31</v>
      </c>
      <c r="RTU28" s="160">
        <f t="shared" ref="RTU28" si="6351">RTS28*$C$28</f>
        <v>7.1060400325665689E+31</v>
      </c>
      <c r="RTW28" s="160">
        <f t="shared" ref="RTW28" si="6352">RTU28*$C$28</f>
        <v>7.1771004328922346E+31</v>
      </c>
      <c r="RTY28" s="160">
        <f t="shared" ref="RTY28" si="6353">RTW28*$C$28</f>
        <v>7.2488714372211566E+31</v>
      </c>
      <c r="RUA28" s="160">
        <f t="shared" ref="RUA28" si="6354">RTY28*$C$28</f>
        <v>7.3213601515933683E+31</v>
      </c>
      <c r="RUC28" s="160">
        <f t="shared" ref="RUC28" si="6355">RUA28*$C$28</f>
        <v>7.3945737531093022E+31</v>
      </c>
      <c r="RUE28" s="160">
        <f t="shared" ref="RUE28" si="6356">RUC28*$C$28</f>
        <v>7.4685194906403951E+31</v>
      </c>
      <c r="RUG28" s="160">
        <f t="shared" ref="RUG28" si="6357">RUE28*$C$28</f>
        <v>7.543204685546799E+31</v>
      </c>
      <c r="RUI28" s="160">
        <f t="shared" ref="RUI28" si="6358">RUG28*$C$28</f>
        <v>7.6186367324022668E+31</v>
      </c>
      <c r="RUK28" s="160">
        <f t="shared" ref="RUK28" si="6359">RUI28*$C$28</f>
        <v>7.6948230997262898E+31</v>
      </c>
      <c r="RUM28" s="160">
        <f t="shared" ref="RUM28" si="6360">RUK28*$C$28</f>
        <v>7.7717713307235532E+31</v>
      </c>
      <c r="RUO28" s="160">
        <f t="shared" ref="RUO28" si="6361">RUM28*$C$28</f>
        <v>7.8494890440307889E+31</v>
      </c>
      <c r="RUQ28" s="160">
        <f t="shared" ref="RUQ28" si="6362">RUO28*$C$28</f>
        <v>7.9279839344710969E+31</v>
      </c>
      <c r="RUS28" s="160">
        <f t="shared" ref="RUS28" si="6363">RUQ28*$C$28</f>
        <v>8.0072637738158083E+31</v>
      </c>
      <c r="RUU28" s="160">
        <f t="shared" ref="RUU28" si="6364">RUS28*$C$28</f>
        <v>8.0873364115539661E+31</v>
      </c>
      <c r="RUW28" s="160">
        <f t="shared" ref="RUW28" si="6365">RUU28*$C$28</f>
        <v>8.1682097756695057E+31</v>
      </c>
      <c r="RUY28" s="160">
        <f t="shared" ref="RUY28" si="6366">RUW28*$C$28</f>
        <v>8.249891873426201E+31</v>
      </c>
      <c r="RVA28" s="160">
        <f t="shared" ref="RVA28" si="6367">RUY28*$C$28</f>
        <v>8.3323907921604636E+31</v>
      </c>
      <c r="RVC28" s="160">
        <f t="shared" ref="RVC28" si="6368">RVA28*$C$28</f>
        <v>8.4157147000820683E+31</v>
      </c>
      <c r="RVE28" s="160">
        <f t="shared" ref="RVE28" si="6369">RVC28*$C$28</f>
        <v>8.4998718470828898E+31</v>
      </c>
      <c r="RVG28" s="160">
        <f t="shared" ref="RVG28" si="6370">RVE28*$C$28</f>
        <v>8.5848705655537189E+31</v>
      </c>
      <c r="RVI28" s="160">
        <f t="shared" ref="RVI28" si="6371">RVG28*$C$28</f>
        <v>8.6707192712092567E+31</v>
      </c>
      <c r="RVK28" s="160">
        <f t="shared" ref="RVK28" si="6372">RVI28*$C$28</f>
        <v>8.7574264639213495E+31</v>
      </c>
      <c r="RVM28" s="160">
        <f t="shared" ref="RVM28" si="6373">RVK28*$C$28</f>
        <v>8.8450007285605635E+31</v>
      </c>
      <c r="RVO28" s="160">
        <f t="shared" ref="RVO28" si="6374">RVM28*$C$28</f>
        <v>8.9334507358461689E+31</v>
      </c>
      <c r="RVQ28" s="160">
        <f t="shared" ref="RVQ28" si="6375">RVO28*$C$28</f>
        <v>9.0227852432046309E+31</v>
      </c>
      <c r="RVS28" s="160">
        <f t="shared" ref="RVS28" si="6376">RVQ28*$C$28</f>
        <v>9.1130130956366766E+31</v>
      </c>
      <c r="RVU28" s="160">
        <f t="shared" ref="RVU28" si="6377">RVS28*$C$28</f>
        <v>9.2041432265930432E+31</v>
      </c>
      <c r="RVW28" s="160">
        <f t="shared" ref="RVW28" si="6378">RVU28*$C$28</f>
        <v>9.296184658858973E+31</v>
      </c>
      <c r="RVY28" s="160">
        <f t="shared" ref="RVY28" si="6379">RVW28*$C$28</f>
        <v>9.3891465054475628E+31</v>
      </c>
      <c r="RWA28" s="160">
        <f t="shared" ref="RWA28" si="6380">RVY28*$C$28</f>
        <v>9.4830379705020392E+31</v>
      </c>
      <c r="RWC28" s="160">
        <f t="shared" ref="RWC28" si="6381">RWA28*$C$28</f>
        <v>9.5778683502070598E+31</v>
      </c>
      <c r="RWE28" s="160">
        <f t="shared" ref="RWE28" si="6382">RWC28*$C$28</f>
        <v>9.67364703370913E+31</v>
      </c>
      <c r="RWG28" s="160">
        <f t="shared" ref="RWG28" si="6383">RWE28*$C$28</f>
        <v>9.770383504046222E+31</v>
      </c>
      <c r="RWI28" s="160">
        <f t="shared" ref="RWI28" si="6384">RWG28*$C$28</f>
        <v>9.8680873390866849E+31</v>
      </c>
      <c r="RWK28" s="160">
        <f t="shared" ref="RWK28" si="6385">RWI28*$C$28</f>
        <v>9.9667682124775514E+31</v>
      </c>
      <c r="RWM28" s="160">
        <f t="shared" ref="RWM28" si="6386">RWK28*$C$28</f>
        <v>1.0066435894602328E+32</v>
      </c>
      <c r="RWO28" s="160">
        <f t="shared" ref="RWO28" si="6387">RWM28*$C$28</f>
        <v>1.0167100253548351E+32</v>
      </c>
      <c r="RWQ28" s="160">
        <f t="shared" ref="RWQ28" si="6388">RWO28*$C$28</f>
        <v>1.0268771256083834E+32</v>
      </c>
      <c r="RWS28" s="160">
        <f t="shared" ref="RWS28" si="6389">RWQ28*$C$28</f>
        <v>1.0371458968644672E+32</v>
      </c>
      <c r="RWU28" s="160">
        <f t="shared" ref="RWU28" si="6390">RWS28*$C$28</f>
        <v>1.0475173558331118E+32</v>
      </c>
      <c r="RWW28" s="160">
        <f t="shared" ref="RWW28" si="6391">RWU28*$C$28</f>
        <v>1.0579925293914429E+32</v>
      </c>
      <c r="RWY28" s="160">
        <f t="shared" ref="RWY28" si="6392">RWW28*$C$28</f>
        <v>1.0685724546853573E+32</v>
      </c>
      <c r="RXA28" s="160">
        <f t="shared" ref="RXA28" si="6393">RWY28*$C$28</f>
        <v>1.0792581792322108E+32</v>
      </c>
      <c r="RXC28" s="160">
        <f t="shared" ref="RXC28" si="6394">RXA28*$C$28</f>
        <v>1.0900507610245329E+32</v>
      </c>
      <c r="RXE28" s="160">
        <f t="shared" ref="RXE28" si="6395">RXC28*$C$28</f>
        <v>1.1009512686347783E+32</v>
      </c>
      <c r="RXG28" s="160">
        <f t="shared" ref="RXG28" si="6396">RXE28*$C$28</f>
        <v>1.111960781321126E+32</v>
      </c>
      <c r="RXI28" s="160">
        <f t="shared" ref="RXI28" si="6397">RXG28*$C$28</f>
        <v>1.1230803891343373E+32</v>
      </c>
      <c r="RXK28" s="160">
        <f t="shared" ref="RXK28" si="6398">RXI28*$C$28</f>
        <v>1.1343111930256807E+32</v>
      </c>
      <c r="RXM28" s="160">
        <f t="shared" ref="RXM28" si="6399">RXK28*$C$28</f>
        <v>1.1456543049559375E+32</v>
      </c>
      <c r="RXO28" s="160">
        <f t="shared" ref="RXO28" si="6400">RXM28*$C$28</f>
        <v>1.1571108480054969E+32</v>
      </c>
      <c r="RXQ28" s="160">
        <f t="shared" ref="RXQ28" si="6401">RXO28*$C$28</f>
        <v>1.1686819564855519E+32</v>
      </c>
      <c r="RXS28" s="160">
        <f t="shared" ref="RXS28" si="6402">RXQ28*$C$28</f>
        <v>1.1803687760504075E+32</v>
      </c>
      <c r="RXU28" s="160">
        <f t="shared" ref="RXU28" si="6403">RXS28*$C$28</f>
        <v>1.1921724638109116E+32</v>
      </c>
      <c r="RXW28" s="160">
        <f t="shared" ref="RXW28" si="6404">RXU28*$C$28</f>
        <v>1.2040941884490207E+32</v>
      </c>
      <c r="RXY28" s="160">
        <f t="shared" ref="RXY28" si="6405">RXW28*$C$28</f>
        <v>1.2161351303335109E+32</v>
      </c>
      <c r="RYA28" s="160">
        <f t="shared" ref="RYA28" si="6406">RXY28*$C$28</f>
        <v>1.228296481636846E+32</v>
      </c>
      <c r="RYC28" s="160">
        <f t="shared" ref="RYC28" si="6407">RYA28*$C$28</f>
        <v>1.2405794464532145E+32</v>
      </c>
      <c r="RYE28" s="160">
        <f t="shared" ref="RYE28" si="6408">RYC28*$C$28</f>
        <v>1.2529852409177467E+32</v>
      </c>
      <c r="RYG28" s="160">
        <f t="shared" ref="RYG28" si="6409">RYE28*$C$28</f>
        <v>1.2655150933269242E+32</v>
      </c>
      <c r="RYI28" s="160">
        <f t="shared" ref="RYI28" si="6410">RYG28*$C$28</f>
        <v>1.2781702442601934E+32</v>
      </c>
      <c r="RYK28" s="160">
        <f t="shared" ref="RYK28" si="6411">RYI28*$C$28</f>
        <v>1.2909519467027952E+32</v>
      </c>
      <c r="RYM28" s="160">
        <f t="shared" ref="RYM28" si="6412">RYK28*$C$28</f>
        <v>1.3038614661698233E+32</v>
      </c>
      <c r="RYO28" s="160">
        <f t="shared" ref="RYO28" si="6413">RYM28*$C$28</f>
        <v>1.3169000808315216E+32</v>
      </c>
      <c r="RYQ28" s="160">
        <f t="shared" ref="RYQ28" si="6414">RYO28*$C$28</f>
        <v>1.3300690816398367E+32</v>
      </c>
      <c r="RYS28" s="160">
        <f t="shared" ref="RYS28" si="6415">RYQ28*$C$28</f>
        <v>1.3433697724562351E+32</v>
      </c>
      <c r="RYU28" s="160">
        <f t="shared" ref="RYU28" si="6416">RYS28*$C$28</f>
        <v>1.3568034701807975E+32</v>
      </c>
      <c r="RYW28" s="160">
        <f t="shared" ref="RYW28" si="6417">RYU28*$C$28</f>
        <v>1.3703715048826055E+32</v>
      </c>
      <c r="RYY28" s="160">
        <f t="shared" ref="RYY28" si="6418">RYW28*$C$28</f>
        <v>1.3840752199314317E+32</v>
      </c>
      <c r="RZA28" s="160">
        <f t="shared" ref="RZA28" si="6419">RYY28*$C$28</f>
        <v>1.3979159721307459E+32</v>
      </c>
      <c r="RZC28" s="160">
        <f t="shared" ref="RZC28" si="6420">RZA28*$C$28</f>
        <v>1.4118951318520535E+32</v>
      </c>
      <c r="RZE28" s="160">
        <f t="shared" ref="RZE28" si="6421">RZC28*$C$28</f>
        <v>1.426014083170574E+32</v>
      </c>
      <c r="RZG28" s="160">
        <f t="shared" ref="RZG28" si="6422">RZE28*$C$28</f>
        <v>1.4402742240022797E+32</v>
      </c>
      <c r="RZI28" s="160">
        <f t="shared" ref="RZI28" si="6423">RZG28*$C$28</f>
        <v>1.4546769662423025E+32</v>
      </c>
      <c r="RZK28" s="160">
        <f t="shared" ref="RZK28" si="6424">RZI28*$C$28</f>
        <v>1.4692237359047255E+32</v>
      </c>
      <c r="RZM28" s="160">
        <f t="shared" ref="RZM28" si="6425">RZK28*$C$28</f>
        <v>1.4839159732637728E+32</v>
      </c>
      <c r="RZO28" s="160">
        <f t="shared" ref="RZO28" si="6426">RZM28*$C$28</f>
        <v>1.4987551329964107E+32</v>
      </c>
      <c r="RZQ28" s="160">
        <f t="shared" ref="RZQ28" si="6427">RZO28*$C$28</f>
        <v>1.5137426843263748E+32</v>
      </c>
      <c r="RZS28" s="160">
        <f t="shared" ref="RZS28" si="6428">RZQ28*$C$28</f>
        <v>1.5288801111696386E+32</v>
      </c>
      <c r="RZU28" s="160">
        <f t="shared" ref="RZU28" si="6429">RZS28*$C$28</f>
        <v>1.544168912281335E+32</v>
      </c>
      <c r="RZW28" s="160">
        <f t="shared" ref="RZW28" si="6430">RZU28*$C$28</f>
        <v>1.5596106014041484E+32</v>
      </c>
      <c r="RZY28" s="160">
        <f t="shared" ref="RZY28" si="6431">RZW28*$C$28</f>
        <v>1.5752067074181899E+32</v>
      </c>
      <c r="SAA28" s="160">
        <f t="shared" ref="SAA28" si="6432">RZY28*$C$28</f>
        <v>1.5909587744923718E+32</v>
      </c>
      <c r="SAC28" s="160">
        <f t="shared" ref="SAC28" si="6433">SAA28*$C$28</f>
        <v>1.6068683622372956E+32</v>
      </c>
      <c r="SAE28" s="160">
        <f t="shared" ref="SAE28" si="6434">SAC28*$C$28</f>
        <v>1.6229370458596685E+32</v>
      </c>
      <c r="SAG28" s="160">
        <f t="shared" ref="SAG28" si="6435">SAE28*$C$28</f>
        <v>1.6391664163182651E+32</v>
      </c>
      <c r="SAI28" s="160">
        <f t="shared" ref="SAI28" si="6436">SAG28*$C$28</f>
        <v>1.6555580804814477E+32</v>
      </c>
      <c r="SAK28" s="160">
        <f t="shared" ref="SAK28" si="6437">SAI28*$C$28</f>
        <v>1.6721136612862621E+32</v>
      </c>
      <c r="SAM28" s="160">
        <f t="shared" ref="SAM28" si="6438">SAK28*$C$28</f>
        <v>1.6888347978991247E+32</v>
      </c>
      <c r="SAO28" s="160">
        <f t="shared" ref="SAO28" si="6439">SAM28*$C$28</f>
        <v>1.7057231458781161E+32</v>
      </c>
      <c r="SAQ28" s="160">
        <f t="shared" ref="SAQ28" si="6440">SAO28*$C$28</f>
        <v>1.7227803773368975E+32</v>
      </c>
      <c r="SAS28" s="160">
        <f t="shared" ref="SAS28" si="6441">SAQ28*$C$28</f>
        <v>1.7400081811102665E+32</v>
      </c>
      <c r="SAU28" s="160">
        <f t="shared" ref="SAU28" si="6442">SAS28*$C$28</f>
        <v>1.7574082629213691E+32</v>
      </c>
      <c r="SAW28" s="160">
        <f t="shared" ref="SAW28" si="6443">SAU28*$C$28</f>
        <v>1.7749823455505828E+32</v>
      </c>
      <c r="SAY28" s="160">
        <f t="shared" ref="SAY28" si="6444">SAW28*$C$28</f>
        <v>1.7927321690060888E+32</v>
      </c>
      <c r="SBA28" s="160">
        <f t="shared" ref="SBA28" si="6445">SAY28*$C$28</f>
        <v>1.8106594906961497E+32</v>
      </c>
      <c r="SBC28" s="160">
        <f t="shared" ref="SBC28" si="6446">SBA28*$C$28</f>
        <v>1.8287660856031111E+32</v>
      </c>
      <c r="SBE28" s="160">
        <f t="shared" ref="SBE28" si="6447">SBC28*$C$28</f>
        <v>1.8470537464591423E+32</v>
      </c>
      <c r="SBG28" s="160">
        <f t="shared" ref="SBG28" si="6448">SBE28*$C$28</f>
        <v>1.8655242839237336E+32</v>
      </c>
      <c r="SBI28" s="160">
        <f t="shared" ref="SBI28" si="6449">SBG28*$C$28</f>
        <v>1.8841795267629709E+32</v>
      </c>
      <c r="SBK28" s="160">
        <f t="shared" ref="SBK28" si="6450">SBI28*$C$28</f>
        <v>1.9030213220306007E+32</v>
      </c>
      <c r="SBM28" s="160">
        <f t="shared" ref="SBM28" si="6451">SBK28*$C$28</f>
        <v>1.9220515352509066E+32</v>
      </c>
      <c r="SBO28" s="160">
        <f t="shared" ref="SBO28" si="6452">SBM28*$C$28</f>
        <v>1.9412720506034156E+32</v>
      </c>
      <c r="SBQ28" s="160">
        <f t="shared" ref="SBQ28" si="6453">SBO28*$C$28</f>
        <v>1.9606847711094497E+32</v>
      </c>
      <c r="SBS28" s="160">
        <f t="shared" ref="SBS28" si="6454">SBQ28*$C$28</f>
        <v>1.9802916188205441E+32</v>
      </c>
      <c r="SBU28" s="160">
        <f t="shared" ref="SBU28" si="6455">SBS28*$C$28</f>
        <v>2.0000945350087496E+32</v>
      </c>
      <c r="SBW28" s="160">
        <f t="shared" ref="SBW28" si="6456">SBU28*$C$28</f>
        <v>2.0200954803588373E+32</v>
      </c>
      <c r="SBY28" s="160">
        <f t="shared" ref="SBY28" si="6457">SBW28*$C$28</f>
        <v>2.0402964351624257E+32</v>
      </c>
      <c r="SCA28" s="160">
        <f t="shared" ref="SCA28" si="6458">SBY28*$C$28</f>
        <v>2.06069939951405E+32</v>
      </c>
      <c r="SCC28" s="160">
        <f t="shared" ref="SCC28" si="6459">SCA28*$C$28</f>
        <v>2.0813063935091904E+32</v>
      </c>
      <c r="SCE28" s="160">
        <f t="shared" ref="SCE28" si="6460">SCC28*$C$28</f>
        <v>2.1021194574442822E+32</v>
      </c>
      <c r="SCG28" s="160">
        <f t="shared" ref="SCG28" si="6461">SCE28*$C$28</f>
        <v>2.1231406520187251E+32</v>
      </c>
      <c r="SCI28" s="160">
        <f t="shared" ref="SCI28" si="6462">SCG28*$C$28</f>
        <v>2.1443720585389123E+32</v>
      </c>
      <c r="SCK28" s="160">
        <f t="shared" ref="SCK28" si="6463">SCI28*$C$28</f>
        <v>2.1658157791243015E+32</v>
      </c>
      <c r="SCM28" s="160">
        <f t="shared" ref="SCM28" si="6464">SCK28*$C$28</f>
        <v>2.1874739369155446E+32</v>
      </c>
      <c r="SCO28" s="160">
        <f t="shared" ref="SCO28" si="6465">SCM28*$C$28</f>
        <v>2.2093486762847001E+32</v>
      </c>
      <c r="SCQ28" s="160">
        <f t="shared" ref="SCQ28" si="6466">SCO28*$C$28</f>
        <v>2.2314421630475472E+32</v>
      </c>
      <c r="SCS28" s="160">
        <f t="shared" ref="SCS28" si="6467">SCQ28*$C$28</f>
        <v>2.2537565846780228E+32</v>
      </c>
      <c r="SCU28" s="160">
        <f t="shared" ref="SCU28" si="6468">SCS28*$C$28</f>
        <v>2.2762941505248029E+32</v>
      </c>
      <c r="SCW28" s="160">
        <f t="shared" ref="SCW28" si="6469">SCU28*$C$28</f>
        <v>2.2990570920300509E+32</v>
      </c>
      <c r="SCY28" s="160">
        <f t="shared" ref="SCY28" si="6470">SCW28*$C$28</f>
        <v>2.3220476629503514E+32</v>
      </c>
      <c r="SDA28" s="160">
        <f t="shared" ref="SDA28" si="6471">SCY28*$C$28</f>
        <v>2.345268139579855E+32</v>
      </c>
      <c r="SDC28" s="160">
        <f t="shared" ref="SDC28" si="6472">SDA28*$C$28</f>
        <v>2.3687208209756535E+32</v>
      </c>
      <c r="SDE28" s="160">
        <f t="shared" ref="SDE28" si="6473">SDC28*$C$28</f>
        <v>2.3924080291854099E+32</v>
      </c>
      <c r="SDG28" s="160">
        <f t="shared" ref="SDG28" si="6474">SDE28*$C$28</f>
        <v>2.4163321094772639E+32</v>
      </c>
      <c r="SDI28" s="160">
        <f t="shared" ref="SDI28" si="6475">SDG28*$C$28</f>
        <v>2.4404954305720364E+32</v>
      </c>
      <c r="SDK28" s="160">
        <f t="shared" ref="SDK28" si="6476">SDI28*$C$28</f>
        <v>2.4649003848777568E+32</v>
      </c>
      <c r="SDM28" s="160">
        <f t="shared" ref="SDM28" si="6477">SDK28*$C$28</f>
        <v>2.4895493887265342E+32</v>
      </c>
      <c r="SDO28" s="160">
        <f t="shared" ref="SDO28" si="6478">SDM28*$C$28</f>
        <v>2.5144448826137995E+32</v>
      </c>
      <c r="SDQ28" s="160">
        <f t="shared" ref="SDQ28" si="6479">SDO28*$C$28</f>
        <v>2.5395893314399377E+32</v>
      </c>
      <c r="SDS28" s="160">
        <f t="shared" ref="SDS28" si="6480">SDQ28*$C$28</f>
        <v>2.5649852247543372E+32</v>
      </c>
      <c r="SDU28" s="160">
        <f t="shared" ref="SDU28" si="6481">SDS28*$C$28</f>
        <v>2.5906350770018806E+32</v>
      </c>
      <c r="SDW28" s="160">
        <f t="shared" ref="SDW28" si="6482">SDU28*$C$28</f>
        <v>2.6165414277718993E+32</v>
      </c>
      <c r="SDY28" s="160">
        <f t="shared" ref="SDY28" si="6483">SDW28*$C$28</f>
        <v>2.6427068420496184E+32</v>
      </c>
      <c r="SEA28" s="160">
        <f t="shared" ref="SEA28" si="6484">SDY28*$C$28</f>
        <v>2.6691339104701146E+32</v>
      </c>
      <c r="SEC28" s="160">
        <f t="shared" ref="SEC28" si="6485">SEA28*$C$28</f>
        <v>2.6958252495748159E+32</v>
      </c>
      <c r="SEE28" s="160">
        <f t="shared" ref="SEE28" si="6486">SEC28*$C$28</f>
        <v>2.7227835020705642E+32</v>
      </c>
      <c r="SEG28" s="160">
        <f t="shared" ref="SEG28" si="6487">SEE28*$C$28</f>
        <v>2.7500113370912701E+32</v>
      </c>
      <c r="SEI28" s="160">
        <f t="shared" ref="SEI28" si="6488">SEG28*$C$28</f>
        <v>2.7775114504621829E+32</v>
      </c>
      <c r="SEK28" s="160">
        <f t="shared" ref="SEK28" si="6489">SEI28*$C$28</f>
        <v>2.8052865649668047E+32</v>
      </c>
      <c r="SEM28" s="160">
        <f t="shared" ref="SEM28" si="6490">SEK28*$C$28</f>
        <v>2.8333394306164727E+32</v>
      </c>
      <c r="SEO28" s="160">
        <f t="shared" ref="SEO28" si="6491">SEM28*$C$28</f>
        <v>2.8616728249226376E+32</v>
      </c>
      <c r="SEQ28" s="160">
        <f t="shared" ref="SEQ28" si="6492">SEO28*$C$28</f>
        <v>2.8902895531718641E+32</v>
      </c>
      <c r="SES28" s="160">
        <f t="shared" ref="SES28" si="6493">SEQ28*$C$28</f>
        <v>2.9191924487035828E+32</v>
      </c>
      <c r="SEU28" s="160">
        <f t="shared" ref="SEU28" si="6494">SES28*$C$28</f>
        <v>2.9483843731906185E+32</v>
      </c>
      <c r="SEW28" s="160">
        <f t="shared" ref="SEW28" si="6495">SEU28*$C$28</f>
        <v>2.9778682169225248E+32</v>
      </c>
      <c r="SEY28" s="160">
        <f t="shared" ref="SEY28" si="6496">SEW28*$C$28</f>
        <v>3.0076468990917499E+32</v>
      </c>
      <c r="SFA28" s="160">
        <f t="shared" ref="SFA28" si="6497">SEY28*$C$28</f>
        <v>3.0377233680826675E+32</v>
      </c>
      <c r="SFC28" s="160">
        <f t="shared" ref="SFC28" si="6498">SFA28*$C$28</f>
        <v>3.068100601763494E+32</v>
      </c>
      <c r="SFE28" s="160">
        <f t="shared" ref="SFE28" si="6499">SFC28*$C$28</f>
        <v>3.0987816077811289E+32</v>
      </c>
      <c r="SFG28" s="160">
        <f t="shared" ref="SFG28" si="6500">SFE28*$C$28</f>
        <v>3.1297694238589401E+32</v>
      </c>
      <c r="SFI28" s="160">
        <f t="shared" ref="SFI28" si="6501">SFG28*$C$28</f>
        <v>3.1610671180975294E+32</v>
      </c>
      <c r="SFK28" s="160">
        <f t="shared" ref="SFK28" si="6502">SFI28*$C$28</f>
        <v>3.1926777892785046E+32</v>
      </c>
      <c r="SFM28" s="160">
        <f t="shared" ref="SFM28" si="6503">SFK28*$C$28</f>
        <v>3.2246045671712899E+32</v>
      </c>
      <c r="SFO28" s="160">
        <f t="shared" ref="SFO28" si="6504">SFM28*$C$28</f>
        <v>3.2568506128430031E+32</v>
      </c>
      <c r="SFQ28" s="160">
        <f t="shared" ref="SFQ28" si="6505">SFO28*$C$28</f>
        <v>3.2894191189714334E+32</v>
      </c>
      <c r="SFS28" s="160">
        <f t="shared" ref="SFS28" si="6506">SFQ28*$C$28</f>
        <v>3.322313310161148E+32</v>
      </c>
      <c r="SFU28" s="160">
        <f t="shared" ref="SFU28" si="6507">SFS28*$C$28</f>
        <v>3.3555364432627595E+32</v>
      </c>
      <c r="SFW28" s="160">
        <f t="shared" ref="SFW28" si="6508">SFU28*$C$28</f>
        <v>3.3890918076953871E+32</v>
      </c>
      <c r="SFY28" s="160">
        <f t="shared" ref="SFY28" si="6509">SFW28*$C$28</f>
        <v>3.422982725772341E+32</v>
      </c>
      <c r="SGA28" s="160">
        <f t="shared" ref="SGA28" si="6510">SFY28*$C$28</f>
        <v>3.4572125530300645E+32</v>
      </c>
      <c r="SGC28" s="160">
        <f t="shared" ref="SGC28" si="6511">SGA28*$C$28</f>
        <v>3.4917846785603653E+32</v>
      </c>
      <c r="SGE28" s="160">
        <f t="shared" ref="SGE28" si="6512">SGC28*$C$28</f>
        <v>3.5267025253459687E+32</v>
      </c>
      <c r="SGG28" s="160">
        <f t="shared" ref="SGG28" si="6513">SGE28*$C$28</f>
        <v>3.5619695505994286E+32</v>
      </c>
      <c r="SGI28" s="160">
        <f t="shared" ref="SGI28" si="6514">SGG28*$C$28</f>
        <v>3.5975892461054228E+32</v>
      </c>
      <c r="SGK28" s="160">
        <f t="shared" ref="SGK28" si="6515">SGI28*$C$28</f>
        <v>3.6335651385664769E+32</v>
      </c>
      <c r="SGM28" s="160">
        <f t="shared" ref="SGM28" si="6516">SGK28*$C$28</f>
        <v>3.669900789952142E+32</v>
      </c>
      <c r="SGO28" s="160">
        <f t="shared" ref="SGO28" si="6517">SGM28*$C$28</f>
        <v>3.7065997978516638E+32</v>
      </c>
      <c r="SGQ28" s="160">
        <f t="shared" ref="SGQ28" si="6518">SGO28*$C$28</f>
        <v>3.7436657958301802E+32</v>
      </c>
      <c r="SGS28" s="160">
        <f t="shared" ref="SGS28" si="6519">SGQ28*$C$28</f>
        <v>3.7811024537884819E+32</v>
      </c>
      <c r="SGU28" s="160">
        <f t="shared" ref="SGU28" si="6520">SGS28*$C$28</f>
        <v>3.8189134783263667E+32</v>
      </c>
      <c r="SGW28" s="160">
        <f t="shared" ref="SGW28" si="6521">SGU28*$C$28</f>
        <v>3.8571026131096304E+32</v>
      </c>
      <c r="SGY28" s="160">
        <f t="shared" ref="SGY28" si="6522">SGW28*$C$28</f>
        <v>3.8956736392407266E+32</v>
      </c>
      <c r="SHA28" s="160">
        <f t="shared" ref="SHA28" si="6523">SGY28*$C$28</f>
        <v>3.9346303756331338E+32</v>
      </c>
      <c r="SHC28" s="160">
        <f t="shared" ref="SHC28" si="6524">SHA28*$C$28</f>
        <v>3.9739766793894652E+32</v>
      </c>
      <c r="SHE28" s="160">
        <f t="shared" ref="SHE28" si="6525">SHC28*$C$28</f>
        <v>4.0137164461833597E+32</v>
      </c>
      <c r="SHG28" s="160">
        <f t="shared" ref="SHG28" si="6526">SHE28*$C$28</f>
        <v>4.0538536106451935E+32</v>
      </c>
      <c r="SHI28" s="160">
        <f t="shared" ref="SHI28" si="6527">SHG28*$C$28</f>
        <v>4.0943921467516458E+32</v>
      </c>
      <c r="SHK28" s="160">
        <f t="shared" ref="SHK28" si="6528">SHI28*$C$28</f>
        <v>4.1353360682191621E+32</v>
      </c>
      <c r="SHM28" s="160">
        <f t="shared" ref="SHM28" si="6529">SHK28*$C$28</f>
        <v>4.1766894289013535E+32</v>
      </c>
      <c r="SHO28" s="160">
        <f t="shared" ref="SHO28" si="6530">SHM28*$C$28</f>
        <v>4.2184563231903672E+32</v>
      </c>
      <c r="SHQ28" s="160">
        <f t="shared" ref="SHQ28" si="6531">SHO28*$C$28</f>
        <v>4.2606408864222708E+32</v>
      </c>
      <c r="SHS28" s="160">
        <f t="shared" ref="SHS28" si="6532">SHQ28*$C$28</f>
        <v>4.3032472952864937E+32</v>
      </c>
      <c r="SHU28" s="160">
        <f t="shared" ref="SHU28" si="6533">SHS28*$C$28</f>
        <v>4.3462797682393583E+32</v>
      </c>
      <c r="SHW28" s="160">
        <f t="shared" ref="SHW28" si="6534">SHU28*$C$28</f>
        <v>4.3897425659217521E+32</v>
      </c>
      <c r="SHY28" s="160">
        <f t="shared" ref="SHY28" si="6535">SHW28*$C$28</f>
        <v>4.4336399915809696E+32</v>
      </c>
      <c r="SIA28" s="160">
        <f t="shared" ref="SIA28" si="6536">SHY28*$C$28</f>
        <v>4.4779763914967793E+32</v>
      </c>
      <c r="SIC28" s="160">
        <f t="shared" ref="SIC28" si="6537">SIA28*$C$28</f>
        <v>4.5227561554117471E+32</v>
      </c>
      <c r="SIE28" s="160">
        <f t="shared" ref="SIE28" si="6538">SIC28*$C$28</f>
        <v>4.5679837169658646E+32</v>
      </c>
      <c r="SIG28" s="160">
        <f t="shared" ref="SIG28" si="6539">SIE28*$C$28</f>
        <v>4.6136635541355234E+32</v>
      </c>
      <c r="SII28" s="160">
        <f t="shared" ref="SII28" si="6540">SIG28*$C$28</f>
        <v>4.6598001896768787E+32</v>
      </c>
      <c r="SIK28" s="160">
        <f t="shared" ref="SIK28" si="6541">SII28*$C$28</f>
        <v>4.7063981915736473E+32</v>
      </c>
      <c r="SIM28" s="160">
        <f t="shared" ref="SIM28" si="6542">SIK28*$C$28</f>
        <v>4.7534621734893839E+32</v>
      </c>
      <c r="SIO28" s="160">
        <f t="shared" ref="SIO28" si="6543">SIM28*$C$28</f>
        <v>4.8009967952242776E+32</v>
      </c>
      <c r="SIQ28" s="160">
        <f t="shared" ref="SIQ28" si="6544">SIO28*$C$28</f>
        <v>4.8490067631765206E+32</v>
      </c>
      <c r="SIS28" s="160">
        <f t="shared" ref="SIS28" si="6545">SIQ28*$C$28</f>
        <v>4.8974968308082858E+32</v>
      </c>
      <c r="SIU28" s="160">
        <f t="shared" ref="SIU28" si="6546">SIS28*$C$28</f>
        <v>4.9464717991163685E+32</v>
      </c>
      <c r="SIW28" s="160">
        <f t="shared" ref="SIW28" si="6547">SIU28*$C$28</f>
        <v>4.9959365171075321E+32</v>
      </c>
      <c r="SIY28" s="160">
        <f t="shared" ref="SIY28" si="6548">SIW28*$C$28</f>
        <v>5.0458958822786075E+32</v>
      </c>
      <c r="SJA28" s="160">
        <f t="shared" ref="SJA28" si="6549">SIY28*$C$28</f>
        <v>5.0963548411013934E+32</v>
      </c>
      <c r="SJC28" s="160">
        <f t="shared" ref="SJC28" si="6550">SJA28*$C$28</f>
        <v>5.1473183895124072E+32</v>
      </c>
      <c r="SJE28" s="160">
        <f t="shared" ref="SJE28" si="6551">SJC28*$C$28</f>
        <v>5.198791573407531E+32</v>
      </c>
      <c r="SJG28" s="160">
        <f t="shared" ref="SJG28" si="6552">SJE28*$C$28</f>
        <v>5.2507794891416066E+32</v>
      </c>
      <c r="SJI28" s="160">
        <f t="shared" ref="SJI28" si="6553">SJG28*$C$28</f>
        <v>5.303287284033023E+32</v>
      </c>
      <c r="SJK28" s="160">
        <f t="shared" ref="SJK28" si="6554">SJI28*$C$28</f>
        <v>5.3563201568733532E+32</v>
      </c>
      <c r="SJM28" s="160">
        <f t="shared" ref="SJM28" si="6555">SJK28*$C$28</f>
        <v>5.4098833584420869E+32</v>
      </c>
      <c r="SJO28" s="160">
        <f t="shared" ref="SJO28" si="6556">SJM28*$C$28</f>
        <v>5.4639821920265078E+32</v>
      </c>
      <c r="SJQ28" s="160">
        <f t="shared" ref="SJQ28" si="6557">SJO28*$C$28</f>
        <v>5.5186220139467731E+32</v>
      </c>
      <c r="SJS28" s="160">
        <f t="shared" ref="SJS28" si="6558">SJQ28*$C$28</f>
        <v>5.5738082340862408E+32</v>
      </c>
      <c r="SJU28" s="160">
        <f t="shared" ref="SJU28" si="6559">SJS28*$C$28</f>
        <v>5.6295463164271033E+32</v>
      </c>
      <c r="SJW28" s="160">
        <f t="shared" ref="SJW28" si="6560">SJU28*$C$28</f>
        <v>5.6858417795913744E+32</v>
      </c>
      <c r="SJY28" s="160">
        <f t="shared" ref="SJY28" si="6561">SJW28*$C$28</f>
        <v>5.742700197387288E+32</v>
      </c>
      <c r="SKA28" s="160">
        <f t="shared" ref="SKA28" si="6562">SJY28*$C$28</f>
        <v>5.8001271993611609E+32</v>
      </c>
      <c r="SKC28" s="160">
        <f t="shared" ref="SKC28" si="6563">SKA28*$C$28</f>
        <v>5.8581284713547723E+32</v>
      </c>
      <c r="SKE28" s="160">
        <f t="shared" ref="SKE28" si="6564">SKC28*$C$28</f>
        <v>5.91670975606832E+32</v>
      </c>
      <c r="SKG28" s="160">
        <f t="shared" ref="SKG28" si="6565">SKE28*$C$28</f>
        <v>5.9758768536290034E+32</v>
      </c>
      <c r="SKI28" s="160">
        <f t="shared" ref="SKI28" si="6566">SKG28*$C$28</f>
        <v>6.0356356221652933E+32</v>
      </c>
      <c r="SKK28" s="160">
        <f t="shared" ref="SKK28" si="6567">SKI28*$C$28</f>
        <v>6.0959919783869461E+32</v>
      </c>
      <c r="SKM28" s="160">
        <f t="shared" ref="SKM28" si="6568">SKK28*$C$28</f>
        <v>6.1569518981708155E+32</v>
      </c>
      <c r="SKO28" s="160">
        <f t="shared" ref="SKO28" si="6569">SKM28*$C$28</f>
        <v>6.2185214171525236E+32</v>
      </c>
      <c r="SKQ28" s="160">
        <f t="shared" ref="SKQ28" si="6570">SKO28*$C$28</f>
        <v>6.2807066313240486E+32</v>
      </c>
      <c r="SKS28" s="160">
        <f t="shared" ref="SKS28" si="6571">SKQ28*$C$28</f>
        <v>6.3435136976372889E+32</v>
      </c>
      <c r="SKU28" s="160">
        <f t="shared" ref="SKU28" si="6572">SKS28*$C$28</f>
        <v>6.4069488346136619E+32</v>
      </c>
      <c r="SKW28" s="160">
        <f t="shared" ref="SKW28" si="6573">SKU28*$C$28</f>
        <v>6.4710183229597989E+32</v>
      </c>
      <c r="SKY28" s="160">
        <f t="shared" ref="SKY28" si="6574">SKW28*$C$28</f>
        <v>6.5357285061893966E+32</v>
      </c>
      <c r="SLA28" s="160">
        <f t="shared" ref="SLA28" si="6575">SKY28*$C$28</f>
        <v>6.6010857912512901E+32</v>
      </c>
      <c r="SLC28" s="160">
        <f t="shared" ref="SLC28" si="6576">SLA28*$C$28</f>
        <v>6.6670966491638027E+32</v>
      </c>
      <c r="SLE28" s="160">
        <f t="shared" ref="SLE28" si="6577">SLC28*$C$28</f>
        <v>6.7337676156554407E+32</v>
      </c>
      <c r="SLG28" s="160">
        <f t="shared" ref="SLG28" si="6578">SLE28*$C$28</f>
        <v>6.8011052918119945E+32</v>
      </c>
      <c r="SLI28" s="160">
        <f t="shared" ref="SLI28" si="6579">SLG28*$C$28</f>
        <v>6.8691163447301138E+32</v>
      </c>
      <c r="SLK28" s="160">
        <f t="shared" ref="SLK28" si="6580">SLI28*$C$28</f>
        <v>6.9378075081774145E+32</v>
      </c>
      <c r="SLM28" s="160">
        <f t="shared" ref="SLM28" si="6581">SLK28*$C$28</f>
        <v>7.0071855832591886E+32</v>
      </c>
      <c r="SLO28" s="160">
        <f t="shared" ref="SLO28" si="6582">SLM28*$C$28</f>
        <v>7.0772574390917807E+32</v>
      </c>
      <c r="SLQ28" s="160">
        <f t="shared" ref="SLQ28" si="6583">SLO28*$C$28</f>
        <v>7.1480300134826985E+32</v>
      </c>
      <c r="SLS28" s="160">
        <f t="shared" ref="SLS28" si="6584">SLQ28*$C$28</f>
        <v>7.2195103136175255E+32</v>
      </c>
      <c r="SLU28" s="160">
        <f t="shared" ref="SLU28" si="6585">SLS28*$C$28</f>
        <v>7.2917054167537007E+32</v>
      </c>
      <c r="SLW28" s="160">
        <f t="shared" ref="SLW28" si="6586">SLU28*$C$28</f>
        <v>7.3646224709212383E+32</v>
      </c>
      <c r="SLY28" s="160">
        <f t="shared" ref="SLY28" si="6587">SLW28*$C$28</f>
        <v>7.4382686956304513E+32</v>
      </c>
      <c r="SMA28" s="160">
        <f t="shared" ref="SMA28" si="6588">SLY28*$C$28</f>
        <v>7.5126513825867557E+32</v>
      </c>
      <c r="SMC28" s="160">
        <f t="shared" ref="SMC28" si="6589">SMA28*$C$28</f>
        <v>7.5877778964126226E+32</v>
      </c>
      <c r="SME28" s="160">
        <f t="shared" ref="SME28" si="6590">SMC28*$C$28</f>
        <v>7.6636556753767495E+32</v>
      </c>
      <c r="SMG28" s="160">
        <f t="shared" ref="SMG28" si="6591">SME28*$C$28</f>
        <v>7.7402922321305173E+32</v>
      </c>
      <c r="SMI28" s="160">
        <f t="shared" ref="SMI28" si="6592">SMG28*$C$28</f>
        <v>7.8176951544518226E+32</v>
      </c>
      <c r="SMK28" s="160">
        <f t="shared" ref="SMK28" si="6593">SMI28*$C$28</f>
        <v>7.8958721059963411E+32</v>
      </c>
      <c r="SMM28" s="160">
        <f t="shared" ref="SMM28" si="6594">SMK28*$C$28</f>
        <v>7.9748308270563043E+32</v>
      </c>
      <c r="SMO28" s="160">
        <f t="shared" ref="SMO28" si="6595">SMM28*$C$28</f>
        <v>8.0545791353268667E+32</v>
      </c>
      <c r="SMQ28" s="160">
        <f t="shared" ref="SMQ28" si="6596">SMO28*$C$28</f>
        <v>8.1351249266801354E+32</v>
      </c>
      <c r="SMS28" s="160">
        <f t="shared" ref="SMS28" si="6597">SMQ28*$C$28</f>
        <v>8.2164761759469375E+32</v>
      </c>
      <c r="SMU28" s="160">
        <f t="shared" ref="SMU28" si="6598">SMS28*$C$28</f>
        <v>8.2986409377064066E+32</v>
      </c>
      <c r="SMW28" s="160">
        <f t="shared" ref="SMW28" si="6599">SMU28*$C$28</f>
        <v>8.3816273470834707E+32</v>
      </c>
      <c r="SMY28" s="160">
        <f t="shared" ref="SMY28" si="6600">SMW28*$C$28</f>
        <v>8.465443620554306E+32</v>
      </c>
      <c r="SNA28" s="160">
        <f t="shared" ref="SNA28" si="6601">SMY28*$C$28</f>
        <v>8.5500980567598496E+32</v>
      </c>
      <c r="SNC28" s="160">
        <f t="shared" ref="SNC28" si="6602">SNA28*$C$28</f>
        <v>8.6355990373274482E+32</v>
      </c>
      <c r="SNE28" s="160">
        <f t="shared" ref="SNE28" si="6603">SNC28*$C$28</f>
        <v>8.7219550277007233E+32</v>
      </c>
      <c r="SNG28" s="160">
        <f t="shared" ref="SNG28" si="6604">SNE28*$C$28</f>
        <v>8.8091745779777312E+32</v>
      </c>
      <c r="SNI28" s="160">
        <f t="shared" ref="SNI28" si="6605">SNG28*$C$28</f>
        <v>8.8972663237575082E+32</v>
      </c>
      <c r="SNK28" s="160">
        <f t="shared" ref="SNK28" si="6606">SNI28*$C$28</f>
        <v>8.9862389869950832E+32</v>
      </c>
      <c r="SNM28" s="160">
        <f t="shared" ref="SNM28" si="6607">SNK28*$C$28</f>
        <v>9.0761013768650345E+32</v>
      </c>
      <c r="SNO28" s="160">
        <f t="shared" ref="SNO28" si="6608">SNM28*$C$28</f>
        <v>9.1668623906336852E+32</v>
      </c>
      <c r="SNQ28" s="160">
        <f t="shared" ref="SNQ28" si="6609">SNO28*$C$28</f>
        <v>9.2585310145400227E+32</v>
      </c>
      <c r="SNS28" s="160">
        <f t="shared" ref="SNS28" si="6610">SNQ28*$C$28</f>
        <v>9.3511163246854233E+32</v>
      </c>
      <c r="SNU28" s="160">
        <f t="shared" ref="SNU28" si="6611">SNS28*$C$28</f>
        <v>9.4446274879322774E+32</v>
      </c>
      <c r="SNW28" s="160">
        <f t="shared" ref="SNW28" si="6612">SNU28*$C$28</f>
        <v>9.5390737628116003E+32</v>
      </c>
      <c r="SNY28" s="160">
        <f t="shared" ref="SNY28" si="6613">SNW28*$C$28</f>
        <v>9.6344645004397166E+32</v>
      </c>
      <c r="SOA28" s="160">
        <f t="shared" ref="SOA28" si="6614">SNY28*$C$28</f>
        <v>9.7308091454441141E+32</v>
      </c>
      <c r="SOC28" s="160">
        <f t="shared" ref="SOC28" si="6615">SOA28*$C$28</f>
        <v>9.8281172368985555E+32</v>
      </c>
      <c r="SOE28" s="160">
        <f t="shared" ref="SOE28" si="6616">SOC28*$C$28</f>
        <v>9.9263984092675411E+32</v>
      </c>
      <c r="SOG28" s="160">
        <f t="shared" ref="SOG28" si="6617">SOE28*$C$28</f>
        <v>1.0025662393360217E+33</v>
      </c>
      <c r="SOI28" s="160">
        <f t="shared" ref="SOI28" si="6618">SOG28*$C$28</f>
        <v>1.0125919017293819E+33</v>
      </c>
      <c r="SOK28" s="160">
        <f t="shared" ref="SOK28" si="6619">SOI28*$C$28</f>
        <v>1.0227178207466756E+33</v>
      </c>
      <c r="SOM28" s="160">
        <f t="shared" ref="SOM28" si="6620">SOK28*$C$28</f>
        <v>1.0329449989541424E+33</v>
      </c>
      <c r="SOO28" s="160">
        <f t="shared" ref="SOO28" si="6621">SOM28*$C$28</f>
        <v>1.0432744489436839E+33</v>
      </c>
      <c r="SOQ28" s="160">
        <f t="shared" ref="SOQ28" si="6622">SOO28*$C$28</f>
        <v>1.0537071934331207E+33</v>
      </c>
      <c r="SOS28" s="160">
        <f t="shared" ref="SOS28" si="6623">SOQ28*$C$28</f>
        <v>1.064244265367452E+33</v>
      </c>
      <c r="SOU28" s="160">
        <f t="shared" ref="SOU28" si="6624">SOS28*$C$28</f>
        <v>1.0748867080211264E+33</v>
      </c>
      <c r="SOW28" s="160">
        <f t="shared" ref="SOW28" si="6625">SOU28*$C$28</f>
        <v>1.0856355751013377E+33</v>
      </c>
      <c r="SOY28" s="160">
        <f t="shared" ref="SOY28" si="6626">SOW28*$C$28</f>
        <v>1.0964919308523511E+33</v>
      </c>
      <c r="SPA28" s="160">
        <f t="shared" ref="SPA28" si="6627">SOY28*$C$28</f>
        <v>1.1074568501608747E+33</v>
      </c>
      <c r="SPC28" s="160">
        <f t="shared" ref="SPC28" si="6628">SPA28*$C$28</f>
        <v>1.1185314186624834E+33</v>
      </c>
      <c r="SPE28" s="160">
        <f t="shared" ref="SPE28" si="6629">SPC28*$C$28</f>
        <v>1.1297167328491082E+33</v>
      </c>
      <c r="SPG28" s="160">
        <f t="shared" ref="SPG28" si="6630">SPE28*$C$28</f>
        <v>1.1410139001775994E+33</v>
      </c>
      <c r="SPI28" s="160">
        <f t="shared" ref="SPI28" si="6631">SPG28*$C$28</f>
        <v>1.1524240391793754E+33</v>
      </c>
      <c r="SPK28" s="160">
        <f t="shared" ref="SPK28" si="6632">SPI28*$C$28</f>
        <v>1.1639482795711692E+33</v>
      </c>
      <c r="SPM28" s="160">
        <f t="shared" ref="SPM28" si="6633">SPK28*$C$28</f>
        <v>1.1755877623668809E+33</v>
      </c>
      <c r="SPO28" s="160">
        <f t="shared" ref="SPO28" si="6634">SPM28*$C$28</f>
        <v>1.1873436399905497E+33</v>
      </c>
      <c r="SPQ28" s="160">
        <f t="shared" ref="SPQ28" si="6635">SPO28*$C$28</f>
        <v>1.1992170763904553E+33</v>
      </c>
      <c r="SPS28" s="160">
        <f t="shared" ref="SPS28" si="6636">SPQ28*$C$28</f>
        <v>1.2112092471543598E+33</v>
      </c>
      <c r="SPU28" s="160">
        <f t="shared" ref="SPU28" si="6637">SPS28*$C$28</f>
        <v>1.2233213396259035E+33</v>
      </c>
      <c r="SPW28" s="160">
        <f t="shared" ref="SPW28" si="6638">SPU28*$C$28</f>
        <v>1.2355545530221625E+33</v>
      </c>
      <c r="SPY28" s="160">
        <f t="shared" ref="SPY28" si="6639">SPW28*$C$28</f>
        <v>1.2479100985523842E+33</v>
      </c>
      <c r="SQA28" s="160">
        <f t="shared" ref="SQA28" si="6640">SPY28*$C$28</f>
        <v>1.260389199537908E+33</v>
      </c>
      <c r="SQC28" s="160">
        <f t="shared" ref="SQC28" si="6641">SQA28*$C$28</f>
        <v>1.2729930915332871E+33</v>
      </c>
      <c r="SQE28" s="160">
        <f t="shared" ref="SQE28" si="6642">SQC28*$C$28</f>
        <v>1.2857230224486199E+33</v>
      </c>
      <c r="SQG28" s="160">
        <f t="shared" ref="SQG28" si="6643">SQE28*$C$28</f>
        <v>1.2985802526731061E+33</v>
      </c>
      <c r="SQI28" s="160">
        <f t="shared" ref="SQI28" si="6644">SQG28*$C$28</f>
        <v>1.3115660551998372E+33</v>
      </c>
      <c r="SQK28" s="160">
        <f t="shared" ref="SQK28" si="6645">SQI28*$C$28</f>
        <v>1.3246817157518356E+33</v>
      </c>
      <c r="SQM28" s="160">
        <f t="shared" ref="SQM28" si="6646">SQK28*$C$28</f>
        <v>1.337928532909354E+33</v>
      </c>
      <c r="SQO28" s="160">
        <f t="shared" ref="SQO28" si="6647">SQM28*$C$28</f>
        <v>1.3513078182384474E+33</v>
      </c>
      <c r="SQQ28" s="160">
        <f t="shared" ref="SQQ28" si="6648">SQO28*$C$28</f>
        <v>1.364820896420832E+33</v>
      </c>
      <c r="SQS28" s="160">
        <f t="shared" ref="SQS28" si="6649">SQQ28*$C$28</f>
        <v>1.3784691053850405E+33</v>
      </c>
      <c r="SQU28" s="160">
        <f t="shared" ref="SQU28" si="6650">SQS28*$C$28</f>
        <v>1.392253796438891E+33</v>
      </c>
      <c r="SQW28" s="160">
        <f t="shared" ref="SQW28" si="6651">SQU28*$C$28</f>
        <v>1.40617633440328E+33</v>
      </c>
      <c r="SQY28" s="160">
        <f t="shared" ref="SQY28" si="6652">SQW28*$C$28</f>
        <v>1.4202380977473129E+33</v>
      </c>
      <c r="SRA28" s="160">
        <f t="shared" ref="SRA28" si="6653">SQY28*$C$28</f>
        <v>1.434440478724786E+33</v>
      </c>
      <c r="SRC28" s="160">
        <f t="shared" ref="SRC28" si="6654">SRA28*$C$28</f>
        <v>1.4487848835120339E+33</v>
      </c>
      <c r="SRE28" s="160">
        <f t="shared" ref="SRE28" si="6655">SRC28*$C$28</f>
        <v>1.4632727323471542E+33</v>
      </c>
      <c r="SRG28" s="160">
        <f t="shared" ref="SRG28" si="6656">SRE28*$C$28</f>
        <v>1.4779054596706259E+33</v>
      </c>
      <c r="SRI28" s="160">
        <f t="shared" ref="SRI28" si="6657">SRG28*$C$28</f>
        <v>1.4926845142673322E+33</v>
      </c>
      <c r="SRK28" s="160">
        <f t="shared" ref="SRK28" si="6658">SRI28*$C$28</f>
        <v>1.5076113594100057E+33</v>
      </c>
      <c r="SRM28" s="160">
        <f t="shared" ref="SRM28" si="6659">SRK28*$C$28</f>
        <v>1.5226874730041058E+33</v>
      </c>
      <c r="SRO28" s="160">
        <f t="shared" ref="SRO28" si="6660">SRM28*$C$28</f>
        <v>1.537914347734147E+33</v>
      </c>
      <c r="SRQ28" s="160">
        <f t="shared" ref="SRQ28" si="6661">SRO28*$C$28</f>
        <v>1.5532934912114886E+33</v>
      </c>
      <c r="SRS28" s="160">
        <f t="shared" ref="SRS28" si="6662">SRQ28*$C$28</f>
        <v>1.5688264261236035E+33</v>
      </c>
      <c r="SRU28" s="160">
        <f t="shared" ref="SRU28" si="6663">SRS28*$C$28</f>
        <v>1.5845146903848395E+33</v>
      </c>
      <c r="SRW28" s="160">
        <f t="shared" ref="SRW28" si="6664">SRU28*$C$28</f>
        <v>1.6003598372886878E+33</v>
      </c>
      <c r="SRY28" s="160">
        <f t="shared" ref="SRY28" si="6665">SRW28*$C$28</f>
        <v>1.6163634356615747E+33</v>
      </c>
      <c r="SSA28" s="160">
        <f t="shared" ref="SSA28" si="6666">SRY28*$C$28</f>
        <v>1.6325270700181903E+33</v>
      </c>
      <c r="SSC28" s="160">
        <f t="shared" ref="SSC28" si="6667">SSA28*$C$28</f>
        <v>1.6488523407183723E+33</v>
      </c>
      <c r="SSE28" s="160">
        <f t="shared" ref="SSE28" si="6668">SSC28*$C$28</f>
        <v>1.6653408641255559E+33</v>
      </c>
      <c r="SSG28" s="160">
        <f t="shared" ref="SSG28" si="6669">SSE28*$C$28</f>
        <v>1.6819942727668115E+33</v>
      </c>
      <c r="SSI28" s="160">
        <f t="shared" ref="SSI28" si="6670">SSG28*$C$28</f>
        <v>1.6988142154944797E+33</v>
      </c>
      <c r="SSK28" s="160">
        <f t="shared" ref="SSK28" si="6671">SSI28*$C$28</f>
        <v>1.7158023576494245E+33</v>
      </c>
      <c r="SSM28" s="160">
        <f t="shared" ref="SSM28" si="6672">SSK28*$C$28</f>
        <v>1.7329603812259187E+33</v>
      </c>
      <c r="SSO28" s="160">
        <f t="shared" ref="SSO28" si="6673">SSM28*$C$28</f>
        <v>1.7502899850381778E+33</v>
      </c>
      <c r="SSQ28" s="160">
        <f t="shared" ref="SSQ28" si="6674">SSO28*$C$28</f>
        <v>1.7677928848885595E+33</v>
      </c>
      <c r="SSS28" s="160">
        <f t="shared" ref="SSS28" si="6675">SSQ28*$C$28</f>
        <v>1.7854708137374451E+33</v>
      </c>
      <c r="SSU28" s="160">
        <f t="shared" ref="SSU28" si="6676">SSS28*$C$28</f>
        <v>1.8033255218748195E+33</v>
      </c>
      <c r="SSW28" s="160">
        <f t="shared" ref="SSW28" si="6677">SSU28*$C$28</f>
        <v>1.8213587770935678E+33</v>
      </c>
      <c r="SSY28" s="160">
        <f t="shared" ref="SSY28" si="6678">SSW28*$C$28</f>
        <v>1.8395723648645034E+33</v>
      </c>
      <c r="STA28" s="160">
        <f t="shared" ref="STA28" si="6679">SSY28*$C$28</f>
        <v>1.8579680885131485E+33</v>
      </c>
      <c r="STC28" s="160">
        <f t="shared" ref="STC28" si="6680">STA28*$C$28</f>
        <v>1.8765477693982799E+33</v>
      </c>
      <c r="STE28" s="160">
        <f t="shared" ref="STE28" si="6681">STC28*$C$28</f>
        <v>1.8953132470922627E+33</v>
      </c>
      <c r="STG28" s="160">
        <f t="shared" ref="STG28" si="6682">STE28*$C$28</f>
        <v>1.9142663795631854E+33</v>
      </c>
      <c r="STI28" s="160">
        <f t="shared" ref="STI28" si="6683">STG28*$C$28</f>
        <v>1.9334090433588174E+33</v>
      </c>
      <c r="STK28" s="160">
        <f t="shared" ref="STK28" si="6684">STI28*$C$28</f>
        <v>1.9527431337924055E+33</v>
      </c>
      <c r="STM28" s="160">
        <f t="shared" ref="STM28" si="6685">STK28*$C$28</f>
        <v>1.9722705651303296E+33</v>
      </c>
      <c r="STO28" s="160">
        <f t="shared" ref="STO28" si="6686">STM28*$C$28</f>
        <v>1.991993270781633E+33</v>
      </c>
      <c r="STQ28" s="160">
        <f t="shared" ref="STQ28" si="6687">STO28*$C$28</f>
        <v>2.0119132034894495E+33</v>
      </c>
      <c r="STS28" s="160">
        <f t="shared" ref="STS28" si="6688">STQ28*$C$28</f>
        <v>2.032032335524344E+33</v>
      </c>
      <c r="STU28" s="160">
        <f t="shared" ref="STU28" si="6689">STS28*$C$28</f>
        <v>2.0523526588795873E+33</v>
      </c>
      <c r="STW28" s="160">
        <f t="shared" ref="STW28" si="6690">STU28*$C$28</f>
        <v>2.0728761854683833E+33</v>
      </c>
      <c r="STY28" s="160">
        <f t="shared" ref="STY28" si="6691">STW28*$C$28</f>
        <v>2.0936049473230671E+33</v>
      </c>
      <c r="SUA28" s="160">
        <f t="shared" ref="SUA28" si="6692">STY28*$C$28</f>
        <v>2.1145409967962977E+33</v>
      </c>
      <c r="SUC28" s="160">
        <f t="shared" ref="SUC28" si="6693">SUA28*$C$28</f>
        <v>2.1356864067642607E+33</v>
      </c>
      <c r="SUE28" s="160">
        <f t="shared" ref="SUE28" si="6694">SUC28*$C$28</f>
        <v>2.1570432708319032E+33</v>
      </c>
      <c r="SUG28" s="160">
        <f t="shared" ref="SUG28" si="6695">SUE28*$C$28</f>
        <v>2.1786137035402223E+33</v>
      </c>
      <c r="SUI28" s="160">
        <f t="shared" ref="SUI28" si="6696">SUG28*$C$28</f>
        <v>2.2003998405756245E+33</v>
      </c>
      <c r="SUK28" s="160">
        <f t="shared" ref="SUK28" si="6697">SUI28*$C$28</f>
        <v>2.2224038389813807E+33</v>
      </c>
      <c r="SUM28" s="160">
        <f t="shared" ref="SUM28" si="6698">SUK28*$C$28</f>
        <v>2.2446278773711946E+33</v>
      </c>
      <c r="SUO28" s="160">
        <f t="shared" ref="SUO28" si="6699">SUM28*$C$28</f>
        <v>2.2670741561449065E+33</v>
      </c>
      <c r="SUQ28" s="160">
        <f t="shared" ref="SUQ28" si="6700">SUO28*$C$28</f>
        <v>2.2897448977063557E+33</v>
      </c>
      <c r="SUS28" s="160">
        <f t="shared" ref="SUS28" si="6701">SUQ28*$C$28</f>
        <v>2.3126423466834194E+33</v>
      </c>
      <c r="SUU28" s="160">
        <f t="shared" ref="SUU28" si="6702">SUS28*$C$28</f>
        <v>2.3357687701502538E+33</v>
      </c>
      <c r="SUW28" s="160">
        <f t="shared" ref="SUW28" si="6703">SUU28*$C$28</f>
        <v>2.3591264578517562E+33</v>
      </c>
      <c r="SUY28" s="160">
        <f t="shared" ref="SUY28" si="6704">SUW28*$C$28</f>
        <v>2.3827177224302737E+33</v>
      </c>
      <c r="SVA28" s="160">
        <f t="shared" ref="SVA28" si="6705">SUY28*$C$28</f>
        <v>2.4065448996545766E+33</v>
      </c>
      <c r="SVC28" s="160">
        <f t="shared" ref="SVC28" si="6706">SVA28*$C$28</f>
        <v>2.4306103486511224E+33</v>
      </c>
      <c r="SVE28" s="160">
        <f t="shared" ref="SVE28" si="6707">SVC28*$C$28</f>
        <v>2.4549164521376337E+33</v>
      </c>
      <c r="SVG28" s="160">
        <f t="shared" ref="SVG28" si="6708">SVE28*$C$28</f>
        <v>2.4794656166590101E+33</v>
      </c>
      <c r="SVI28" s="160">
        <f t="shared" ref="SVI28" si="6709">SVG28*$C$28</f>
        <v>2.5042602728256002E+33</v>
      </c>
      <c r="SVK28" s="160">
        <f t="shared" ref="SVK28" si="6710">SVI28*$C$28</f>
        <v>2.5293028755538562E+33</v>
      </c>
      <c r="SVM28" s="160">
        <f t="shared" ref="SVM28" si="6711">SVK28*$C$28</f>
        <v>2.5545959043093947E+33</v>
      </c>
      <c r="SVO28" s="160">
        <f t="shared" ref="SVO28" si="6712">SVM28*$C$28</f>
        <v>2.5801418633524886E+33</v>
      </c>
      <c r="SVQ28" s="160">
        <f t="shared" ref="SVQ28" si="6713">SVO28*$C$28</f>
        <v>2.6059432819860134E+33</v>
      </c>
      <c r="SVS28" s="160">
        <f t="shared" ref="SVS28" si="6714">SVQ28*$C$28</f>
        <v>2.6320027148058736E+33</v>
      </c>
      <c r="SVU28" s="160">
        <f t="shared" ref="SVU28" si="6715">SVS28*$C$28</f>
        <v>2.6583227419539322E+33</v>
      </c>
      <c r="SVW28" s="160">
        <f t="shared" ref="SVW28" si="6716">SVU28*$C$28</f>
        <v>2.6849059693734714E+33</v>
      </c>
      <c r="SVY28" s="160">
        <f t="shared" ref="SVY28" si="6717">SVW28*$C$28</f>
        <v>2.7117550290672059E+33</v>
      </c>
      <c r="SWA28" s="160">
        <f t="shared" ref="SWA28" si="6718">SVY28*$C$28</f>
        <v>2.7388725793578783E+33</v>
      </c>
      <c r="SWC28" s="160">
        <f t="shared" ref="SWC28" si="6719">SWA28*$C$28</f>
        <v>2.7662613051514573E+33</v>
      </c>
      <c r="SWE28" s="160">
        <f t="shared" ref="SWE28" si="6720">SWC28*$C$28</f>
        <v>2.793923918202972E+33</v>
      </c>
      <c r="SWG28" s="160">
        <f t="shared" ref="SWG28" si="6721">SWE28*$C$28</f>
        <v>2.8218631573850017E+33</v>
      </c>
      <c r="SWI28" s="160">
        <f t="shared" ref="SWI28" si="6722">SWG28*$C$28</f>
        <v>2.8500817889588517E+33</v>
      </c>
      <c r="SWK28" s="160">
        <f t="shared" ref="SWK28" si="6723">SWI28*$C$28</f>
        <v>2.8785826068484403E+33</v>
      </c>
      <c r="SWM28" s="160">
        <f t="shared" ref="SWM28" si="6724">SWK28*$C$28</f>
        <v>2.9073684329169246E+33</v>
      </c>
      <c r="SWO28" s="160">
        <f t="shared" ref="SWO28" si="6725">SWM28*$C$28</f>
        <v>2.9364421172460939E+33</v>
      </c>
      <c r="SWQ28" s="160">
        <f t="shared" ref="SWQ28" si="6726">SWO28*$C$28</f>
        <v>2.9658065384185547E+33</v>
      </c>
      <c r="SWS28" s="160">
        <f t="shared" ref="SWS28" si="6727">SWQ28*$C$28</f>
        <v>2.9954646038027403E+33</v>
      </c>
      <c r="SWU28" s="160">
        <f t="shared" ref="SWU28" si="6728">SWS28*$C$28</f>
        <v>3.0254192498407679E+33</v>
      </c>
      <c r="SWW28" s="160">
        <f t="shared" ref="SWW28" si="6729">SWU28*$C$28</f>
        <v>3.0556734423391754E+33</v>
      </c>
      <c r="SWY28" s="160">
        <f t="shared" ref="SWY28" si="6730">SWW28*$C$28</f>
        <v>3.086230176762567E+33</v>
      </c>
      <c r="SXA28" s="160">
        <f t="shared" ref="SXA28" si="6731">SWY28*$C$28</f>
        <v>3.1170924785301928E+33</v>
      </c>
      <c r="SXC28" s="160">
        <f t="shared" ref="SXC28" si="6732">SXA28*$C$28</f>
        <v>3.148263403315495E+33</v>
      </c>
      <c r="SXE28" s="160">
        <f t="shared" ref="SXE28" si="6733">SXC28*$C$28</f>
        <v>3.1797460373486498E+33</v>
      </c>
      <c r="SXG28" s="160">
        <f t="shared" ref="SXG28" si="6734">SXE28*$C$28</f>
        <v>3.2115434977221361E+33</v>
      </c>
      <c r="SXI28" s="160">
        <f t="shared" ref="SXI28" si="6735">SXG28*$C$28</f>
        <v>3.2436589326993577E+33</v>
      </c>
      <c r="SXK28" s="160">
        <f t="shared" ref="SXK28" si="6736">SXI28*$C$28</f>
        <v>3.2760955220263516E+33</v>
      </c>
      <c r="SXM28" s="160">
        <f t="shared" ref="SXM28" si="6737">SXK28*$C$28</f>
        <v>3.3088564772466151E+33</v>
      </c>
      <c r="SXO28" s="160">
        <f t="shared" ref="SXO28" si="6738">SXM28*$C$28</f>
        <v>3.3419450420190811E+33</v>
      </c>
      <c r="SXQ28" s="160">
        <f t="shared" ref="SXQ28" si="6739">SXO28*$C$28</f>
        <v>3.3753644924392719E+33</v>
      </c>
      <c r="SXS28" s="160">
        <f t="shared" ref="SXS28" si="6740">SXQ28*$C$28</f>
        <v>3.409118137363665E+33</v>
      </c>
      <c r="SXU28" s="160">
        <f t="shared" ref="SXU28" si="6741">SXS28*$C$28</f>
        <v>3.4432093187373018E+33</v>
      </c>
      <c r="SXW28" s="160">
        <f t="shared" ref="SXW28" si="6742">SXU28*$C$28</f>
        <v>3.4776414119246747E+33</v>
      </c>
      <c r="SXY28" s="160">
        <f t="shared" ref="SXY28" si="6743">SXW28*$C$28</f>
        <v>3.5124178260439217E+33</v>
      </c>
      <c r="SYA28" s="160">
        <f t="shared" ref="SYA28" si="6744">SXY28*$C$28</f>
        <v>3.5475420043043608E+33</v>
      </c>
      <c r="SYC28" s="160">
        <f t="shared" ref="SYC28" si="6745">SYA28*$C$28</f>
        <v>3.5830174243474045E+33</v>
      </c>
      <c r="SYE28" s="160">
        <f t="shared" ref="SYE28" si="6746">SYC28*$C$28</f>
        <v>3.6188475985908786E+33</v>
      </c>
      <c r="SYG28" s="160">
        <f t="shared" ref="SYG28" si="6747">SYE28*$C$28</f>
        <v>3.6550360745767874E+33</v>
      </c>
      <c r="SYI28" s="160">
        <f t="shared" ref="SYI28" si="6748">SYG28*$C$28</f>
        <v>3.6915864353225555E+33</v>
      </c>
      <c r="SYK28" s="160">
        <f t="shared" ref="SYK28" si="6749">SYI28*$C$28</f>
        <v>3.7285022996757812E+33</v>
      </c>
      <c r="SYM28" s="160">
        <f t="shared" ref="SYM28" si="6750">SYK28*$C$28</f>
        <v>3.765787322672539E+33</v>
      </c>
      <c r="SYO28" s="160">
        <f t="shared" ref="SYO28" si="6751">SYM28*$C$28</f>
        <v>3.8034451958992644E+33</v>
      </c>
      <c r="SYQ28" s="160">
        <f t="shared" ref="SYQ28" si="6752">SYO28*$C$28</f>
        <v>3.8414796478582573E+33</v>
      </c>
      <c r="SYS28" s="160">
        <f t="shared" ref="SYS28" si="6753">SYQ28*$C$28</f>
        <v>3.8798944443368397E+33</v>
      </c>
      <c r="SYU28" s="160">
        <f t="shared" ref="SYU28" si="6754">SYS28*$C$28</f>
        <v>3.918693388780208E+33</v>
      </c>
      <c r="SYW28" s="160">
        <f t="shared" ref="SYW28" si="6755">SYU28*$C$28</f>
        <v>3.9578803226680099E+33</v>
      </c>
      <c r="SYY28" s="160">
        <f t="shared" ref="SYY28" si="6756">SYW28*$C$28</f>
        <v>3.9974591258946903E+33</v>
      </c>
      <c r="SZA28" s="160">
        <f t="shared" ref="SZA28" si="6757">SYY28*$C$28</f>
        <v>4.0374337171536375E+33</v>
      </c>
      <c r="SZC28" s="160">
        <f t="shared" ref="SZC28" si="6758">SZA28*$C$28</f>
        <v>4.0778080543251737E+33</v>
      </c>
      <c r="SZE28" s="160">
        <f t="shared" ref="SZE28" si="6759">SZC28*$C$28</f>
        <v>4.1185861348684256E+33</v>
      </c>
      <c r="SZG28" s="160">
        <f t="shared" ref="SZG28" si="6760">SZE28*$C$28</f>
        <v>4.1597719962171096E+33</v>
      </c>
      <c r="SZI28" s="160">
        <f t="shared" ref="SZI28" si="6761">SZG28*$C$28</f>
        <v>4.2013697161792805E+33</v>
      </c>
      <c r="SZK28" s="160">
        <f t="shared" ref="SZK28" si="6762">SZI28*$C$28</f>
        <v>4.2433834133410733E+33</v>
      </c>
      <c r="SZM28" s="160">
        <f t="shared" ref="SZM28" si="6763">SZK28*$C$28</f>
        <v>4.2858172474744843E+33</v>
      </c>
      <c r="SZO28" s="160">
        <f t="shared" ref="SZO28" si="6764">SZM28*$C$28</f>
        <v>4.3286754199492292E+33</v>
      </c>
      <c r="SZQ28" s="160">
        <f t="shared" ref="SZQ28" si="6765">SZO28*$C$28</f>
        <v>4.3719621741487215E+33</v>
      </c>
      <c r="SZS28" s="160">
        <f t="shared" ref="SZS28" si="6766">SZQ28*$C$28</f>
        <v>4.4156817958902088E+33</v>
      </c>
      <c r="SZU28" s="160">
        <f t="shared" ref="SZU28" si="6767">SZS28*$C$28</f>
        <v>4.459838613849111E+33</v>
      </c>
      <c r="SZW28" s="160">
        <f t="shared" ref="SZW28" si="6768">SZU28*$C$28</f>
        <v>4.504436999987602E+33</v>
      </c>
      <c r="SZY28" s="160">
        <f t="shared" ref="SZY28" si="6769">SZW28*$C$28</f>
        <v>4.5494813699874779E+33</v>
      </c>
      <c r="TAA28" s="160">
        <f t="shared" ref="TAA28" si="6770">SZY28*$C$28</f>
        <v>4.5949761836873526E+33</v>
      </c>
      <c r="TAC28" s="160">
        <f t="shared" ref="TAC28" si="6771">TAA28*$C$28</f>
        <v>4.6409259455242263E+33</v>
      </c>
      <c r="TAE28" s="160">
        <f t="shared" ref="TAE28" si="6772">TAC28*$C$28</f>
        <v>4.6873352049794684E+33</v>
      </c>
      <c r="TAG28" s="160">
        <f t="shared" ref="TAG28" si="6773">TAE28*$C$28</f>
        <v>4.7342085570292634E+33</v>
      </c>
      <c r="TAI28" s="160">
        <f t="shared" ref="TAI28" si="6774">TAG28*$C$28</f>
        <v>4.7815506425995563E+33</v>
      </c>
      <c r="TAK28" s="160">
        <f t="shared" ref="TAK28" si="6775">TAI28*$C$28</f>
        <v>4.8293661490255517E+33</v>
      </c>
      <c r="TAM28" s="160">
        <f t="shared" ref="TAM28" si="6776">TAK28*$C$28</f>
        <v>4.877659810515807E+33</v>
      </c>
      <c r="TAO28" s="160">
        <f t="shared" ref="TAO28" si="6777">TAM28*$C$28</f>
        <v>4.9264364086209653E+33</v>
      </c>
      <c r="TAQ28" s="160">
        <f t="shared" ref="TAQ28" si="6778">TAO28*$C$28</f>
        <v>4.9757007727071752E+33</v>
      </c>
      <c r="TAS28" s="160">
        <f t="shared" ref="TAS28" si="6779">TAQ28*$C$28</f>
        <v>5.0254577804342471E+33</v>
      </c>
      <c r="TAU28" s="160">
        <f t="shared" ref="TAU28" si="6780">TAS28*$C$28</f>
        <v>5.0757123582385897E+33</v>
      </c>
      <c r="TAW28" s="160">
        <f t="shared" ref="TAW28" si="6781">TAU28*$C$28</f>
        <v>5.1264694818209757E+33</v>
      </c>
      <c r="TAY28" s="160">
        <f t="shared" ref="TAY28" si="6782">TAW28*$C$28</f>
        <v>5.1777341766391854E+33</v>
      </c>
      <c r="TBA28" s="160">
        <f t="shared" ref="TBA28" si="6783">TAY28*$C$28</f>
        <v>5.2295115184055776E+33</v>
      </c>
      <c r="TBC28" s="160">
        <f t="shared" ref="TBC28" si="6784">TBA28*$C$28</f>
        <v>5.281806633589633E+33</v>
      </c>
      <c r="TBE28" s="160">
        <f t="shared" ref="TBE28" si="6785">TBC28*$C$28</f>
        <v>5.3346246999255295E+33</v>
      </c>
      <c r="TBG28" s="160">
        <f t="shared" ref="TBG28" si="6786">TBE28*$C$28</f>
        <v>5.3879709469247851E+33</v>
      </c>
      <c r="TBI28" s="160">
        <f t="shared" ref="TBI28" si="6787">TBG28*$C$28</f>
        <v>5.4418506563940329E+33</v>
      </c>
      <c r="TBK28" s="160">
        <f t="shared" ref="TBK28" si="6788">TBI28*$C$28</f>
        <v>5.4962691629579736E+33</v>
      </c>
      <c r="TBM28" s="160">
        <f t="shared" ref="TBM28" si="6789">TBK28*$C$28</f>
        <v>5.5512318545875534E+33</v>
      </c>
      <c r="TBO28" s="160">
        <f t="shared" ref="TBO28" si="6790">TBM28*$C$28</f>
        <v>5.6067441731334295E+33</v>
      </c>
      <c r="TBQ28" s="160">
        <f t="shared" ref="TBQ28" si="6791">TBO28*$C$28</f>
        <v>5.6628116148647642E+33</v>
      </c>
      <c r="TBS28" s="160">
        <f t="shared" ref="TBS28" si="6792">TBQ28*$C$28</f>
        <v>5.7194397310134116E+33</v>
      </c>
      <c r="TBU28" s="160">
        <f t="shared" ref="TBU28" si="6793">TBS28*$C$28</f>
        <v>5.7766341283235455E+33</v>
      </c>
      <c r="TBW28" s="160">
        <f t="shared" ref="TBW28" si="6794">TBU28*$C$28</f>
        <v>5.8344004696067805E+33</v>
      </c>
      <c r="TBY28" s="160">
        <f t="shared" ref="TBY28" si="6795">TBW28*$C$28</f>
        <v>5.8927444743028484E+33</v>
      </c>
      <c r="TCA28" s="160">
        <f t="shared" ref="TCA28" si="6796">TBY28*$C$28</f>
        <v>5.9516719190458771E+33</v>
      </c>
      <c r="TCC28" s="160">
        <f t="shared" ref="TCC28" si="6797">TCA28*$C$28</f>
        <v>6.0111886382363358E+33</v>
      </c>
      <c r="TCE28" s="160">
        <f t="shared" ref="TCE28" si="6798">TCC28*$C$28</f>
        <v>6.071300524618699E+33</v>
      </c>
      <c r="TCG28" s="160">
        <f t="shared" ref="TCG28" si="6799">TCE28*$C$28</f>
        <v>6.1320135298648862E+33</v>
      </c>
      <c r="TCI28" s="160">
        <f t="shared" ref="TCI28" si="6800">TCG28*$C$28</f>
        <v>6.1933336651635349E+33</v>
      </c>
      <c r="TCK28" s="160">
        <f t="shared" ref="TCK28" si="6801">TCI28*$C$28</f>
        <v>6.2552670018151699E+33</v>
      </c>
      <c r="TCM28" s="160">
        <f t="shared" ref="TCM28" si="6802">TCK28*$C$28</f>
        <v>6.3178196718333214E+33</v>
      </c>
      <c r="TCO28" s="160">
        <f t="shared" ref="TCO28" si="6803">TCM28*$C$28</f>
        <v>6.3809978685516549E+33</v>
      </c>
      <c r="TCQ28" s="160">
        <f t="shared" ref="TCQ28" si="6804">TCO28*$C$28</f>
        <v>6.4448078472371719E+33</v>
      </c>
      <c r="TCS28" s="160">
        <f t="shared" ref="TCS28" si="6805">TCQ28*$C$28</f>
        <v>6.5092559257095432E+33</v>
      </c>
      <c r="TCU28" s="160">
        <f t="shared" ref="TCU28" si="6806">TCS28*$C$28</f>
        <v>6.5743484849666381E+33</v>
      </c>
      <c r="TCW28" s="160">
        <f t="shared" ref="TCW28" si="6807">TCU28*$C$28</f>
        <v>6.6400919698163046E+33</v>
      </c>
      <c r="TCY28" s="160">
        <f t="shared" ref="TCY28" si="6808">TCW28*$C$28</f>
        <v>6.7064928895144675E+33</v>
      </c>
      <c r="TDA28" s="160">
        <f t="shared" ref="TDA28" si="6809">TCY28*$C$28</f>
        <v>6.7735578184096118E+33</v>
      </c>
      <c r="TDC28" s="160">
        <f t="shared" ref="TDC28" si="6810">TDA28*$C$28</f>
        <v>6.8412933965937079E+33</v>
      </c>
      <c r="TDE28" s="160">
        <f t="shared" ref="TDE28" si="6811">TDC28*$C$28</f>
        <v>6.9097063305596449E+33</v>
      </c>
      <c r="TDG28" s="160">
        <f t="shared" ref="TDG28" si="6812">TDE28*$C$28</f>
        <v>6.9788033938652415E+33</v>
      </c>
      <c r="TDI28" s="160">
        <f t="shared" ref="TDI28" si="6813">TDG28*$C$28</f>
        <v>7.0485914278038936E+33</v>
      </c>
      <c r="TDK28" s="160">
        <f t="shared" ref="TDK28" si="6814">TDI28*$C$28</f>
        <v>7.1190773420819331E+33</v>
      </c>
      <c r="TDM28" s="160">
        <f t="shared" ref="TDM28" si="6815">TDK28*$C$28</f>
        <v>7.190268115502753E+33</v>
      </c>
      <c r="TDO28" s="160">
        <f t="shared" ref="TDO28" si="6816">TDM28*$C$28</f>
        <v>7.2621707966577809E+33</v>
      </c>
      <c r="TDQ28" s="160">
        <f t="shared" ref="TDQ28" si="6817">TDO28*$C$28</f>
        <v>7.3347925046243584E+33</v>
      </c>
      <c r="TDS28" s="160">
        <f t="shared" ref="TDS28" si="6818">TDQ28*$C$28</f>
        <v>7.408140429670602E+33</v>
      </c>
      <c r="TDU28" s="160">
        <f t="shared" ref="TDU28" si="6819">TDS28*$C$28</f>
        <v>7.4822218339673086E+33</v>
      </c>
      <c r="TDW28" s="160">
        <f t="shared" ref="TDW28" si="6820">TDU28*$C$28</f>
        <v>7.5570440523069821E+33</v>
      </c>
      <c r="TDY28" s="160">
        <f t="shared" ref="TDY28" si="6821">TDW28*$C$28</f>
        <v>7.6326144928300518E+33</v>
      </c>
      <c r="TEA28" s="160">
        <f t="shared" ref="TEA28" si="6822">TDY28*$C$28</f>
        <v>7.7089406377583529E+33</v>
      </c>
      <c r="TEC28" s="160">
        <f t="shared" ref="TEC28" si="6823">TEA28*$C$28</f>
        <v>7.7860300441359362E+33</v>
      </c>
      <c r="TEE28" s="160">
        <f t="shared" ref="TEE28" si="6824">TEC28*$C$28</f>
        <v>7.8638903445772959E+33</v>
      </c>
      <c r="TEG28" s="160">
        <f t="shared" ref="TEG28" si="6825">TEE28*$C$28</f>
        <v>7.942529248023069E+33</v>
      </c>
      <c r="TEI28" s="160">
        <f t="shared" ref="TEI28" si="6826">TEG28*$C$28</f>
        <v>8.0219545405032995E+33</v>
      </c>
      <c r="TEK28" s="160">
        <f t="shared" ref="TEK28" si="6827">TEI28*$C$28</f>
        <v>8.1021740859083324E+33</v>
      </c>
      <c r="TEM28" s="160">
        <f t="shared" ref="TEM28" si="6828">TEK28*$C$28</f>
        <v>8.1831958267674162E+33</v>
      </c>
      <c r="TEO28" s="160">
        <f t="shared" ref="TEO28" si="6829">TEM28*$C$28</f>
        <v>8.2650277850350899E+33</v>
      </c>
      <c r="TEQ28" s="160">
        <f t="shared" ref="TEQ28" si="6830">TEO28*$C$28</f>
        <v>8.3476780628854411E+33</v>
      </c>
      <c r="TES28" s="160">
        <f t="shared" ref="TES28" si="6831">TEQ28*$C$28</f>
        <v>8.4311548435142956E+33</v>
      </c>
      <c r="TEU28" s="160">
        <f t="shared" ref="TEU28" si="6832">TES28*$C$28</f>
        <v>8.5154663919494385E+33</v>
      </c>
      <c r="TEW28" s="160">
        <f t="shared" ref="TEW28" si="6833">TEU28*$C$28</f>
        <v>8.6006210558689328E+33</v>
      </c>
      <c r="TEY28" s="160">
        <f t="shared" ref="TEY28" si="6834">TEW28*$C$28</f>
        <v>8.6866272664276218E+33</v>
      </c>
      <c r="TFA28" s="160">
        <f t="shared" ref="TFA28" si="6835">TEY28*$C$28</f>
        <v>8.7734935390918978E+33</v>
      </c>
      <c r="TFC28" s="160">
        <f t="shared" ref="TFC28" si="6836">TFA28*$C$28</f>
        <v>8.861228474482817E+33</v>
      </c>
      <c r="TFE28" s="160">
        <f t="shared" ref="TFE28" si="6837">TFC28*$C$28</f>
        <v>8.9498407592276458E+33</v>
      </c>
      <c r="TFG28" s="160">
        <f t="shared" ref="TFG28" si="6838">TFE28*$C$28</f>
        <v>9.0393391668199229E+33</v>
      </c>
      <c r="TFI28" s="160">
        <f t="shared" ref="TFI28" si="6839">TFG28*$C$28</f>
        <v>9.1297325584881224E+33</v>
      </c>
      <c r="TFK28" s="160">
        <f t="shared" ref="TFK28" si="6840">TFI28*$C$28</f>
        <v>9.221029884073004E+33</v>
      </c>
      <c r="TFM28" s="160">
        <f t="shared" ref="TFM28" si="6841">TFK28*$C$28</f>
        <v>9.3132401829137344E+33</v>
      </c>
      <c r="TFO28" s="160">
        <f t="shared" ref="TFO28" si="6842">TFM28*$C$28</f>
        <v>9.4063725847428718E+33</v>
      </c>
      <c r="TFQ28" s="160">
        <f t="shared" ref="TFQ28" si="6843">TFO28*$C$28</f>
        <v>9.5004363105903011E+33</v>
      </c>
      <c r="TFS28" s="160">
        <f t="shared" ref="TFS28" si="6844">TFQ28*$C$28</f>
        <v>9.5954406736962036E+33</v>
      </c>
      <c r="TFU28" s="160">
        <f t="shared" ref="TFU28" si="6845">TFS28*$C$28</f>
        <v>9.6913950804331662E+33</v>
      </c>
      <c r="TFW28" s="160">
        <f t="shared" ref="TFW28" si="6846">TFU28*$C$28</f>
        <v>9.7883090312374981E+33</v>
      </c>
      <c r="TFY28" s="160">
        <f t="shared" ref="TFY28" si="6847">TFW28*$C$28</f>
        <v>9.8861921215498738E+33</v>
      </c>
      <c r="TGA28" s="160">
        <f t="shared" ref="TGA28" si="6848">TFY28*$C$28</f>
        <v>9.9850540427653729E+33</v>
      </c>
      <c r="TGC28" s="160">
        <f t="shared" ref="TGC28" si="6849">TGA28*$C$28</f>
        <v>1.0084904583193027E+34</v>
      </c>
      <c r="TGE28" s="160">
        <f t="shared" ref="TGE28" si="6850">TGC28*$C$28</f>
        <v>1.0185753629024957E+34</v>
      </c>
      <c r="TGG28" s="160">
        <f t="shared" ref="TGG28" si="6851">TGE28*$C$28</f>
        <v>1.0287611165315206E+34</v>
      </c>
      <c r="TGI28" s="160">
        <f t="shared" ref="TGI28" si="6852">TGG28*$C$28</f>
        <v>1.0390487276968358E+34</v>
      </c>
      <c r="TGK28" s="160">
        <f t="shared" ref="TGK28" si="6853">TGI28*$C$28</f>
        <v>1.0494392149738041E+34</v>
      </c>
      <c r="TGM28" s="160">
        <f t="shared" ref="TGM28" si="6854">TGK28*$C$28</f>
        <v>1.0599336071235421E+34</v>
      </c>
      <c r="TGO28" s="160">
        <f t="shared" ref="TGO28" si="6855">TGM28*$C$28</f>
        <v>1.0705329431947776E+34</v>
      </c>
      <c r="TGQ28" s="160">
        <f t="shared" ref="TGQ28" si="6856">TGO28*$C$28</f>
        <v>1.0812382726267254E+34</v>
      </c>
      <c r="TGS28" s="160">
        <f t="shared" ref="TGS28" si="6857">TGQ28*$C$28</f>
        <v>1.0920506553529927E+34</v>
      </c>
      <c r="TGU28" s="160">
        <f t="shared" ref="TGU28" si="6858">TGS28*$C$28</f>
        <v>1.1029711619065225E+34</v>
      </c>
      <c r="TGW28" s="160">
        <f t="shared" ref="TGW28" si="6859">TGU28*$C$28</f>
        <v>1.1140008735255878E+34</v>
      </c>
      <c r="TGY28" s="160">
        <f t="shared" ref="TGY28" si="6860">TGW28*$C$28</f>
        <v>1.1251408822608438E+34</v>
      </c>
      <c r="THA28" s="160">
        <f t="shared" ref="THA28" si="6861">TGY28*$C$28</f>
        <v>1.1363922910834523E+34</v>
      </c>
      <c r="THC28" s="160">
        <f t="shared" ref="THC28" si="6862">THA28*$C$28</f>
        <v>1.1477562139942868E+34</v>
      </c>
      <c r="THE28" s="160">
        <f t="shared" ref="THE28" si="6863">THC28*$C$28</f>
        <v>1.1592337761342297E+34</v>
      </c>
      <c r="THG28" s="160">
        <f t="shared" ref="THG28" si="6864">THE28*$C$28</f>
        <v>1.1708261138955719E+34</v>
      </c>
      <c r="THI28" s="160">
        <f t="shared" ref="THI28" si="6865">THG28*$C$28</f>
        <v>1.1825343750345278E+34</v>
      </c>
      <c r="THK28" s="160">
        <f t="shared" ref="THK28" si="6866">THI28*$C$28</f>
        <v>1.194359718784873E+34</v>
      </c>
      <c r="THM28" s="160">
        <f t="shared" ref="THM28" si="6867">THK28*$C$28</f>
        <v>1.2063033159727217E+34</v>
      </c>
      <c r="THO28" s="160">
        <f t="shared" ref="THO28" si="6868">THM28*$C$28</f>
        <v>1.218366349132449E+34</v>
      </c>
      <c r="THQ28" s="160">
        <f t="shared" ref="THQ28" si="6869">THO28*$C$28</f>
        <v>1.2305500126237734E+34</v>
      </c>
      <c r="THS28" s="160">
        <f t="shared" ref="THS28" si="6870">THQ28*$C$28</f>
        <v>1.242855512750011E+34</v>
      </c>
      <c r="THU28" s="160">
        <f t="shared" ref="THU28" si="6871">THS28*$C$28</f>
        <v>1.2552840678775112E+34</v>
      </c>
      <c r="THW28" s="160">
        <f t="shared" ref="THW28" si="6872">THU28*$C$28</f>
        <v>1.2678369085562864E+34</v>
      </c>
      <c r="THY28" s="160">
        <f t="shared" ref="THY28" si="6873">THW28*$C$28</f>
        <v>1.2805152776418492E+34</v>
      </c>
      <c r="TIA28" s="160">
        <f t="shared" ref="TIA28" si="6874">THY28*$C$28</f>
        <v>1.2933204304182677E+34</v>
      </c>
      <c r="TIC28" s="160">
        <f t="shared" ref="TIC28" si="6875">TIA28*$C$28</f>
        <v>1.3062536347224504E+34</v>
      </c>
      <c r="TIE28" s="160">
        <f t="shared" ref="TIE28" si="6876">TIC28*$C$28</f>
        <v>1.319316171069675E+34</v>
      </c>
      <c r="TIG28" s="160">
        <f t="shared" ref="TIG28" si="6877">TIE28*$C$28</f>
        <v>1.3325093327803717E+34</v>
      </c>
      <c r="TII28" s="160">
        <f t="shared" ref="TII28" si="6878">TIG28*$C$28</f>
        <v>1.3458344261081755E+34</v>
      </c>
      <c r="TIK28" s="160">
        <f t="shared" ref="TIK28" si="6879">TII28*$C$28</f>
        <v>1.3592927703692574E+34</v>
      </c>
      <c r="TIM28" s="160">
        <f t="shared" ref="TIM28" si="6880">TIK28*$C$28</f>
        <v>1.37288569807295E+34</v>
      </c>
      <c r="TIO28" s="160">
        <f t="shared" ref="TIO28" si="6881">TIM28*$C$28</f>
        <v>1.3866145550536796E+34</v>
      </c>
      <c r="TIQ28" s="160">
        <f t="shared" ref="TIQ28" si="6882">TIO28*$C$28</f>
        <v>1.4004807006042164E+34</v>
      </c>
      <c r="TIS28" s="160">
        <f t="shared" ref="TIS28" si="6883">TIQ28*$C$28</f>
        <v>1.4144855076102587E+34</v>
      </c>
      <c r="TIU28" s="160">
        <f t="shared" ref="TIU28" si="6884">TIS28*$C$28</f>
        <v>1.4286303626863613E+34</v>
      </c>
      <c r="TIW28" s="160">
        <f t="shared" ref="TIW28" si="6885">TIU28*$C$28</f>
        <v>1.4429166663132248E+34</v>
      </c>
      <c r="TIY28" s="160">
        <f t="shared" ref="TIY28" si="6886">TIW28*$C$28</f>
        <v>1.4573458329763571E+34</v>
      </c>
      <c r="TJA28" s="160">
        <f t="shared" ref="TJA28" si="6887">TIY28*$C$28</f>
        <v>1.4719192913061208E+34</v>
      </c>
      <c r="TJC28" s="160">
        <f t="shared" ref="TJC28" si="6888">TJA28*$C$28</f>
        <v>1.4866384842191821E+34</v>
      </c>
      <c r="TJE28" s="160">
        <f t="shared" ref="TJE28" si="6889">TJC28*$C$28</f>
        <v>1.5015048690613739E+34</v>
      </c>
      <c r="TJG28" s="160">
        <f t="shared" ref="TJG28" si="6890">TJE28*$C$28</f>
        <v>1.5165199177519876E+34</v>
      </c>
      <c r="TJI28" s="160">
        <f t="shared" ref="TJI28" si="6891">TJG28*$C$28</f>
        <v>1.5316851169295076E+34</v>
      </c>
      <c r="TJK28" s="160">
        <f t="shared" ref="TJK28" si="6892">TJI28*$C$28</f>
        <v>1.5470019680988025E+34</v>
      </c>
      <c r="TJM28" s="160">
        <f t="shared" ref="TJM28" si="6893">TJK28*$C$28</f>
        <v>1.5624719877797906E+34</v>
      </c>
      <c r="TJO28" s="160">
        <f t="shared" ref="TJO28" si="6894">TJM28*$C$28</f>
        <v>1.5780967076575886E+34</v>
      </c>
      <c r="TJQ28" s="160">
        <f t="shared" ref="TJQ28" si="6895">TJO28*$C$28</f>
        <v>1.5938776747341644E+34</v>
      </c>
      <c r="TJS28" s="160">
        <f t="shared" ref="TJS28" si="6896">TJQ28*$C$28</f>
        <v>1.609816451481506E+34</v>
      </c>
      <c r="TJU28" s="160">
        <f t="shared" ref="TJU28" si="6897">TJS28*$C$28</f>
        <v>1.6259146159963211E+34</v>
      </c>
      <c r="TJW28" s="160">
        <f t="shared" ref="TJW28" si="6898">TJU28*$C$28</f>
        <v>1.6421737621562843E+34</v>
      </c>
      <c r="TJY28" s="160">
        <f t="shared" ref="TJY28" si="6899">TJW28*$C$28</f>
        <v>1.6585954997778473E+34</v>
      </c>
      <c r="TKA28" s="160">
        <f t="shared" ref="TKA28" si="6900">TJY28*$C$28</f>
        <v>1.6751814547756258E+34</v>
      </c>
      <c r="TKC28" s="160">
        <f t="shared" ref="TKC28" si="6901">TKA28*$C$28</f>
        <v>1.6919332693233821E+34</v>
      </c>
      <c r="TKE28" s="160">
        <f t="shared" ref="TKE28" si="6902">TKC28*$C$28</f>
        <v>1.7088526020166161E+34</v>
      </c>
      <c r="TKG28" s="160">
        <f t="shared" ref="TKG28" si="6903">TKE28*$C$28</f>
        <v>1.7259411280367823E+34</v>
      </c>
      <c r="TKI28" s="160">
        <f t="shared" ref="TKI28" si="6904">TKG28*$C$28</f>
        <v>1.7432005393171502E+34</v>
      </c>
      <c r="TKK28" s="160">
        <f t="shared" ref="TKK28" si="6905">TKI28*$C$28</f>
        <v>1.7606325447103216E+34</v>
      </c>
      <c r="TKM28" s="160">
        <f t="shared" ref="TKM28" si="6906">TKK28*$C$28</f>
        <v>1.778238870157425E+34</v>
      </c>
      <c r="TKO28" s="160">
        <f t="shared" ref="TKO28" si="6907">TKM28*$C$28</f>
        <v>1.7960212588589992E+34</v>
      </c>
      <c r="TKQ28" s="160">
        <f t="shared" ref="TKQ28" si="6908">TKO28*$C$28</f>
        <v>1.8139814714475892E+34</v>
      </c>
      <c r="TKS28" s="160">
        <f t="shared" ref="TKS28" si="6909">TKQ28*$C$28</f>
        <v>1.8321212861620651E+34</v>
      </c>
      <c r="TKU28" s="160">
        <f t="shared" ref="TKU28" si="6910">TKS28*$C$28</f>
        <v>1.8504424990236857E+34</v>
      </c>
      <c r="TKW28" s="160">
        <f t="shared" ref="TKW28" si="6911">TKU28*$C$28</f>
        <v>1.8689469240139227E+34</v>
      </c>
      <c r="TKY28" s="160">
        <f t="shared" ref="TKY28" si="6912">TKW28*$C$28</f>
        <v>1.887636393254062E+34</v>
      </c>
      <c r="TLA28" s="160">
        <f t="shared" ref="TLA28" si="6913">TKY28*$C$28</f>
        <v>1.9065127571866026E+34</v>
      </c>
      <c r="TLC28" s="160">
        <f t="shared" ref="TLC28" si="6914">TLA28*$C$28</f>
        <v>1.9255778847584686E+34</v>
      </c>
      <c r="TLE28" s="160">
        <f t="shared" ref="TLE28" si="6915">TLC28*$C$28</f>
        <v>1.9448336636060533E+34</v>
      </c>
      <c r="TLG28" s="160">
        <f t="shared" ref="TLG28" si="6916">TLE28*$C$28</f>
        <v>1.9642820002421139E+34</v>
      </c>
      <c r="TLI28" s="160">
        <f t="shared" ref="TLI28" si="6917">TLG28*$C$28</f>
        <v>1.983924820244535E+34</v>
      </c>
      <c r="TLK28" s="160">
        <f t="shared" ref="TLK28" si="6918">TLI28*$C$28</f>
        <v>2.0037640684469805E+34</v>
      </c>
      <c r="TLM28" s="160">
        <f t="shared" ref="TLM28" si="6919">TLK28*$C$28</f>
        <v>2.0238017091314502E+34</v>
      </c>
      <c r="TLO28" s="160">
        <f t="shared" ref="TLO28" si="6920">TLM28*$C$28</f>
        <v>2.0440397262227648E+34</v>
      </c>
      <c r="TLQ28" s="160">
        <f t="shared" ref="TLQ28" si="6921">TLO28*$C$28</f>
        <v>2.0644801234849924E+34</v>
      </c>
      <c r="TLS28" s="160">
        <f t="shared" ref="TLS28" si="6922">TLQ28*$C$28</f>
        <v>2.0851249247198424E+34</v>
      </c>
      <c r="TLU28" s="160">
        <f t="shared" ref="TLU28" si="6923">TLS28*$C$28</f>
        <v>2.105976173967041E+34</v>
      </c>
      <c r="TLW28" s="160">
        <f t="shared" ref="TLW28" si="6924">TLU28*$C$28</f>
        <v>2.1270359357067116E+34</v>
      </c>
      <c r="TLY28" s="160">
        <f t="shared" ref="TLY28" si="6925">TLW28*$C$28</f>
        <v>2.1483062950637787E+34</v>
      </c>
      <c r="TMA28" s="160">
        <f t="shared" ref="TMA28" si="6926">TLY28*$C$28</f>
        <v>2.1697893580144167E+34</v>
      </c>
      <c r="TMC28" s="160">
        <f t="shared" ref="TMC28" si="6927">TMA28*$C$28</f>
        <v>2.1914872515945607E+34</v>
      </c>
      <c r="TME28" s="160">
        <f t="shared" ref="TME28" si="6928">TMC28*$C$28</f>
        <v>2.2134021241105063E+34</v>
      </c>
      <c r="TMG28" s="160">
        <f t="shared" ref="TMG28" si="6929">TME28*$C$28</f>
        <v>2.2355361453516114E+34</v>
      </c>
      <c r="TMI28" s="160">
        <f t="shared" ref="TMI28" si="6930">TMG28*$C$28</f>
        <v>2.2578915068051276E+34</v>
      </c>
      <c r="TMK28" s="160">
        <f t="shared" ref="TMK28" si="6931">TMI28*$C$28</f>
        <v>2.280470421873179E+34</v>
      </c>
      <c r="TMM28" s="160">
        <f t="shared" ref="TMM28" si="6932">TMK28*$C$28</f>
        <v>2.3032751260919109E+34</v>
      </c>
      <c r="TMO28" s="160">
        <f t="shared" ref="TMO28" si="6933">TMM28*$C$28</f>
        <v>2.3263078773528303E+34</v>
      </c>
      <c r="TMQ28" s="160">
        <f t="shared" ref="TMQ28" si="6934">TMO28*$C$28</f>
        <v>2.3495709561263588E+34</v>
      </c>
      <c r="TMS28" s="160">
        <f t="shared" ref="TMS28" si="6935">TMQ28*$C$28</f>
        <v>2.3730666656876224E+34</v>
      </c>
      <c r="TMU28" s="160">
        <f t="shared" ref="TMU28" si="6936">TMS28*$C$28</f>
        <v>2.3967973323444986E+34</v>
      </c>
      <c r="TMW28" s="160">
        <f t="shared" ref="TMW28" si="6937">TMU28*$C$28</f>
        <v>2.4207653056679435E+34</v>
      </c>
      <c r="TMY28" s="160">
        <f t="shared" ref="TMY28" si="6938">TMW28*$C$28</f>
        <v>2.4449729587246227E+34</v>
      </c>
      <c r="TNA28" s="160">
        <f t="shared" ref="TNA28" si="6939">TMY28*$C$28</f>
        <v>2.469422688311869E+34</v>
      </c>
      <c r="TNC28" s="160">
        <f t="shared" ref="TNC28" si="6940">TNA28*$C$28</f>
        <v>2.4941169151949879E+34</v>
      </c>
      <c r="TNE28" s="160">
        <f t="shared" ref="TNE28" si="6941">TNC28*$C$28</f>
        <v>2.5190580843469378E+34</v>
      </c>
      <c r="TNG28" s="160">
        <f t="shared" ref="TNG28" si="6942">TNE28*$C$28</f>
        <v>2.5442486651904074E+34</v>
      </c>
      <c r="TNI28" s="160">
        <f t="shared" ref="TNI28" si="6943">TNG28*$C$28</f>
        <v>2.5696911518423116E+34</v>
      </c>
      <c r="TNK28" s="160">
        <f t="shared" ref="TNK28" si="6944">TNI28*$C$28</f>
        <v>2.5953880633607346E+34</v>
      </c>
      <c r="TNM28" s="160">
        <f t="shared" ref="TNM28" si="6945">TNK28*$C$28</f>
        <v>2.6213419439943419E+34</v>
      </c>
      <c r="TNO28" s="160">
        <f t="shared" ref="TNO28" si="6946">TNM28*$C$28</f>
        <v>2.6475553634342854E+34</v>
      </c>
      <c r="TNQ28" s="160">
        <f t="shared" ref="TNQ28" si="6947">TNO28*$C$28</f>
        <v>2.6740309170686283E+34</v>
      </c>
      <c r="TNS28" s="160">
        <f t="shared" ref="TNS28" si="6948">TNQ28*$C$28</f>
        <v>2.7007712262393144E+34</v>
      </c>
      <c r="TNU28" s="160">
        <f t="shared" ref="TNU28" si="6949">TNS28*$C$28</f>
        <v>2.7277789385017075E+34</v>
      </c>
      <c r="TNW28" s="160">
        <f t="shared" ref="TNW28" si="6950">TNU28*$C$28</f>
        <v>2.7550567278867246E+34</v>
      </c>
      <c r="TNY28" s="160">
        <f t="shared" ref="TNY28" si="6951">TNW28*$C$28</f>
        <v>2.7826072951655919E+34</v>
      </c>
      <c r="TOA28" s="160">
        <f t="shared" ref="TOA28" si="6952">TNY28*$C$28</f>
        <v>2.8104333681172478E+34</v>
      </c>
      <c r="TOC28" s="160">
        <f t="shared" ref="TOC28" si="6953">TOA28*$C$28</f>
        <v>2.8385377017984205E+34</v>
      </c>
      <c r="TOE28" s="160">
        <f t="shared" ref="TOE28" si="6954">TOC28*$C$28</f>
        <v>2.8669230788164047E+34</v>
      </c>
      <c r="TOG28" s="160">
        <f t="shared" ref="TOG28" si="6955">TOE28*$C$28</f>
        <v>2.8955923096045689E+34</v>
      </c>
      <c r="TOI28" s="160">
        <f t="shared" ref="TOI28" si="6956">TOG28*$C$28</f>
        <v>2.9245482327006147E+34</v>
      </c>
      <c r="TOK28" s="160">
        <f t="shared" ref="TOK28" si="6957">TOI28*$C$28</f>
        <v>2.9537937150276208E+34</v>
      </c>
      <c r="TOM28" s="160">
        <f t="shared" ref="TOM28" si="6958">TOK28*$C$28</f>
        <v>2.9833316521778973E+34</v>
      </c>
      <c r="TOO28" s="160">
        <f t="shared" ref="TOO28" si="6959">TOM28*$C$28</f>
        <v>3.0131649686996763E+34</v>
      </c>
      <c r="TOQ28" s="160">
        <f t="shared" ref="TOQ28" si="6960">TOO28*$C$28</f>
        <v>3.043296618386673E+34</v>
      </c>
      <c r="TOS28" s="160">
        <f t="shared" ref="TOS28" si="6961">TOQ28*$C$28</f>
        <v>3.0737295845705395E+34</v>
      </c>
      <c r="TOU28" s="160">
        <f t="shared" ref="TOU28" si="6962">TOS28*$C$28</f>
        <v>3.104466880416245E+34</v>
      </c>
      <c r="TOW28" s="160">
        <f t="shared" ref="TOW28" si="6963">TOU28*$C$28</f>
        <v>3.1355115492204075E+34</v>
      </c>
      <c r="TOY28" s="160">
        <f t="shared" ref="TOY28" si="6964">TOW28*$C$28</f>
        <v>3.1668666647126115E+34</v>
      </c>
      <c r="TPA28" s="160">
        <f t="shared" ref="TPA28" si="6965">TOY28*$C$28</f>
        <v>3.1985353313597378E+34</v>
      </c>
      <c r="TPC28" s="160">
        <f t="shared" ref="TPC28" si="6966">TPA28*$C$28</f>
        <v>3.230520684673335E+34</v>
      </c>
      <c r="TPE28" s="160">
        <f t="shared" ref="TPE28" si="6967">TPC28*$C$28</f>
        <v>3.2628258915200684E+34</v>
      </c>
      <c r="TPG28" s="160">
        <f t="shared" ref="TPG28" si="6968">TPE28*$C$28</f>
        <v>3.295454150435269E+34</v>
      </c>
      <c r="TPI28" s="160">
        <f t="shared" ref="TPI28" si="6969">TPG28*$C$28</f>
        <v>3.3284086919396218E+34</v>
      </c>
      <c r="TPK28" s="160">
        <f t="shared" ref="TPK28" si="6970">TPI28*$C$28</f>
        <v>3.3616927788590182E+34</v>
      </c>
      <c r="TPM28" s="160">
        <f t="shared" ref="TPM28" si="6971">TPK28*$C$28</f>
        <v>3.3953097066476086E+34</v>
      </c>
      <c r="TPO28" s="160">
        <f t="shared" ref="TPO28" si="6972">TPM28*$C$28</f>
        <v>3.4292628037140846E+34</v>
      </c>
      <c r="TPQ28" s="160">
        <f t="shared" ref="TPQ28" si="6973">TPO28*$C$28</f>
        <v>3.4635554317512255E+34</v>
      </c>
      <c r="TPS28" s="160">
        <f t="shared" ref="TPS28" si="6974">TPQ28*$C$28</f>
        <v>3.4981909860687378E+34</v>
      </c>
      <c r="TPU28" s="160">
        <f t="shared" ref="TPU28" si="6975">TPS28*$C$28</f>
        <v>3.5331728959294253E+34</v>
      </c>
      <c r="TPW28" s="160">
        <f t="shared" ref="TPW28" si="6976">TPU28*$C$28</f>
        <v>3.5685046248887197E+34</v>
      </c>
      <c r="TPY28" s="160">
        <f t="shared" ref="TPY28" si="6977">TPW28*$C$28</f>
        <v>3.6041896711376067E+34</v>
      </c>
      <c r="TQA28" s="160">
        <f t="shared" ref="TQA28" si="6978">TPY28*$C$28</f>
        <v>3.6402315678489827E+34</v>
      </c>
      <c r="TQC28" s="160">
        <f t="shared" ref="TQC28" si="6979">TQA28*$C$28</f>
        <v>3.6766338835274727E+34</v>
      </c>
      <c r="TQE28" s="160">
        <f t="shared" ref="TQE28" si="6980">TQC28*$C$28</f>
        <v>3.7134002223627474E+34</v>
      </c>
      <c r="TQG28" s="160">
        <f t="shared" ref="TQG28" si="6981">TQE28*$C$28</f>
        <v>3.7505342245863749E+34</v>
      </c>
      <c r="TQI28" s="160">
        <f t="shared" ref="TQI28" si="6982">TQG28*$C$28</f>
        <v>3.7880395668322388E+34</v>
      </c>
      <c r="TQK28" s="160">
        <f t="shared" ref="TQK28" si="6983">TQI28*$C$28</f>
        <v>3.8259199625005611E+34</v>
      </c>
      <c r="TQM28" s="160">
        <f t="shared" ref="TQM28" si="6984">TQK28*$C$28</f>
        <v>3.8641791621255665E+34</v>
      </c>
      <c r="TQO28" s="160">
        <f t="shared" ref="TQO28" si="6985">TQM28*$C$28</f>
        <v>3.9028209537468222E+34</v>
      </c>
      <c r="TQQ28" s="160">
        <f t="shared" ref="TQQ28" si="6986">TQO28*$C$28</f>
        <v>3.9418491632842904E+34</v>
      </c>
      <c r="TQS28" s="160">
        <f t="shared" ref="TQS28" si="6987">TQQ28*$C$28</f>
        <v>3.9812676549171333E+34</v>
      </c>
      <c r="TQU28" s="160">
        <f t="shared" ref="TQU28" si="6988">TQS28*$C$28</f>
        <v>4.0210803314663049E+34</v>
      </c>
      <c r="TQW28" s="160">
        <f t="shared" ref="TQW28" si="6989">TQU28*$C$28</f>
        <v>4.0612911347809679E+34</v>
      </c>
      <c r="TQY28" s="160">
        <f t="shared" ref="TQY28" si="6990">TQW28*$C$28</f>
        <v>4.1019040461287776E+34</v>
      </c>
      <c r="TRA28" s="160">
        <f t="shared" ref="TRA28" si="6991">TQY28*$C$28</f>
        <v>4.1429230865900654E+34</v>
      </c>
      <c r="TRC28" s="160">
        <f t="shared" ref="TRC28" si="6992">TRA28*$C$28</f>
        <v>4.1843523174559665E+34</v>
      </c>
      <c r="TRE28" s="160">
        <f t="shared" ref="TRE28" si="6993">TRC28*$C$28</f>
        <v>4.226195840630526E+34</v>
      </c>
      <c r="TRG28" s="160">
        <f t="shared" ref="TRG28" si="6994">TRE28*$C$28</f>
        <v>4.2684577990368311E+34</v>
      </c>
      <c r="TRI28" s="160">
        <f t="shared" ref="TRI28" si="6995">TRG28*$C$28</f>
        <v>4.3111423770271992E+34</v>
      </c>
      <c r="TRK28" s="160">
        <f t="shared" ref="TRK28" si="6996">TRI28*$C$28</f>
        <v>4.3542538007974711E+34</v>
      </c>
      <c r="TRM28" s="160">
        <f t="shared" ref="TRM28" si="6997">TRK28*$C$28</f>
        <v>4.3977963388054459E+34</v>
      </c>
      <c r="TRO28" s="160">
        <f t="shared" ref="TRO28" si="6998">TRM28*$C$28</f>
        <v>4.4417743021935008E+34</v>
      </c>
      <c r="TRQ28" s="160">
        <f t="shared" ref="TRQ28" si="6999">TRO28*$C$28</f>
        <v>4.486192045215436E+34</v>
      </c>
      <c r="TRS28" s="160">
        <f t="shared" ref="TRS28" si="7000">TRQ28*$C$28</f>
        <v>4.5310539656675906E+34</v>
      </c>
      <c r="TRU28" s="160">
        <f t="shared" ref="TRU28" si="7001">TRS28*$C$28</f>
        <v>4.5763645053242669E+34</v>
      </c>
      <c r="TRW28" s="160">
        <f t="shared" ref="TRW28" si="7002">TRU28*$C$28</f>
        <v>4.6221281503775094E+34</v>
      </c>
      <c r="TRY28" s="160">
        <f t="shared" ref="TRY28" si="7003">TRW28*$C$28</f>
        <v>4.6683494318812845E+34</v>
      </c>
      <c r="TSA28" s="160">
        <f t="shared" ref="TSA28" si="7004">TRY28*$C$28</f>
        <v>4.7150329262000977E+34</v>
      </c>
      <c r="TSC28" s="160">
        <f t="shared" ref="TSC28" si="7005">TSA28*$C$28</f>
        <v>4.7621832554620984E+34</v>
      </c>
      <c r="TSE28" s="160">
        <f t="shared" ref="TSE28" si="7006">TSC28*$C$28</f>
        <v>4.8098050880167194E+34</v>
      </c>
      <c r="TSG28" s="160">
        <f t="shared" ref="TSG28" si="7007">TSE28*$C$28</f>
        <v>4.8579031388968869E+34</v>
      </c>
      <c r="TSI28" s="160">
        <f t="shared" ref="TSI28" si="7008">TSG28*$C$28</f>
        <v>4.9064821702858562E+34</v>
      </c>
      <c r="TSK28" s="160">
        <f t="shared" ref="TSK28" si="7009">TSI28*$C$28</f>
        <v>4.9555469919887146E+34</v>
      </c>
      <c r="TSM28" s="160">
        <f t="shared" ref="TSM28" si="7010">TSK28*$C$28</f>
        <v>5.005102461908602E+34</v>
      </c>
      <c r="TSO28" s="160">
        <f t="shared" ref="TSO28" si="7011">TSM28*$C$28</f>
        <v>5.0551534865276885E+34</v>
      </c>
      <c r="TSQ28" s="160">
        <f t="shared" ref="TSQ28" si="7012">TSO28*$C$28</f>
        <v>5.1057050213929654E+34</v>
      </c>
      <c r="TSS28" s="160">
        <f t="shared" ref="TSS28" si="7013">TSQ28*$C$28</f>
        <v>5.1567620716068951E+34</v>
      </c>
      <c r="TSU28" s="160">
        <f t="shared" ref="TSU28" si="7014">TSS28*$C$28</f>
        <v>5.2083296923229645E+34</v>
      </c>
      <c r="TSW28" s="160">
        <f t="shared" ref="TSW28" si="7015">TSU28*$C$28</f>
        <v>5.260412989246194E+34</v>
      </c>
      <c r="TSY28" s="160">
        <f t="shared" ref="TSY28" si="7016">TSW28*$C$28</f>
        <v>5.313017119138656E+34</v>
      </c>
      <c r="TTA28" s="160">
        <f t="shared" ref="TTA28" si="7017">TSY28*$C$28</f>
        <v>5.3661472903300425E+34</v>
      </c>
      <c r="TTC28" s="160">
        <f t="shared" ref="TTC28" si="7018">TTA28*$C$28</f>
        <v>5.4198087632333426E+34</v>
      </c>
      <c r="TTE28" s="160">
        <f t="shared" ref="TTE28" si="7019">TTC28*$C$28</f>
        <v>5.4740068508656764E+34</v>
      </c>
      <c r="TTG28" s="160">
        <f t="shared" ref="TTG28" si="7020">TTE28*$C$28</f>
        <v>5.5287469193743331E+34</v>
      </c>
      <c r="TTI28" s="160">
        <f t="shared" ref="TTI28" si="7021">TTG28*$C$28</f>
        <v>5.5840343885680765E+34</v>
      </c>
      <c r="TTK28" s="160">
        <f t="shared" ref="TTK28" si="7022">TTI28*$C$28</f>
        <v>5.6398747324537575E+34</v>
      </c>
      <c r="TTM28" s="160">
        <f t="shared" ref="TTM28" si="7023">TTK28*$C$28</f>
        <v>5.6962734797782954E+34</v>
      </c>
      <c r="TTO28" s="160">
        <f t="shared" ref="TTO28" si="7024">TTM28*$C$28</f>
        <v>5.7532362145760784E+34</v>
      </c>
      <c r="TTQ28" s="160">
        <f t="shared" ref="TTQ28" si="7025">TTO28*$C$28</f>
        <v>5.8107685767218396E+34</v>
      </c>
      <c r="TTS28" s="160">
        <f t="shared" ref="TTS28" si="7026">TTQ28*$C$28</f>
        <v>5.8688762624890578E+34</v>
      </c>
      <c r="TTU28" s="160">
        <f t="shared" ref="TTU28" si="7027">TTS28*$C$28</f>
        <v>5.9275650251139479E+34</v>
      </c>
      <c r="TTW28" s="160">
        <f t="shared" ref="TTW28" si="7028">TTU28*$C$28</f>
        <v>5.9868406753650871E+34</v>
      </c>
      <c r="TTY28" s="160">
        <f t="shared" ref="TTY28" si="7029">TTW28*$C$28</f>
        <v>6.0467090821187378E+34</v>
      </c>
      <c r="TUA28" s="160">
        <f t="shared" ref="TUA28" si="7030">TTY28*$C$28</f>
        <v>6.1071761729399255E+34</v>
      </c>
      <c r="TUC28" s="160">
        <f t="shared" ref="TUC28" si="7031">TUA28*$C$28</f>
        <v>6.168247934669325E+34</v>
      </c>
      <c r="TUE28" s="160">
        <f t="shared" ref="TUE28" si="7032">TUC28*$C$28</f>
        <v>6.2299304140160182E+34</v>
      </c>
      <c r="TUG28" s="160">
        <f t="shared" ref="TUG28" si="7033">TUE28*$C$28</f>
        <v>6.2922297181561785E+34</v>
      </c>
      <c r="TUI28" s="160">
        <f t="shared" ref="TUI28" si="7034">TUG28*$C$28</f>
        <v>6.3551520153377405E+34</v>
      </c>
      <c r="TUK28" s="160">
        <f t="shared" ref="TUK28" si="7035">TUI28*$C$28</f>
        <v>6.4187035354911178E+34</v>
      </c>
      <c r="TUM28" s="160">
        <f t="shared" ref="TUM28" si="7036">TUK28*$C$28</f>
        <v>6.4828905708460293E+34</v>
      </c>
      <c r="TUO28" s="160">
        <f t="shared" ref="TUO28" si="7037">TUM28*$C$28</f>
        <v>6.54771947655449E+34</v>
      </c>
      <c r="TUQ28" s="160">
        <f t="shared" ref="TUQ28" si="7038">TUO28*$C$28</f>
        <v>6.6131966713200347E+34</v>
      </c>
      <c r="TUS28" s="160">
        <f t="shared" ref="TUS28" si="7039">TUQ28*$C$28</f>
        <v>6.6793286380332351E+34</v>
      </c>
      <c r="TUU28" s="160">
        <f t="shared" ref="TUU28" si="7040">TUS28*$C$28</f>
        <v>6.7461219244135677E+34</v>
      </c>
      <c r="TUW28" s="160">
        <f t="shared" ref="TUW28" si="7041">TUU28*$C$28</f>
        <v>6.8135831436577035E+34</v>
      </c>
      <c r="TUY28" s="160">
        <f t="shared" ref="TUY28" si="7042">TUW28*$C$28</f>
        <v>6.8817189750942806E+34</v>
      </c>
      <c r="TVA28" s="160">
        <f t="shared" ref="TVA28" si="7043">TUY28*$C$28</f>
        <v>6.950536164845223E+34</v>
      </c>
      <c r="TVC28" s="160">
        <f t="shared" ref="TVC28" si="7044">TVA28*$C$28</f>
        <v>7.0200415264936757E+34</v>
      </c>
      <c r="TVE28" s="160">
        <f t="shared" ref="TVE28" si="7045">TVC28*$C$28</f>
        <v>7.0902419417586124E+34</v>
      </c>
      <c r="TVG28" s="160">
        <f t="shared" ref="TVG28" si="7046">TVE28*$C$28</f>
        <v>7.1611443611761983E+34</v>
      </c>
      <c r="TVI28" s="160">
        <f t="shared" ref="TVI28" si="7047">TVG28*$C$28</f>
        <v>7.2327558047879607E+34</v>
      </c>
      <c r="TVK28" s="160">
        <f t="shared" ref="TVK28" si="7048">TVI28*$C$28</f>
        <v>7.3050833628358408E+34</v>
      </c>
      <c r="TVM28" s="160">
        <f t="shared" ref="TVM28" si="7049">TVK28*$C$28</f>
        <v>7.3781341964641989E+34</v>
      </c>
      <c r="TVO28" s="160">
        <f t="shared" ref="TVO28" si="7050">TVM28*$C$28</f>
        <v>7.4519155384288411E+34</v>
      </c>
      <c r="TVQ28" s="160">
        <f t="shared" ref="TVQ28" si="7051">TVO28*$C$28</f>
        <v>7.5264346938131291E+34</v>
      </c>
      <c r="TVS28" s="160">
        <f t="shared" ref="TVS28" si="7052">TVQ28*$C$28</f>
        <v>7.6016990407512607E+34</v>
      </c>
      <c r="TVU28" s="160">
        <f t="shared" ref="TVU28" si="7053">TVS28*$C$28</f>
        <v>7.6777160311587734E+34</v>
      </c>
      <c r="TVW28" s="160">
        <f t="shared" ref="TVW28" si="7054">TVU28*$C$28</f>
        <v>7.7544931914703609E+34</v>
      </c>
      <c r="TVY28" s="160">
        <f t="shared" ref="TVY28" si="7055">TVW28*$C$28</f>
        <v>7.8320381233850644E+34</v>
      </c>
      <c r="TWA28" s="160">
        <f t="shared" ref="TWA28" si="7056">TVY28*$C$28</f>
        <v>7.9103585046189152E+34</v>
      </c>
      <c r="TWC28" s="160">
        <f t="shared" ref="TWC28" si="7057">TWA28*$C$28</f>
        <v>7.9894620896651042E+34</v>
      </c>
      <c r="TWE28" s="160">
        <f t="shared" ref="TWE28" si="7058">TWC28*$C$28</f>
        <v>8.0693567105617554E+34</v>
      </c>
      <c r="TWG28" s="160">
        <f t="shared" ref="TWG28" si="7059">TWE28*$C$28</f>
        <v>8.1500502776673726E+34</v>
      </c>
      <c r="TWI28" s="160">
        <f t="shared" ref="TWI28" si="7060">TWG28*$C$28</f>
        <v>8.2315507804440467E+34</v>
      </c>
      <c r="TWK28" s="160">
        <f t="shared" ref="TWK28" si="7061">TWI28*$C$28</f>
        <v>8.3138662882484864E+34</v>
      </c>
      <c r="TWM28" s="160">
        <f t="shared" ref="TWM28" si="7062">TWK28*$C$28</f>
        <v>8.3970049511309712E+34</v>
      </c>
      <c r="TWO28" s="160">
        <f t="shared" ref="TWO28" si="7063">TWM28*$C$28</f>
        <v>8.4809750006422815E+34</v>
      </c>
      <c r="TWQ28" s="160">
        <f t="shared" ref="TWQ28" si="7064">TWO28*$C$28</f>
        <v>8.5657847506487042E+34</v>
      </c>
      <c r="TWS28" s="160">
        <f t="shared" ref="TWS28" si="7065">TWQ28*$C$28</f>
        <v>8.6514425981551919E+34</v>
      </c>
      <c r="TWU28" s="160">
        <f t="shared" ref="TWU28" si="7066">TWS28*$C$28</f>
        <v>8.7379570241367448E+34</v>
      </c>
      <c r="TWW28" s="160">
        <f t="shared" ref="TWW28" si="7067">TWU28*$C$28</f>
        <v>8.8253365943781119E+34</v>
      </c>
      <c r="TWY28" s="160">
        <f t="shared" ref="TWY28" si="7068">TWW28*$C$28</f>
        <v>8.9135899603218933E+34</v>
      </c>
      <c r="TXA28" s="160">
        <f t="shared" ref="TXA28" si="7069">TWY28*$C$28</f>
        <v>9.0027258599251125E+34</v>
      </c>
      <c r="TXC28" s="160">
        <f t="shared" ref="TXC28" si="7070">TXA28*$C$28</f>
        <v>9.0927531185243632E+34</v>
      </c>
      <c r="TXE28" s="160">
        <f t="shared" ref="TXE28" si="7071">TXC28*$C$28</f>
        <v>9.1836806497096063E+34</v>
      </c>
      <c r="TXG28" s="160">
        <f t="shared" ref="TXG28" si="7072">TXE28*$C$28</f>
        <v>9.275517456206702E+34</v>
      </c>
      <c r="TXI28" s="160">
        <f t="shared" ref="TXI28" si="7073">TXG28*$C$28</f>
        <v>9.3682726307687697E+34</v>
      </c>
      <c r="TXK28" s="160">
        <f t="shared" ref="TXK28" si="7074">TXI28*$C$28</f>
        <v>9.4619553570764574E+34</v>
      </c>
      <c r="TXM28" s="160">
        <f t="shared" ref="TXM28" si="7075">TXK28*$C$28</f>
        <v>9.5565749106472225E+34</v>
      </c>
      <c r="TXO28" s="160">
        <f t="shared" ref="TXO28" si="7076">TXM28*$C$28</f>
        <v>9.6521406597536948E+34</v>
      </c>
      <c r="TXQ28" s="160">
        <f t="shared" ref="TXQ28" si="7077">TXO28*$C$28</f>
        <v>9.7486620663512315E+34</v>
      </c>
      <c r="TXS28" s="160">
        <f t="shared" ref="TXS28" si="7078">TXQ28*$C$28</f>
        <v>9.8461486870147436E+34</v>
      </c>
      <c r="TXU28" s="160">
        <f t="shared" ref="TXU28" si="7079">TXS28*$C$28</f>
        <v>9.9446101738848902E+34</v>
      </c>
      <c r="TXW28" s="160">
        <f t="shared" ref="TXW28" si="7080">TXU28*$C$28</f>
        <v>1.0044056275623739E+35</v>
      </c>
      <c r="TXY28" s="160">
        <f t="shared" ref="TXY28" si="7081">TXW28*$C$28</f>
        <v>1.0144496838379977E+35</v>
      </c>
      <c r="TYA28" s="160">
        <f t="shared" ref="TYA28" si="7082">TXY28*$C$28</f>
        <v>1.0245941806763777E+35</v>
      </c>
      <c r="TYC28" s="160">
        <f t="shared" ref="TYC28" si="7083">TYA28*$C$28</f>
        <v>1.0348401224831416E+35</v>
      </c>
      <c r="TYE28" s="160">
        <f t="shared" ref="TYE28" si="7084">TYC28*$C$28</f>
        <v>1.0451885237079729E+35</v>
      </c>
      <c r="TYG28" s="160">
        <f t="shared" ref="TYG28" si="7085">TYE28*$C$28</f>
        <v>1.0556404089450526E+35</v>
      </c>
      <c r="TYI28" s="160">
        <f t="shared" ref="TYI28" si="7086">TYG28*$C$28</f>
        <v>1.0661968130345032E+35</v>
      </c>
      <c r="TYK28" s="160">
        <f t="shared" ref="TYK28" si="7087">TYI28*$C$28</f>
        <v>1.0768587811648484E+35</v>
      </c>
      <c r="TYM28" s="160">
        <f t="shared" ref="TYM28" si="7088">TYK28*$C$28</f>
        <v>1.0876273689764968E+35</v>
      </c>
      <c r="TYO28" s="160">
        <f t="shared" ref="TYO28" si="7089">TYM28*$C$28</f>
        <v>1.0985036426662619E+35</v>
      </c>
      <c r="TYQ28" s="160">
        <f t="shared" ref="TYQ28" si="7090">TYO28*$C$28</f>
        <v>1.1094886790929245E+35</v>
      </c>
      <c r="TYS28" s="160">
        <f t="shared" ref="TYS28" si="7091">TYQ28*$C$28</f>
        <v>1.1205835658838537E+35</v>
      </c>
      <c r="TYU28" s="160">
        <f t="shared" ref="TYU28" si="7092">TYS28*$C$28</f>
        <v>1.1317894015426922E+35</v>
      </c>
      <c r="TYW28" s="160">
        <f t="shared" ref="TYW28" si="7093">TYU28*$C$28</f>
        <v>1.1431072955581192E+35</v>
      </c>
      <c r="TYY28" s="160">
        <f t="shared" ref="TYY28" si="7094">TYW28*$C$28</f>
        <v>1.1545383685137003E+35</v>
      </c>
      <c r="TZA28" s="160">
        <f t="shared" ref="TZA28" si="7095">TYY28*$C$28</f>
        <v>1.1660837521988373E+35</v>
      </c>
      <c r="TZC28" s="160">
        <f t="shared" ref="TZC28" si="7096">TZA28*$C$28</f>
        <v>1.1777445897208256E+35</v>
      </c>
      <c r="TZE28" s="160">
        <f t="shared" ref="TZE28" si="7097">TZC28*$C$28</f>
        <v>1.1895220356180338E+35</v>
      </c>
      <c r="TZG28" s="160">
        <f t="shared" ref="TZG28" si="7098">TZE28*$C$28</f>
        <v>1.2014172559742142E+35</v>
      </c>
      <c r="TZI28" s="160">
        <f t="shared" ref="TZI28" si="7099">TZG28*$C$28</f>
        <v>1.2134314285339564E+35</v>
      </c>
      <c r="TZK28" s="160">
        <f t="shared" ref="TZK28" si="7100">TZI28*$C$28</f>
        <v>1.2255657428192959E+35</v>
      </c>
      <c r="TZM28" s="160">
        <f t="shared" ref="TZM28" si="7101">TZK28*$C$28</f>
        <v>1.2378214002474889E+35</v>
      </c>
      <c r="TZO28" s="160">
        <f t="shared" ref="TZO28" si="7102">TZM28*$C$28</f>
        <v>1.2501996142499638E+35</v>
      </c>
      <c r="TZQ28" s="160">
        <f t="shared" ref="TZQ28" si="7103">TZO28*$C$28</f>
        <v>1.2627016103924636E+35</v>
      </c>
      <c r="TZS28" s="160">
        <f t="shared" ref="TZS28" si="7104">TZQ28*$C$28</f>
        <v>1.2753286264963883E+35</v>
      </c>
      <c r="TZU28" s="160">
        <f t="shared" ref="TZU28" si="7105">TZS28*$C$28</f>
        <v>1.2880819127613522E+35</v>
      </c>
      <c r="TZW28" s="160">
        <f t="shared" ref="TZW28" si="7106">TZU28*$C$28</f>
        <v>1.3009627318889657E+35</v>
      </c>
      <c r="TZY28" s="160">
        <f t="shared" ref="TZY28" si="7107">TZW28*$C$28</f>
        <v>1.3139723592078554E+35</v>
      </c>
      <c r="UAA28" s="160">
        <f t="shared" ref="UAA28" si="7108">TZY28*$C$28</f>
        <v>1.3271120827999339E+35</v>
      </c>
      <c r="UAC28" s="160">
        <f t="shared" ref="UAC28" si="7109">UAA28*$C$28</f>
        <v>1.3403832036279333E+35</v>
      </c>
      <c r="UAE28" s="160">
        <f t="shared" ref="UAE28" si="7110">UAC28*$C$28</f>
        <v>1.3537870356642126E+35</v>
      </c>
      <c r="UAG28" s="160">
        <f t="shared" ref="UAG28" si="7111">UAE28*$C$28</f>
        <v>1.3673249060208548E+35</v>
      </c>
      <c r="UAI28" s="160">
        <f t="shared" ref="UAI28" si="7112">UAG28*$C$28</f>
        <v>1.3809981550810635E+35</v>
      </c>
      <c r="UAK28" s="160">
        <f t="shared" ref="UAK28" si="7113">UAI28*$C$28</f>
        <v>1.3948081366318741E+35</v>
      </c>
      <c r="UAM28" s="160">
        <f t="shared" ref="UAM28" si="7114">UAK28*$C$28</f>
        <v>1.4087562179981929E+35</v>
      </c>
      <c r="UAO28" s="160">
        <f t="shared" ref="UAO28" si="7115">UAM28*$C$28</f>
        <v>1.4228437801781748E+35</v>
      </c>
      <c r="UAQ28" s="160">
        <f t="shared" ref="UAQ28" si="7116">UAO28*$C$28</f>
        <v>1.4370722179799565E+35</v>
      </c>
      <c r="UAS28" s="160">
        <f t="shared" ref="UAS28" si="7117">UAQ28*$C$28</f>
        <v>1.4514429401597561E+35</v>
      </c>
      <c r="UAU28" s="160">
        <f t="shared" ref="UAU28" si="7118">UAS28*$C$28</f>
        <v>1.4659573695613537E+35</v>
      </c>
      <c r="UAW28" s="160">
        <f t="shared" ref="UAW28" si="7119">UAU28*$C$28</f>
        <v>1.4806169432569673E+35</v>
      </c>
      <c r="UAY28" s="160">
        <f t="shared" ref="UAY28" si="7120">UAW28*$C$28</f>
        <v>1.4954231126895371E+35</v>
      </c>
      <c r="UBA28" s="160">
        <f t="shared" ref="UBA28" si="7121">UAY28*$C$28</f>
        <v>1.5103773438164325E+35</v>
      </c>
      <c r="UBC28" s="160">
        <f t="shared" ref="UBC28" si="7122">UBA28*$C$28</f>
        <v>1.5254811172545968E+35</v>
      </c>
      <c r="UBE28" s="160">
        <f t="shared" ref="UBE28" si="7123">UBC28*$C$28</f>
        <v>1.5407359284271427E+35</v>
      </c>
      <c r="UBG28" s="160">
        <f t="shared" ref="UBG28" si="7124">UBE28*$C$28</f>
        <v>1.5561432877114142E+35</v>
      </c>
      <c r="UBI28" s="160">
        <f t="shared" ref="UBI28" si="7125">UBG28*$C$28</f>
        <v>1.5717047205885284E+35</v>
      </c>
      <c r="UBK28" s="160">
        <f t="shared" ref="UBK28" si="7126">UBI28*$C$28</f>
        <v>1.5874217677944136E+35</v>
      </c>
      <c r="UBM28" s="160">
        <f t="shared" ref="UBM28" si="7127">UBK28*$C$28</f>
        <v>1.6032959854723577E+35</v>
      </c>
      <c r="UBO28" s="160">
        <f t="shared" ref="UBO28" si="7128">UBM28*$C$28</f>
        <v>1.6193289453270813E+35</v>
      </c>
      <c r="UBQ28" s="160">
        <f t="shared" ref="UBQ28" si="7129">UBO28*$C$28</f>
        <v>1.6355222347803521E+35</v>
      </c>
      <c r="UBS28" s="160">
        <f t="shared" ref="UBS28" si="7130">UBQ28*$C$28</f>
        <v>1.6518774571281556E+35</v>
      </c>
      <c r="UBU28" s="160">
        <f t="shared" ref="UBU28" si="7131">UBS28*$C$28</f>
        <v>1.6683962316994372E+35</v>
      </c>
      <c r="UBW28" s="160">
        <f t="shared" ref="UBW28" si="7132">UBU28*$C$28</f>
        <v>1.6850801940164316E+35</v>
      </c>
      <c r="UBY28" s="160">
        <f t="shared" ref="UBY28" si="7133">UBW28*$C$28</f>
        <v>1.701930995956596E+35</v>
      </c>
      <c r="UCA28" s="160">
        <f t="shared" ref="UCA28" si="7134">UBY28*$C$28</f>
        <v>1.7189503059161619E+35</v>
      </c>
      <c r="UCC28" s="160">
        <f t="shared" ref="UCC28" si="7135">UCA28*$C$28</f>
        <v>1.7361398089753235E+35</v>
      </c>
      <c r="UCE28" s="160">
        <f t="shared" ref="UCE28" si="7136">UCC28*$C$28</f>
        <v>1.7535012070650766E+35</v>
      </c>
      <c r="UCG28" s="160">
        <f t="shared" ref="UCG28" si="7137">UCE28*$C$28</f>
        <v>1.7710362191357274E+35</v>
      </c>
      <c r="UCI28" s="160">
        <f t="shared" ref="UCI28" si="7138">UCG28*$C$28</f>
        <v>1.7887465813270848E+35</v>
      </c>
      <c r="UCK28" s="160">
        <f t="shared" ref="UCK28" si="7139">UCI28*$C$28</f>
        <v>1.8066340471403556E+35</v>
      </c>
      <c r="UCM28" s="160">
        <f t="shared" ref="UCM28" si="7140">UCK28*$C$28</f>
        <v>1.8247003876117591E+35</v>
      </c>
      <c r="UCO28" s="160">
        <f t="shared" ref="UCO28" si="7141">UCM28*$C$28</f>
        <v>1.8429473914878766E+35</v>
      </c>
      <c r="UCQ28" s="160">
        <f t="shared" ref="UCQ28" si="7142">UCO28*$C$28</f>
        <v>1.8613768654027552E+35</v>
      </c>
      <c r="UCS28" s="160">
        <f t="shared" ref="UCS28" si="7143">UCQ28*$C$28</f>
        <v>1.8799906340567827E+35</v>
      </c>
      <c r="UCU28" s="160">
        <f t="shared" ref="UCU28" si="7144">UCS28*$C$28</f>
        <v>1.8987905403973505E+35</v>
      </c>
      <c r="UCW28" s="160">
        <f t="shared" ref="UCW28" si="7145">UCU28*$C$28</f>
        <v>1.9177784458013239E+35</v>
      </c>
      <c r="UCY28" s="160">
        <f t="shared" ref="UCY28" si="7146">UCW28*$C$28</f>
        <v>1.9369562302593372E+35</v>
      </c>
      <c r="UDA28" s="160">
        <f t="shared" ref="UDA28" si="7147">UCY28*$C$28</f>
        <v>1.9563257925619307E+35</v>
      </c>
      <c r="UDC28" s="160">
        <f t="shared" ref="UDC28" si="7148">UDA28*$C$28</f>
        <v>1.9758890504875501E+35</v>
      </c>
      <c r="UDE28" s="160">
        <f t="shared" ref="UDE28" si="7149">UDC28*$C$28</f>
        <v>1.9956479409924256E+35</v>
      </c>
      <c r="UDG28" s="160">
        <f t="shared" ref="UDG28" si="7150">UDE28*$C$28</f>
        <v>2.0156044204023498E+35</v>
      </c>
      <c r="UDI28" s="160">
        <f t="shared" ref="UDI28" si="7151">UDG28*$C$28</f>
        <v>2.0357604646063731E+35</v>
      </c>
      <c r="UDK28" s="160">
        <f t="shared" ref="UDK28" si="7152">UDI28*$C$28</f>
        <v>2.0561180692524368E+35</v>
      </c>
      <c r="UDM28" s="160">
        <f t="shared" ref="UDM28" si="7153">UDK28*$C$28</f>
        <v>2.0766792499449612E+35</v>
      </c>
      <c r="UDO28" s="160">
        <f t="shared" ref="UDO28" si="7154">UDM28*$C$28</f>
        <v>2.0974460424444107E+35</v>
      </c>
      <c r="UDQ28" s="160">
        <f t="shared" ref="UDQ28" si="7155">UDO28*$C$28</f>
        <v>2.1184205028688548E+35</v>
      </c>
      <c r="UDS28" s="160">
        <f t="shared" ref="UDS28" si="7156">UDQ28*$C$28</f>
        <v>2.1396047078975433E+35</v>
      </c>
      <c r="UDU28" s="160">
        <f t="shared" ref="UDU28" si="7157">UDS28*$C$28</f>
        <v>2.1610007549765187E+35</v>
      </c>
      <c r="UDW28" s="160">
        <f t="shared" ref="UDW28" si="7158">UDU28*$C$28</f>
        <v>2.1826107625262839E+35</v>
      </c>
      <c r="UDY28" s="160">
        <f t="shared" ref="UDY28" si="7159">UDW28*$C$28</f>
        <v>2.2044368701515467E+35</v>
      </c>
      <c r="UEA28" s="160">
        <f t="shared" ref="UEA28" si="7160">UDY28*$C$28</f>
        <v>2.2264812388530621E+35</v>
      </c>
      <c r="UEC28" s="160">
        <f t="shared" ref="UEC28" si="7161">UEA28*$C$28</f>
        <v>2.2487460512415928E+35</v>
      </c>
      <c r="UEE28" s="160">
        <f t="shared" ref="UEE28" si="7162">UEC28*$C$28</f>
        <v>2.2712335117540086E+35</v>
      </c>
      <c r="UEG28" s="160">
        <f t="shared" ref="UEG28" si="7163">UEE28*$C$28</f>
        <v>2.2939458468715485E+35</v>
      </c>
      <c r="UEI28" s="160">
        <f t="shared" ref="UEI28" si="7164">UEG28*$C$28</f>
        <v>2.3168853053402641E+35</v>
      </c>
      <c r="UEK28" s="160">
        <f t="shared" ref="UEK28" si="7165">UEI28*$C$28</f>
        <v>2.3400541583936666E+35</v>
      </c>
      <c r="UEM28" s="160">
        <f t="shared" ref="UEM28" si="7166">UEK28*$C$28</f>
        <v>2.3634546999776033E+35</v>
      </c>
      <c r="UEO28" s="160">
        <f t="shared" ref="UEO28" si="7167">UEM28*$C$28</f>
        <v>2.3870892469773794E+35</v>
      </c>
      <c r="UEQ28" s="160">
        <f t="shared" ref="UEQ28" si="7168">UEO28*$C$28</f>
        <v>2.4109601394471534E+35</v>
      </c>
      <c r="UES28" s="160">
        <f t="shared" ref="UES28" si="7169">UEQ28*$C$28</f>
        <v>2.4350697408416249E+35</v>
      </c>
      <c r="UEU28" s="160">
        <f t="shared" ref="UEU28" si="7170">UES28*$C$28</f>
        <v>2.4594204382500411E+35</v>
      </c>
      <c r="UEW28" s="160">
        <f t="shared" ref="UEW28" si="7171">UEU28*$C$28</f>
        <v>2.4840146426325417E+35</v>
      </c>
      <c r="UEY28" s="160">
        <f t="shared" ref="UEY28" si="7172">UEW28*$C$28</f>
        <v>2.508854789058867E+35</v>
      </c>
      <c r="UFA28" s="160">
        <f t="shared" ref="UFA28" si="7173">UEY28*$C$28</f>
        <v>2.5339433369494557E+35</v>
      </c>
      <c r="UFC28" s="160">
        <f t="shared" ref="UFC28" si="7174">UFA28*$C$28</f>
        <v>2.5592827703189501E+35</v>
      </c>
      <c r="UFE28" s="160">
        <f t="shared" ref="UFE28" si="7175">UFC28*$C$28</f>
        <v>2.5848755980221396E+35</v>
      </c>
      <c r="UFG28" s="160">
        <f t="shared" ref="UFG28" si="7176">UFE28*$C$28</f>
        <v>2.6107243540023609E+35</v>
      </c>
      <c r="UFI28" s="160">
        <f t="shared" ref="UFI28" si="7177">UFG28*$C$28</f>
        <v>2.6368315975423843E+35</v>
      </c>
      <c r="UFK28" s="160">
        <f t="shared" ref="UFK28" si="7178">UFI28*$C$28</f>
        <v>2.6631999135178082E+35</v>
      </c>
      <c r="UFM28" s="160">
        <f t="shared" ref="UFM28" si="7179">UFK28*$C$28</f>
        <v>2.6898319126529862E+35</v>
      </c>
      <c r="UFO28" s="160">
        <f t="shared" ref="UFO28" si="7180">UFM28*$C$28</f>
        <v>2.716730231779516E+35</v>
      </c>
      <c r="UFQ28" s="160">
        <f t="shared" ref="UFQ28" si="7181">UFO28*$C$28</f>
        <v>2.7438975340973111E+35</v>
      </c>
      <c r="UFS28" s="160">
        <f t="shared" ref="UFS28" si="7182">UFQ28*$C$28</f>
        <v>2.7713365094382842E+35</v>
      </c>
      <c r="UFU28" s="160">
        <f t="shared" ref="UFU28" si="7183">UFS28*$C$28</f>
        <v>2.7990498745326672E+35</v>
      </c>
      <c r="UFW28" s="160">
        <f t="shared" ref="UFW28" si="7184">UFU28*$C$28</f>
        <v>2.8270403732779939E+35</v>
      </c>
      <c r="UFY28" s="160">
        <f t="shared" ref="UFY28" si="7185">UFW28*$C$28</f>
        <v>2.8553107770107739E+35</v>
      </c>
      <c r="UGA28" s="160">
        <f t="shared" ref="UGA28" si="7186">UFY28*$C$28</f>
        <v>2.8838638847808817E+35</v>
      </c>
      <c r="UGC28" s="160">
        <f t="shared" ref="UGC28" si="7187">UGA28*$C$28</f>
        <v>2.9127025236286905E+35</v>
      </c>
      <c r="UGE28" s="160">
        <f t="shared" ref="UGE28" si="7188">UGC28*$C$28</f>
        <v>2.9418295488649775E+35</v>
      </c>
      <c r="UGG28" s="160">
        <f t="shared" ref="UGG28" si="7189">UGE28*$C$28</f>
        <v>2.9712478443536274E+35</v>
      </c>
      <c r="UGI28" s="160">
        <f t="shared" ref="UGI28" si="7190">UGG28*$C$28</f>
        <v>3.0009603227971638E+35</v>
      </c>
      <c r="UGK28" s="160">
        <f t="shared" ref="UGK28" si="7191">UGI28*$C$28</f>
        <v>3.0309699260251353E+35</v>
      </c>
      <c r="UGM28" s="160">
        <f t="shared" ref="UGM28" si="7192">UGK28*$C$28</f>
        <v>3.0612796252853867E+35</v>
      </c>
      <c r="UGO28" s="160">
        <f t="shared" ref="UGO28" si="7193">UGM28*$C$28</f>
        <v>3.0918924215382407E+35</v>
      </c>
      <c r="UGQ28" s="160">
        <f t="shared" ref="UGQ28" si="7194">UGO28*$C$28</f>
        <v>3.1228113457536232E+35</v>
      </c>
      <c r="UGS28" s="160">
        <f t="shared" ref="UGS28" si="7195">UGQ28*$C$28</f>
        <v>3.1540394592111596E+35</v>
      </c>
      <c r="UGU28" s="160">
        <f t="shared" ref="UGU28" si="7196">UGS28*$C$28</f>
        <v>3.1855798538032713E+35</v>
      </c>
      <c r="UGW28" s="160">
        <f t="shared" ref="UGW28" si="7197">UGU28*$C$28</f>
        <v>3.217435652341304E+35</v>
      </c>
      <c r="UGY28" s="160">
        <f t="shared" ref="UGY28" si="7198">UGW28*$C$28</f>
        <v>3.2496100088647171E+35</v>
      </c>
      <c r="UHA28" s="160">
        <f t="shared" ref="UHA28" si="7199">UGY28*$C$28</f>
        <v>3.2821061089533642E+35</v>
      </c>
      <c r="UHC28" s="160">
        <f t="shared" ref="UHC28" si="7200">UHA28*$C$28</f>
        <v>3.314927170042898E+35</v>
      </c>
      <c r="UHE28" s="160">
        <f t="shared" ref="UHE28" si="7201">UHC28*$C$28</f>
        <v>3.3480764417433272E+35</v>
      </c>
      <c r="UHG28" s="160">
        <f t="shared" ref="UHG28" si="7202">UHE28*$C$28</f>
        <v>3.3815572061607607E+35</v>
      </c>
      <c r="UHI28" s="160">
        <f t="shared" ref="UHI28" si="7203">UHG28*$C$28</f>
        <v>3.4153727782223684E+35</v>
      </c>
      <c r="UHK28" s="160">
        <f t="shared" ref="UHK28" si="7204">UHI28*$C$28</f>
        <v>3.4495265060045923E+35</v>
      </c>
      <c r="UHM28" s="160">
        <f t="shared" ref="UHM28" si="7205">UHK28*$C$28</f>
        <v>3.4840217710646379E+35</v>
      </c>
      <c r="UHO28" s="160">
        <f t="shared" ref="UHO28" si="7206">UHM28*$C$28</f>
        <v>3.518861988775284E+35</v>
      </c>
      <c r="UHQ28" s="160">
        <f t="shared" ref="UHQ28" si="7207">UHO28*$C$28</f>
        <v>3.5540506086630366E+35</v>
      </c>
      <c r="UHS28" s="160">
        <f t="shared" ref="UHS28" si="7208">UHQ28*$C$28</f>
        <v>3.5895911147496672E+35</v>
      </c>
      <c r="UHU28" s="160">
        <f t="shared" ref="UHU28" si="7209">UHS28*$C$28</f>
        <v>3.6254870258971637E+35</v>
      </c>
      <c r="UHW28" s="160">
        <f t="shared" ref="UHW28" si="7210">UHU28*$C$28</f>
        <v>3.6617418961561351E+35</v>
      </c>
      <c r="UHY28" s="160">
        <f t="shared" ref="UHY28" si="7211">UHW28*$C$28</f>
        <v>3.6983593151176965E+35</v>
      </c>
      <c r="UIA28" s="160">
        <f t="shared" ref="UIA28" si="7212">UHY28*$C$28</f>
        <v>3.7353429082688737E+35</v>
      </c>
      <c r="UIC28" s="160">
        <f t="shared" ref="UIC28" si="7213">UIA28*$C$28</f>
        <v>3.7726963373515625E+35</v>
      </c>
      <c r="UIE28" s="160">
        <f t="shared" ref="UIE28" si="7214">UIC28*$C$28</f>
        <v>3.8104233007250779E+35</v>
      </c>
      <c r="UIG28" s="160">
        <f t="shared" ref="UIG28" si="7215">UIE28*$C$28</f>
        <v>3.8485275337323287E+35</v>
      </c>
      <c r="UII28" s="160">
        <f t="shared" ref="UII28" si="7216">UIG28*$C$28</f>
        <v>3.887012809069652E+35</v>
      </c>
      <c r="UIK28" s="160">
        <f t="shared" ref="UIK28" si="7217">UII28*$C$28</f>
        <v>3.9258829371603487E+35</v>
      </c>
      <c r="UIM28" s="160">
        <f t="shared" ref="UIM28" si="7218">UIK28*$C$28</f>
        <v>3.9651417665319524E+35</v>
      </c>
      <c r="UIO28" s="160">
        <f t="shared" ref="UIO28" si="7219">UIM28*$C$28</f>
        <v>4.004793184197272E+35</v>
      </c>
      <c r="UIQ28" s="160">
        <f t="shared" ref="UIQ28" si="7220">UIO28*$C$28</f>
        <v>4.0448411160392448E+35</v>
      </c>
      <c r="UIS28" s="160">
        <f t="shared" ref="UIS28" si="7221">UIQ28*$C$28</f>
        <v>4.0852895271996377E+35</v>
      </c>
      <c r="UIU28" s="160">
        <f t="shared" ref="UIU28" si="7222">UIS28*$C$28</f>
        <v>4.1261424224716343E+35</v>
      </c>
      <c r="UIW28" s="160">
        <f t="shared" ref="UIW28" si="7223">UIU28*$C$28</f>
        <v>4.1674038466963504E+35</v>
      </c>
      <c r="UIY28" s="160">
        <f t="shared" ref="UIY28" si="7224">UIW28*$C$28</f>
        <v>4.209077885163314E+35</v>
      </c>
      <c r="UJA28" s="160">
        <f t="shared" ref="UJA28" si="7225">UIY28*$C$28</f>
        <v>4.2511686640149475E+35</v>
      </c>
      <c r="UJC28" s="160">
        <f t="shared" ref="UJC28" si="7226">UJA28*$C$28</f>
        <v>4.2936803506550968E+35</v>
      </c>
      <c r="UJE28" s="160">
        <f t="shared" ref="UJE28" si="7227">UJC28*$C$28</f>
        <v>4.3366171541616476E+35</v>
      </c>
      <c r="UJG28" s="160">
        <f t="shared" ref="UJG28" si="7228">UJE28*$C$28</f>
        <v>4.3799833257032644E+35</v>
      </c>
      <c r="UJI28" s="160">
        <f t="shared" ref="UJI28" si="7229">UJG28*$C$28</f>
        <v>4.423783158960297E+35</v>
      </c>
      <c r="UJK28" s="160">
        <f t="shared" ref="UJK28" si="7230">UJI28*$C$28</f>
        <v>4.4680209905498998E+35</v>
      </c>
      <c r="UJM28" s="160">
        <f t="shared" ref="UJM28" si="7231">UJK28*$C$28</f>
        <v>4.5127012004553988E+35</v>
      </c>
      <c r="UJO28" s="160">
        <f t="shared" ref="UJO28" si="7232">UJM28*$C$28</f>
        <v>4.5578282124599527E+35</v>
      </c>
      <c r="UJQ28" s="160">
        <f t="shared" ref="UJQ28" si="7233">UJO28*$C$28</f>
        <v>4.6034064945845522E+35</v>
      </c>
      <c r="UJS28" s="160">
        <f t="shared" ref="UJS28" si="7234">UJQ28*$C$28</f>
        <v>4.649440559530398E+35</v>
      </c>
      <c r="UJU28" s="160">
        <f t="shared" ref="UJU28" si="7235">UJS28*$C$28</f>
        <v>4.6959349651257024E+35</v>
      </c>
      <c r="UJW28" s="160">
        <f t="shared" ref="UJW28" si="7236">UJU28*$C$28</f>
        <v>4.7428943147769593E+35</v>
      </c>
      <c r="UJY28" s="160">
        <f t="shared" ref="UJY28" si="7237">UJW28*$C$28</f>
        <v>4.7903232579247288E+35</v>
      </c>
      <c r="UKA28" s="160">
        <f t="shared" ref="UKA28" si="7238">UJY28*$C$28</f>
        <v>4.8382264905039762E+35</v>
      </c>
      <c r="UKC28" s="160">
        <f t="shared" ref="UKC28" si="7239">UKA28*$C$28</f>
        <v>4.8866087554090163E+35</v>
      </c>
      <c r="UKE28" s="160">
        <f t="shared" ref="UKE28" si="7240">UKC28*$C$28</f>
        <v>4.9354748429631062E+35</v>
      </c>
      <c r="UKG28" s="160">
        <f t="shared" ref="UKG28" si="7241">UKE28*$C$28</f>
        <v>4.9848295913927373E+35</v>
      </c>
      <c r="UKI28" s="160">
        <f t="shared" ref="UKI28" si="7242">UKG28*$C$28</f>
        <v>5.0346778873066651E+35</v>
      </c>
      <c r="UKK28" s="160">
        <f t="shared" ref="UKK28" si="7243">UKI28*$C$28</f>
        <v>5.085024666179732E+35</v>
      </c>
      <c r="UKM28" s="160">
        <f t="shared" ref="UKM28" si="7244">UKK28*$C$28</f>
        <v>5.1358749128415297E+35</v>
      </c>
      <c r="UKO28" s="160">
        <f t="shared" ref="UKO28" si="7245">UKM28*$C$28</f>
        <v>5.1872336619699447E+35</v>
      </c>
      <c r="UKQ28" s="160">
        <f t="shared" ref="UKQ28" si="7246">UKO28*$C$28</f>
        <v>5.2391059985896442E+35</v>
      </c>
      <c r="UKS28" s="160">
        <f t="shared" ref="UKS28" si="7247">UKQ28*$C$28</f>
        <v>5.2914970585755406E+35</v>
      </c>
      <c r="UKU28" s="160">
        <f t="shared" ref="UKU28" si="7248">UKS28*$C$28</f>
        <v>5.3444120291612958E+35</v>
      </c>
      <c r="UKW28" s="160">
        <f t="shared" ref="UKW28" si="7249">UKU28*$C$28</f>
        <v>5.3978561494529086E+35</v>
      </c>
      <c r="UKY28" s="160">
        <f t="shared" ref="UKY28" si="7250">UKW28*$C$28</f>
        <v>5.451834710947438E+35</v>
      </c>
      <c r="ULA28" s="160">
        <f t="shared" ref="ULA28" si="7251">UKY28*$C$28</f>
        <v>5.5063530580569126E+35</v>
      </c>
      <c r="ULC28" s="160">
        <f t="shared" ref="ULC28" si="7252">ULA28*$C$28</f>
        <v>5.5614165886374819E+35</v>
      </c>
      <c r="ULE28" s="160">
        <f t="shared" ref="ULE28" si="7253">ULC28*$C$28</f>
        <v>5.6170307545238567E+35</v>
      </c>
      <c r="ULG28" s="160">
        <f t="shared" ref="ULG28" si="7254">ULE28*$C$28</f>
        <v>5.6732010620690951E+35</v>
      </c>
      <c r="ULI28" s="160">
        <f t="shared" ref="ULI28" si="7255">ULG28*$C$28</f>
        <v>5.7299330726897862E+35</v>
      </c>
      <c r="ULK28" s="160">
        <f t="shared" ref="ULK28" si="7256">ULI28*$C$28</f>
        <v>5.787232403416684E+35</v>
      </c>
      <c r="ULM28" s="160">
        <f t="shared" ref="ULM28" si="7257">ULK28*$C$28</f>
        <v>5.8451047274508509E+35</v>
      </c>
      <c r="ULO28" s="160">
        <f t="shared" ref="ULO28" si="7258">ULM28*$C$28</f>
        <v>5.9035557747253595E+35</v>
      </c>
      <c r="ULQ28" s="160">
        <f t="shared" ref="ULQ28" si="7259">ULO28*$C$28</f>
        <v>5.9625913324726129E+35</v>
      </c>
      <c r="ULS28" s="160">
        <f t="shared" ref="ULS28" si="7260">ULQ28*$C$28</f>
        <v>6.0222172457973394E+35</v>
      </c>
      <c r="ULU28" s="160">
        <f t="shared" ref="ULU28" si="7261">ULS28*$C$28</f>
        <v>6.0824394182553125E+35</v>
      </c>
      <c r="ULW28" s="160">
        <f t="shared" ref="ULW28" si="7262">ULU28*$C$28</f>
        <v>6.143263812437866E+35</v>
      </c>
      <c r="ULY28" s="160">
        <f t="shared" ref="ULY28" si="7263">ULW28*$C$28</f>
        <v>6.2046964505622447E+35</v>
      </c>
      <c r="UMA28" s="160">
        <f t="shared" ref="UMA28" si="7264">ULY28*$C$28</f>
        <v>6.2667434150678675E+35</v>
      </c>
      <c r="UMC28" s="160">
        <f t="shared" ref="UMC28" si="7265">UMA28*$C$28</f>
        <v>6.3294108492185465E+35</v>
      </c>
      <c r="UME28" s="160">
        <f t="shared" ref="UME28" si="7266">UMC28*$C$28</f>
        <v>6.392704957710732E+35</v>
      </c>
      <c r="UMG28" s="160">
        <f t="shared" ref="UMG28" si="7267">UME28*$C$28</f>
        <v>6.4566320072878391E+35</v>
      </c>
      <c r="UMI28" s="160">
        <f t="shared" ref="UMI28" si="7268">UMG28*$C$28</f>
        <v>6.5211983273607178E+35</v>
      </c>
      <c r="UMK28" s="160">
        <f t="shared" ref="UMK28" si="7269">UMI28*$C$28</f>
        <v>6.5864103106343253E+35</v>
      </c>
      <c r="UMM28" s="160">
        <f t="shared" ref="UMM28" si="7270">UMK28*$C$28</f>
        <v>6.6522744137406684E+35</v>
      </c>
      <c r="UMO28" s="160">
        <f t="shared" ref="UMO28" si="7271">UMM28*$C$28</f>
        <v>6.718797157878075E+35</v>
      </c>
      <c r="UMQ28" s="160">
        <f t="shared" ref="UMQ28" si="7272">UMO28*$C$28</f>
        <v>6.7859851294568553E+35</v>
      </c>
      <c r="UMS28" s="160">
        <f t="shared" ref="UMS28" si="7273">UMQ28*$C$28</f>
        <v>6.8538449807514245E+35</v>
      </c>
      <c r="UMU28" s="160">
        <f t="shared" ref="UMU28" si="7274">UMS28*$C$28</f>
        <v>6.9223834305589391E+35</v>
      </c>
      <c r="UMW28" s="160">
        <f t="shared" ref="UMW28" si="7275">UMU28*$C$28</f>
        <v>6.9916072648645279E+35</v>
      </c>
      <c r="UMY28" s="160">
        <f t="shared" ref="UMY28" si="7276">UMW28*$C$28</f>
        <v>7.0615233375131729E+35</v>
      </c>
      <c r="UNA28" s="160">
        <f t="shared" ref="UNA28" si="7277">UMY28*$C$28</f>
        <v>7.1321385708883039E+35</v>
      </c>
      <c r="UNC28" s="160">
        <f t="shared" ref="UNC28" si="7278">UNA28*$C$28</f>
        <v>7.2034599565971873E+35</v>
      </c>
      <c r="UNE28" s="160">
        <f t="shared" ref="UNE28" si="7279">UNC28*$C$28</f>
        <v>7.2754945561631595E+35</v>
      </c>
      <c r="UNG28" s="160">
        <f t="shared" ref="UNG28" si="7280">UNE28*$C$28</f>
        <v>7.3482495017247911E+35</v>
      </c>
      <c r="UNI28" s="160">
        <f t="shared" ref="UNI28" si="7281">UNG28*$C$28</f>
        <v>7.4217319967420388E+35</v>
      </c>
      <c r="UNK28" s="160">
        <f t="shared" ref="UNK28" si="7282">UNI28*$C$28</f>
        <v>7.4959493167094598E+35</v>
      </c>
      <c r="UNM28" s="160">
        <f t="shared" ref="UNM28" si="7283">UNK28*$C$28</f>
        <v>7.5709088098765541E+35</v>
      </c>
      <c r="UNO28" s="160">
        <f t="shared" ref="UNO28" si="7284">UNM28*$C$28</f>
        <v>7.6466178979753192E+35</v>
      </c>
      <c r="UNQ28" s="160">
        <f t="shared" ref="UNQ28" si="7285">UNO28*$C$28</f>
        <v>7.7230840769550722E+35</v>
      </c>
      <c r="UNS28" s="160">
        <f t="shared" ref="UNS28" si="7286">UNQ28*$C$28</f>
        <v>7.8003149177246228E+35</v>
      </c>
      <c r="UNU28" s="160">
        <f t="shared" ref="UNU28" si="7287">UNS28*$C$28</f>
        <v>7.8783180669018693E+35</v>
      </c>
      <c r="UNW28" s="160">
        <f t="shared" ref="UNW28" si="7288">UNU28*$C$28</f>
        <v>7.9571012475708887E+35</v>
      </c>
      <c r="UNY28" s="160">
        <f t="shared" ref="UNY28" si="7289">UNW28*$C$28</f>
        <v>8.036672260046598E+35</v>
      </c>
      <c r="UOA28" s="160">
        <f t="shared" ref="UOA28" si="7290">UNY28*$C$28</f>
        <v>8.1170389826470637E+35</v>
      </c>
      <c r="UOC28" s="160">
        <f t="shared" ref="UOC28" si="7291">UOA28*$C$28</f>
        <v>8.1982093724735348E+35</v>
      </c>
      <c r="UOE28" s="160">
        <f t="shared" ref="UOE28" si="7292">UOC28*$C$28</f>
        <v>8.2801914661982706E+35</v>
      </c>
      <c r="UOG28" s="160">
        <f t="shared" ref="UOG28" si="7293">UOE28*$C$28</f>
        <v>8.3629933808602538E+35</v>
      </c>
      <c r="UOI28" s="160">
        <f t="shared" ref="UOI28" si="7294">UOG28*$C$28</f>
        <v>8.4466233146688562E+35</v>
      </c>
      <c r="UOK28" s="160">
        <f t="shared" ref="UOK28" si="7295">UOI28*$C$28</f>
        <v>8.531089547815545E+35</v>
      </c>
      <c r="UOM28" s="160">
        <f t="shared" ref="UOM28" si="7296">UOK28*$C$28</f>
        <v>8.6164004432937013E+35</v>
      </c>
      <c r="UOO28" s="160">
        <f t="shared" ref="UOO28" si="7297">UOM28*$C$28</f>
        <v>8.7025644477266389E+35</v>
      </c>
      <c r="UOQ28" s="160">
        <f t="shared" ref="UOQ28" si="7298">UOO28*$C$28</f>
        <v>8.7895900922039052E+35</v>
      </c>
      <c r="UOS28" s="160">
        <f t="shared" ref="UOS28" si="7299">UOQ28*$C$28</f>
        <v>8.8774859931259437E+35</v>
      </c>
      <c r="UOU28" s="160">
        <f t="shared" ref="UOU28" si="7300">UOS28*$C$28</f>
        <v>8.9662608530572032E+35</v>
      </c>
      <c r="UOW28" s="160">
        <f t="shared" ref="UOW28" si="7301">UOU28*$C$28</f>
        <v>9.055923461587775E+35</v>
      </c>
      <c r="UOY28" s="160">
        <f t="shared" ref="UOY28" si="7302">UOW28*$C$28</f>
        <v>9.1464826962036535E+35</v>
      </c>
      <c r="UPA28" s="160">
        <f t="shared" ref="UPA28" si="7303">UOY28*$C$28</f>
        <v>9.2379475231656905E+35</v>
      </c>
      <c r="UPC28" s="160">
        <f t="shared" ref="UPC28" si="7304">UPA28*$C$28</f>
        <v>9.3303269983973477E+35</v>
      </c>
      <c r="UPE28" s="160">
        <f t="shared" ref="UPE28" si="7305">UPC28*$C$28</f>
        <v>9.4236302683813212E+35</v>
      </c>
      <c r="UPG28" s="160">
        <f t="shared" ref="UPG28" si="7306">UPE28*$C$28</f>
        <v>9.5178665710651345E+35</v>
      </c>
      <c r="UPI28" s="160">
        <f t="shared" ref="UPI28" si="7307">UPG28*$C$28</f>
        <v>9.6130452367757861E+35</v>
      </c>
      <c r="UPK28" s="160">
        <f t="shared" ref="UPK28" si="7308">UPI28*$C$28</f>
        <v>9.7091756891435441E+35</v>
      </c>
      <c r="UPM28" s="160">
        <f t="shared" ref="UPM28" si="7309">UPK28*$C$28</f>
        <v>9.8062674460349803E+35</v>
      </c>
      <c r="UPO28" s="160">
        <f t="shared" ref="UPO28" si="7310">UPM28*$C$28</f>
        <v>9.9043301204953297E+35</v>
      </c>
      <c r="UPQ28" s="160">
        <f t="shared" ref="UPQ28" si="7311">UPO28*$C$28</f>
        <v>1.0003373421700284E+36</v>
      </c>
      <c r="UPS28" s="160">
        <f t="shared" ref="UPS28" si="7312">UPQ28*$C$28</f>
        <v>1.0103407155917286E+36</v>
      </c>
      <c r="UPU28" s="160">
        <f t="shared" ref="UPU28" si="7313">UPS28*$C$28</f>
        <v>1.020444122747646E+36</v>
      </c>
      <c r="UPW28" s="160">
        <f t="shared" ref="UPW28" si="7314">UPU28*$C$28</f>
        <v>1.0306485639751224E+36</v>
      </c>
      <c r="UPY28" s="160">
        <f t="shared" ref="UPY28" si="7315">UPW28*$C$28</f>
        <v>1.0409550496148737E+36</v>
      </c>
      <c r="UQA28" s="160">
        <f t="shared" ref="UQA28" si="7316">UPY28*$C$28</f>
        <v>1.0513646001110225E+36</v>
      </c>
      <c r="UQC28" s="160">
        <f t="shared" ref="UQC28" si="7317">UQA28*$C$28</f>
        <v>1.0618782461121326E+36</v>
      </c>
      <c r="UQE28" s="160">
        <f t="shared" ref="UQE28" si="7318">UQC28*$C$28</f>
        <v>1.072497028573254E+36</v>
      </c>
      <c r="UQG28" s="160">
        <f t="shared" ref="UQG28" si="7319">UQE28*$C$28</f>
        <v>1.0832219988589866E+36</v>
      </c>
      <c r="UQI28" s="160">
        <f t="shared" ref="UQI28" si="7320">UQG28*$C$28</f>
        <v>1.0940542188475765E+36</v>
      </c>
      <c r="UQK28" s="160">
        <f t="shared" ref="UQK28" si="7321">UQI28*$C$28</f>
        <v>1.1049947610360522E+36</v>
      </c>
      <c r="UQM28" s="160">
        <f t="shared" ref="UQM28" si="7322">UQK28*$C$28</f>
        <v>1.1160447086464127E+36</v>
      </c>
      <c r="UQO28" s="160">
        <f t="shared" ref="UQO28" si="7323">UQM28*$C$28</f>
        <v>1.1272051557328768E+36</v>
      </c>
      <c r="UQQ28" s="160">
        <f t="shared" ref="UQQ28" si="7324">UQO28*$C$28</f>
        <v>1.1384772072902056E+36</v>
      </c>
      <c r="UQS28" s="160">
        <f t="shared" ref="UQS28" si="7325">UQQ28*$C$28</f>
        <v>1.1498619793631076E+36</v>
      </c>
      <c r="UQU28" s="160">
        <f t="shared" ref="UQU28" si="7326">UQS28*$C$28</f>
        <v>1.1613605991567387E+36</v>
      </c>
      <c r="UQW28" s="160">
        <f t="shared" ref="UQW28" si="7327">UQU28*$C$28</f>
        <v>1.1729742051483061E+36</v>
      </c>
      <c r="UQY28" s="160">
        <f t="shared" ref="UQY28" si="7328">UQW28*$C$28</f>
        <v>1.1847039471997891E+36</v>
      </c>
      <c r="URA28" s="160">
        <f t="shared" ref="URA28" si="7329">UQY28*$C$28</f>
        <v>1.196550986671787E+36</v>
      </c>
      <c r="URC28" s="160">
        <f t="shared" ref="URC28" si="7330">URA28*$C$28</f>
        <v>1.2085164965385049E+36</v>
      </c>
      <c r="URE28" s="160">
        <f t="shared" ref="URE28" si="7331">URC28*$C$28</f>
        <v>1.2206016615038899E+36</v>
      </c>
      <c r="URG28" s="160">
        <f t="shared" ref="URG28" si="7332">URE28*$C$28</f>
        <v>1.2328076781189288E+36</v>
      </c>
      <c r="URI28" s="160">
        <f t="shared" ref="URI28" si="7333">URG28*$C$28</f>
        <v>1.2451357549001182E+36</v>
      </c>
      <c r="URK28" s="160">
        <f t="shared" ref="URK28" si="7334">URI28*$C$28</f>
        <v>1.2575871124491193E+36</v>
      </c>
      <c r="URM28" s="160">
        <f t="shared" ref="URM28" si="7335">URK28*$C$28</f>
        <v>1.2701629835736105E+36</v>
      </c>
      <c r="URO28" s="160">
        <f t="shared" ref="URO28" si="7336">URM28*$C$28</f>
        <v>1.2828646134093466E+36</v>
      </c>
      <c r="URQ28" s="160">
        <f t="shared" ref="URQ28" si="7337">URO28*$C$28</f>
        <v>1.29569325954344E+36</v>
      </c>
      <c r="URS28" s="160">
        <f t="shared" ref="URS28" si="7338">URQ28*$C$28</f>
        <v>1.3086501921388745E+36</v>
      </c>
      <c r="URU28" s="160">
        <f t="shared" ref="URU28" si="7339">URS28*$C$28</f>
        <v>1.3217366940602632E+36</v>
      </c>
      <c r="URW28" s="160">
        <f t="shared" ref="URW28" si="7340">URU28*$C$28</f>
        <v>1.3349540610008659E+36</v>
      </c>
      <c r="URY28" s="160">
        <f t="shared" ref="URY28" si="7341">URW28*$C$28</f>
        <v>1.3483036016108745E+36</v>
      </c>
      <c r="USA28" s="160">
        <f t="shared" ref="USA28" si="7342">URY28*$C$28</f>
        <v>1.3617866376269832E+36</v>
      </c>
      <c r="USC28" s="160">
        <f t="shared" ref="USC28" si="7343">USA28*$C$28</f>
        <v>1.375404504003253E+36</v>
      </c>
      <c r="USE28" s="160">
        <f t="shared" ref="USE28" si="7344">USC28*$C$28</f>
        <v>1.3891585490432856E+36</v>
      </c>
      <c r="USG28" s="160">
        <f t="shared" ref="USG28" si="7345">USE28*$C$28</f>
        <v>1.4030501345337186E+36</v>
      </c>
      <c r="USI28" s="160">
        <f t="shared" ref="USI28" si="7346">USG28*$C$28</f>
        <v>1.4170806358790559E+36</v>
      </c>
      <c r="USK28" s="160">
        <f t="shared" ref="USK28" si="7347">USI28*$C$28</f>
        <v>1.4312514422378464E+36</v>
      </c>
      <c r="USM28" s="160">
        <f t="shared" ref="USM28" si="7348">USK28*$C$28</f>
        <v>1.4455639566602249E+36</v>
      </c>
      <c r="USO28" s="160">
        <f t="shared" ref="USO28" si="7349">USM28*$C$28</f>
        <v>1.4600195962268272E+36</v>
      </c>
      <c r="USQ28" s="160">
        <f t="shared" ref="USQ28" si="7350">USO28*$C$28</f>
        <v>1.4746197921890956E+36</v>
      </c>
      <c r="USS28" s="160">
        <f t="shared" ref="USS28" si="7351">USQ28*$C$28</f>
        <v>1.4893659901109865E+36</v>
      </c>
      <c r="USU28" s="160">
        <f t="shared" ref="USU28" si="7352">USS28*$C$28</f>
        <v>1.5042596500120963E+36</v>
      </c>
      <c r="USW28" s="160">
        <f t="shared" ref="USW28" si="7353">USU28*$C$28</f>
        <v>1.5193022465122173E+36</v>
      </c>
      <c r="USY28" s="160">
        <f t="shared" ref="USY28" si="7354">USW28*$C$28</f>
        <v>1.5344952689773395E+36</v>
      </c>
      <c r="UTA28" s="160">
        <f t="shared" ref="UTA28" si="7355">USY28*$C$28</f>
        <v>1.5498402216671129E+36</v>
      </c>
      <c r="UTC28" s="160">
        <f t="shared" ref="UTC28" si="7356">UTA28*$C$28</f>
        <v>1.565338623883784E+36</v>
      </c>
      <c r="UTE28" s="160">
        <f t="shared" ref="UTE28" si="7357">UTC28*$C$28</f>
        <v>1.5809920101226218E+36</v>
      </c>
      <c r="UTG28" s="160">
        <f t="shared" ref="UTG28" si="7358">UTE28*$C$28</f>
        <v>1.5968019302238482E+36</v>
      </c>
      <c r="UTI28" s="160">
        <f t="shared" ref="UTI28" si="7359">UTG28*$C$28</f>
        <v>1.6127699495260868E+36</v>
      </c>
      <c r="UTK28" s="160">
        <f t="shared" ref="UTK28" si="7360">UTI28*$C$28</f>
        <v>1.6288976490213477E+36</v>
      </c>
      <c r="UTM28" s="160">
        <f t="shared" ref="UTM28" si="7361">UTK28*$C$28</f>
        <v>1.6451866255115611E+36</v>
      </c>
      <c r="UTO28" s="160">
        <f t="shared" ref="UTO28" si="7362">UTM28*$C$28</f>
        <v>1.6616384917666768E+36</v>
      </c>
      <c r="UTQ28" s="160">
        <f t="shared" ref="UTQ28" si="7363">UTO28*$C$28</f>
        <v>1.6782548766843437E+36</v>
      </c>
      <c r="UTS28" s="160">
        <f t="shared" ref="UTS28" si="7364">UTQ28*$C$28</f>
        <v>1.6950374254511872E+36</v>
      </c>
      <c r="UTU28" s="160">
        <f t="shared" ref="UTU28" si="7365">UTS28*$C$28</f>
        <v>1.711987799705699E+36</v>
      </c>
      <c r="UTW28" s="160">
        <f t="shared" ref="UTW28" si="7366">UTU28*$C$28</f>
        <v>1.729107677702756E+36</v>
      </c>
      <c r="UTY28" s="160">
        <f t="shared" ref="UTY28" si="7367">UTW28*$C$28</f>
        <v>1.7463987544797835E+36</v>
      </c>
      <c r="UUA28" s="160">
        <f t="shared" ref="UUA28" si="7368">UTY28*$C$28</f>
        <v>1.7638627420245813E+36</v>
      </c>
      <c r="UUC28" s="160">
        <f t="shared" ref="UUC28" si="7369">UUA28*$C$28</f>
        <v>1.781501369444827E+36</v>
      </c>
      <c r="UUE28" s="160">
        <f t="shared" ref="UUE28" si="7370">UUC28*$C$28</f>
        <v>1.7993163831392753E+36</v>
      </c>
      <c r="UUG28" s="160">
        <f t="shared" ref="UUG28" si="7371">UUE28*$C$28</f>
        <v>1.817309546970668E+36</v>
      </c>
      <c r="UUI28" s="160">
        <f t="shared" ref="UUI28" si="7372">UUG28*$C$28</f>
        <v>1.8354826424403747E+36</v>
      </c>
      <c r="UUK28" s="160">
        <f t="shared" ref="UUK28" si="7373">UUI28*$C$28</f>
        <v>1.8538374688647784E+36</v>
      </c>
      <c r="UUM28" s="160">
        <f t="shared" ref="UUM28" si="7374">UUK28*$C$28</f>
        <v>1.8723758435534261E+36</v>
      </c>
      <c r="UUO28" s="160">
        <f t="shared" ref="UUO28" si="7375">UUM28*$C$28</f>
        <v>1.8910996019889604E+36</v>
      </c>
      <c r="UUQ28" s="160">
        <f t="shared" ref="UUQ28" si="7376">UUO28*$C$28</f>
        <v>1.9100105980088501E+36</v>
      </c>
      <c r="UUS28" s="160">
        <f t="shared" ref="UUS28" si="7377">UUQ28*$C$28</f>
        <v>1.9291107039889385E+36</v>
      </c>
      <c r="UUU28" s="160">
        <f t="shared" ref="UUU28" si="7378">UUS28*$C$28</f>
        <v>1.948401811028828E+36</v>
      </c>
      <c r="UUW28" s="160">
        <f t="shared" ref="UUW28" si="7379">UUU28*$C$28</f>
        <v>1.9678858291391164E+36</v>
      </c>
      <c r="UUY28" s="160">
        <f t="shared" ref="UUY28" si="7380">UUW28*$C$28</f>
        <v>1.9875646874305075E+36</v>
      </c>
      <c r="UVA28" s="160">
        <f t="shared" ref="UVA28" si="7381">UUY28*$C$28</f>
        <v>2.0074403343048125E+36</v>
      </c>
      <c r="UVC28" s="160">
        <f t="shared" ref="UVC28" si="7382">UVA28*$C$28</f>
        <v>2.0275147376478607E+36</v>
      </c>
      <c r="UVE28" s="160">
        <f t="shared" ref="UVE28" si="7383">UVC28*$C$28</f>
        <v>2.0477898850243394E+36</v>
      </c>
      <c r="UVG28" s="160">
        <f t="shared" ref="UVG28" si="7384">UVE28*$C$28</f>
        <v>2.0682677838745829E+36</v>
      </c>
      <c r="UVI28" s="160">
        <f t="shared" ref="UVI28" si="7385">UVG28*$C$28</f>
        <v>2.0889504617133287E+36</v>
      </c>
      <c r="UVK28" s="160">
        <f t="shared" ref="UVK28" si="7386">UVI28*$C$28</f>
        <v>2.109839966330462E+36</v>
      </c>
      <c r="UVM28" s="160">
        <f t="shared" ref="UVM28" si="7387">UVK28*$C$28</f>
        <v>2.1309383659937665E+36</v>
      </c>
      <c r="UVO28" s="160">
        <f t="shared" ref="UVO28" si="7388">UVM28*$C$28</f>
        <v>2.1522477496537043E+36</v>
      </c>
      <c r="UVQ28" s="160">
        <f t="shared" ref="UVQ28" si="7389">UVO28*$C$28</f>
        <v>2.1737702271502415E+36</v>
      </c>
      <c r="UVS28" s="160">
        <f t="shared" ref="UVS28" si="7390">UVQ28*$C$28</f>
        <v>2.195507929421744E+36</v>
      </c>
      <c r="UVU28" s="160">
        <f t="shared" ref="UVU28" si="7391">UVS28*$C$28</f>
        <v>2.2174630087159616E+36</v>
      </c>
      <c r="UVW28" s="160">
        <f t="shared" ref="UVW28" si="7392">UVU28*$C$28</f>
        <v>2.2396376388031213E+36</v>
      </c>
      <c r="UVY28" s="160">
        <f t="shared" ref="UVY28" si="7393">UVW28*$C$28</f>
        <v>2.2620340151911526E+36</v>
      </c>
      <c r="UWA28" s="160">
        <f t="shared" ref="UWA28" si="7394">UVY28*$C$28</f>
        <v>2.2846543553430642E+36</v>
      </c>
      <c r="UWC28" s="160">
        <f t="shared" ref="UWC28" si="7395">UWA28*$C$28</f>
        <v>2.3075008988964947E+36</v>
      </c>
      <c r="UWE28" s="160">
        <f t="shared" ref="UWE28" si="7396">UWC28*$C$28</f>
        <v>2.3305759078854597E+36</v>
      </c>
      <c r="UWG28" s="160">
        <f t="shared" ref="UWG28" si="7397">UWE28*$C$28</f>
        <v>2.3538816669643145E+36</v>
      </c>
      <c r="UWI28" s="160">
        <f t="shared" ref="UWI28" si="7398">UWG28*$C$28</f>
        <v>2.3774204836339576E+36</v>
      </c>
      <c r="UWK28" s="160">
        <f t="shared" ref="UWK28" si="7399">UWI28*$C$28</f>
        <v>2.4011946884702973E+36</v>
      </c>
      <c r="UWM28" s="160">
        <f t="shared" ref="UWM28" si="7400">UWK28*$C$28</f>
        <v>2.4252066353550004E+36</v>
      </c>
      <c r="UWO28" s="160">
        <f t="shared" ref="UWO28" si="7401">UWM28*$C$28</f>
        <v>2.4494587017085503E+36</v>
      </c>
      <c r="UWQ28" s="160">
        <f t="shared" ref="UWQ28" si="7402">UWO28*$C$28</f>
        <v>2.4739532887256357E+36</v>
      </c>
      <c r="UWS28" s="160">
        <f t="shared" ref="UWS28" si="7403">UWQ28*$C$28</f>
        <v>2.4986928216128921E+36</v>
      </c>
      <c r="UWU28" s="160">
        <f t="shared" ref="UWU28" si="7404">UWS28*$C$28</f>
        <v>2.523679749829021E+36</v>
      </c>
      <c r="UWW28" s="160">
        <f t="shared" ref="UWW28" si="7405">UWU28*$C$28</f>
        <v>2.5489165473273112E+36</v>
      </c>
      <c r="UWY28" s="160">
        <f t="shared" ref="UWY28" si="7406">UWW28*$C$28</f>
        <v>2.5744057128005843E+36</v>
      </c>
      <c r="UXA28" s="160">
        <f t="shared" ref="UXA28" si="7407">UWY28*$C$28</f>
        <v>2.6001497699285903E+36</v>
      </c>
      <c r="UXC28" s="160">
        <f t="shared" ref="UXC28" si="7408">UXA28*$C$28</f>
        <v>2.6261512676278761E+36</v>
      </c>
      <c r="UXE28" s="160">
        <f t="shared" ref="UXE28" si="7409">UXC28*$C$28</f>
        <v>2.6524127803041548E+36</v>
      </c>
      <c r="UXG28" s="160">
        <f t="shared" ref="UXG28" si="7410">UXE28*$C$28</f>
        <v>2.6789369081071966E+36</v>
      </c>
      <c r="UXI28" s="160">
        <f t="shared" ref="UXI28" si="7411">UXG28*$C$28</f>
        <v>2.7057262771882684E+36</v>
      </c>
      <c r="UXK28" s="160">
        <f t="shared" ref="UXK28" si="7412">UXI28*$C$28</f>
        <v>2.7327835399601513E+36</v>
      </c>
      <c r="UXM28" s="160">
        <f t="shared" ref="UXM28" si="7413">UXK28*$C$28</f>
        <v>2.760111375359753E+36</v>
      </c>
      <c r="UXO28" s="160">
        <f t="shared" ref="UXO28" si="7414">UXM28*$C$28</f>
        <v>2.7877124891133506E+36</v>
      </c>
      <c r="UXQ28" s="160">
        <f t="shared" ref="UXQ28" si="7415">UXO28*$C$28</f>
        <v>2.8155896140044841E+36</v>
      </c>
      <c r="UXS28" s="160">
        <f t="shared" ref="UXS28" si="7416">UXQ28*$C$28</f>
        <v>2.8437455101445287E+36</v>
      </c>
      <c r="UXU28" s="160">
        <f t="shared" ref="UXU28" si="7417">UXS28*$C$28</f>
        <v>2.872182965245974E+36</v>
      </c>
      <c r="UXW28" s="160">
        <f t="shared" ref="UXW28" si="7418">UXU28*$C$28</f>
        <v>2.9009047948984338E+36</v>
      </c>
      <c r="UXY28" s="160">
        <f t="shared" ref="UXY28" si="7419">UXW28*$C$28</f>
        <v>2.9299138428474181E+36</v>
      </c>
      <c r="UYA28" s="160">
        <f t="shared" ref="UYA28" si="7420">UXY28*$C$28</f>
        <v>2.959212981275892E+36</v>
      </c>
      <c r="UYC28" s="160">
        <f t="shared" ref="UYC28" si="7421">UYA28*$C$28</f>
        <v>2.9888051110886509E+36</v>
      </c>
      <c r="UYE28" s="160">
        <f t="shared" ref="UYE28" si="7422">UYC28*$C$28</f>
        <v>3.0186931621995376E+36</v>
      </c>
      <c r="UYG28" s="160">
        <f t="shared" ref="UYG28" si="7423">UYE28*$C$28</f>
        <v>3.0488800938215332E+36</v>
      </c>
      <c r="UYI28" s="160">
        <f t="shared" ref="UYI28" si="7424">UYG28*$C$28</f>
        <v>3.0793688947597483E+36</v>
      </c>
      <c r="UYK28" s="160">
        <f t="shared" ref="UYK28" si="7425">UYI28*$C$28</f>
        <v>3.1101625837073456E+36</v>
      </c>
      <c r="UYM28" s="160">
        <f t="shared" ref="UYM28" si="7426">UYK28*$C$28</f>
        <v>3.1412642095444192E+36</v>
      </c>
      <c r="UYO28" s="160">
        <f t="shared" ref="UYO28" si="7427">UYM28*$C$28</f>
        <v>3.1726768516398633E+36</v>
      </c>
      <c r="UYQ28" s="160">
        <f t="shared" ref="UYQ28" si="7428">UYO28*$C$28</f>
        <v>3.2044036201562618E+36</v>
      </c>
      <c r="UYS28" s="160">
        <f t="shared" ref="UYS28" si="7429">UYQ28*$C$28</f>
        <v>3.2364476563578244E+36</v>
      </c>
      <c r="UYU28" s="160">
        <f t="shared" ref="UYU28" si="7430">UYS28*$C$28</f>
        <v>3.2688121329214027E+36</v>
      </c>
      <c r="UYW28" s="160">
        <f t="shared" ref="UYW28" si="7431">UYU28*$C$28</f>
        <v>3.301500254250617E+36</v>
      </c>
      <c r="UYY28" s="160">
        <f t="shared" ref="UYY28" si="7432">UYW28*$C$28</f>
        <v>3.3345152567931229E+36</v>
      </c>
      <c r="UZA28" s="160">
        <f t="shared" ref="UZA28" si="7433">UYY28*$C$28</f>
        <v>3.367860409361054E+36</v>
      </c>
      <c r="UZC28" s="160">
        <f t="shared" ref="UZC28" si="7434">UZA28*$C$28</f>
        <v>3.4015390134546643E+36</v>
      </c>
      <c r="UZE28" s="160">
        <f t="shared" ref="UZE28" si="7435">UZC28*$C$28</f>
        <v>3.4355544035892111E+36</v>
      </c>
      <c r="UZG28" s="160">
        <f t="shared" ref="UZG28" si="7436">UZE28*$C$28</f>
        <v>3.4699099476251031E+36</v>
      </c>
      <c r="UZI28" s="160">
        <f t="shared" ref="UZI28" si="7437">UZG28*$C$28</f>
        <v>3.5046090471013541E+36</v>
      </c>
      <c r="UZK28" s="160">
        <f t="shared" ref="UZK28" si="7438">UZI28*$C$28</f>
        <v>3.5396551375723677E+36</v>
      </c>
      <c r="UZM28" s="160">
        <f t="shared" ref="UZM28" si="7439">UZK28*$C$28</f>
        <v>3.5750516889480913E+36</v>
      </c>
      <c r="UZO28" s="160">
        <f t="shared" ref="UZO28" si="7440">UZM28*$C$28</f>
        <v>3.6108022058375721E+36</v>
      </c>
      <c r="UZQ28" s="160">
        <f t="shared" ref="UZQ28" si="7441">UZO28*$C$28</f>
        <v>3.6469102278959481E+36</v>
      </c>
      <c r="UZS28" s="160">
        <f t="shared" ref="UZS28" si="7442">UZQ28*$C$28</f>
        <v>3.6833793301749075E+36</v>
      </c>
      <c r="UZU28" s="160">
        <f t="shared" ref="UZU28" si="7443">UZS28*$C$28</f>
        <v>3.7202131234766569E+36</v>
      </c>
      <c r="UZW28" s="160">
        <f t="shared" ref="UZW28" si="7444">UZU28*$C$28</f>
        <v>3.7574152547114233E+36</v>
      </c>
      <c r="UZY28" s="160">
        <f t="shared" ref="UZY28" si="7445">UZW28*$C$28</f>
        <v>3.7949894072585377E+36</v>
      </c>
      <c r="VAA28" s="160">
        <f t="shared" ref="VAA28" si="7446">UZY28*$C$28</f>
        <v>3.8329393013311231E+36</v>
      </c>
      <c r="VAC28" s="160">
        <f t="shared" ref="VAC28" si="7447">VAA28*$C$28</f>
        <v>3.8712686943444345E+36</v>
      </c>
      <c r="VAE28" s="160">
        <f t="shared" ref="VAE28" si="7448">VAC28*$C$28</f>
        <v>3.9099813812878791E+36</v>
      </c>
      <c r="VAG28" s="160">
        <f t="shared" ref="VAG28" si="7449">VAE28*$C$28</f>
        <v>3.9490811951007578E+36</v>
      </c>
      <c r="VAI28" s="160">
        <f t="shared" ref="VAI28" si="7450">VAG28*$C$28</f>
        <v>3.9885720070517656E+36</v>
      </c>
      <c r="VAK28" s="160">
        <f t="shared" ref="VAK28" si="7451">VAI28*$C$28</f>
        <v>4.0284577271222832E+36</v>
      </c>
      <c r="VAM28" s="160">
        <f t="shared" ref="VAM28" si="7452">VAK28*$C$28</f>
        <v>4.068742304393506E+36</v>
      </c>
      <c r="VAO28" s="160">
        <f t="shared" ref="VAO28" si="7453">VAM28*$C$28</f>
        <v>4.1094297274374413E+36</v>
      </c>
      <c r="VAQ28" s="160">
        <f t="shared" ref="VAQ28" si="7454">VAO28*$C$28</f>
        <v>4.150524024711816E+36</v>
      </c>
      <c r="VAS28" s="160">
        <f t="shared" ref="VAS28" si="7455">VAQ28*$C$28</f>
        <v>4.1920292649589344E+36</v>
      </c>
      <c r="VAU28" s="160">
        <f t="shared" ref="VAU28" si="7456">VAS28*$C$28</f>
        <v>4.2339495576085238E+36</v>
      </c>
      <c r="VAW28" s="160">
        <f t="shared" ref="VAW28" si="7457">VAU28*$C$28</f>
        <v>4.2762890531846092E+36</v>
      </c>
      <c r="VAY28" s="160">
        <f t="shared" ref="VAY28" si="7458">VAW28*$C$28</f>
        <v>4.3190519437164551E+36</v>
      </c>
      <c r="VBA28" s="160">
        <f t="shared" ref="VBA28" si="7459">VAY28*$C$28</f>
        <v>4.3622424631536195E+36</v>
      </c>
      <c r="VBC28" s="160">
        <f t="shared" ref="VBC28" si="7460">VBA28*$C$28</f>
        <v>4.4058648877851555E+36</v>
      </c>
      <c r="VBE28" s="160">
        <f t="shared" ref="VBE28" si="7461">VBC28*$C$28</f>
        <v>4.4499235366630071E+36</v>
      </c>
      <c r="VBG28" s="160">
        <f t="shared" ref="VBG28" si="7462">VBE28*$C$28</f>
        <v>4.4944227720296372E+36</v>
      </c>
      <c r="VBI28" s="160">
        <f t="shared" ref="VBI28" si="7463">VBG28*$C$28</f>
        <v>4.5393669997499335E+36</v>
      </c>
      <c r="VBK28" s="160">
        <f t="shared" ref="VBK28" si="7464">VBI28*$C$28</f>
        <v>4.5847606697474329E+36</v>
      </c>
      <c r="VBM28" s="160">
        <f t="shared" ref="VBM28" si="7465">VBK28*$C$28</f>
        <v>4.630608276444907E+36</v>
      </c>
      <c r="VBO28" s="160">
        <f t="shared" ref="VBO28" si="7466">VBM28*$C$28</f>
        <v>4.6769143592093562E+36</v>
      </c>
      <c r="VBQ28" s="160">
        <f t="shared" ref="VBQ28" si="7467">VBO28*$C$28</f>
        <v>4.7236835028014497E+36</v>
      </c>
      <c r="VBS28" s="160">
        <f t="shared" ref="VBS28" si="7468">VBQ28*$C$28</f>
        <v>4.7709203378294644E+36</v>
      </c>
      <c r="VBU28" s="160">
        <f t="shared" ref="VBU28" si="7469">VBS28*$C$28</f>
        <v>4.8186295412077594E+36</v>
      </c>
      <c r="VBW28" s="160">
        <f t="shared" ref="VBW28" si="7470">VBU28*$C$28</f>
        <v>4.866815836619837E+36</v>
      </c>
      <c r="VBY28" s="160">
        <f t="shared" ref="VBY28" si="7471">VBW28*$C$28</f>
        <v>4.9154839949860354E+36</v>
      </c>
      <c r="VCA28" s="160">
        <f t="shared" ref="VCA28" si="7472">VBY28*$C$28</f>
        <v>4.9646388349358955E+36</v>
      </c>
      <c r="VCC28" s="160">
        <f t="shared" ref="VCC28" si="7473">VCA28*$C$28</f>
        <v>5.0142852232852544E+36</v>
      </c>
      <c r="VCE28" s="160">
        <f t="shared" ref="VCE28" si="7474">VCC28*$C$28</f>
        <v>5.064428075518107E+36</v>
      </c>
      <c r="VCG28" s="160">
        <f t="shared" ref="VCG28" si="7475">VCE28*$C$28</f>
        <v>5.1150723562732883E+36</v>
      </c>
      <c r="VCI28" s="160">
        <f t="shared" ref="VCI28" si="7476">VCG28*$C$28</f>
        <v>5.1662230798360211E+36</v>
      </c>
      <c r="VCK28" s="160">
        <f t="shared" ref="VCK28" si="7477">VCI28*$C$28</f>
        <v>5.2178853106343814E+36</v>
      </c>
      <c r="VCM28" s="160">
        <f t="shared" ref="VCM28" si="7478">VCK28*$C$28</f>
        <v>5.2700641637407251E+36</v>
      </c>
      <c r="VCO28" s="160">
        <f t="shared" ref="VCO28" si="7479">VCM28*$C$28</f>
        <v>5.3227648053781326E+36</v>
      </c>
      <c r="VCQ28" s="160">
        <f t="shared" ref="VCQ28" si="7480">VCO28*$C$28</f>
        <v>5.3759924534319139E+36</v>
      </c>
      <c r="VCS28" s="160">
        <f t="shared" ref="VCS28" si="7481">VCQ28*$C$28</f>
        <v>5.4297523779662329E+36</v>
      </c>
      <c r="VCU28" s="160">
        <f t="shared" ref="VCU28" si="7482">VCS28*$C$28</f>
        <v>5.4840499017458954E+36</v>
      </c>
      <c r="VCW28" s="160">
        <f t="shared" ref="VCW28" si="7483">VCU28*$C$28</f>
        <v>5.5388904007633546E+36</v>
      </c>
      <c r="VCY28" s="160">
        <f t="shared" ref="VCY28" si="7484">VCW28*$C$28</f>
        <v>5.5942793047709877E+36</v>
      </c>
      <c r="VDA28" s="160">
        <f t="shared" ref="VDA28" si="7485">VCY28*$C$28</f>
        <v>5.6502220978186975E+36</v>
      </c>
      <c r="VDC28" s="160">
        <f t="shared" ref="VDC28" si="7486">VDA28*$C$28</f>
        <v>5.7067243187968851E+36</v>
      </c>
      <c r="VDE28" s="160">
        <f t="shared" ref="VDE28" si="7487">VDC28*$C$28</f>
        <v>5.7637915619848538E+36</v>
      </c>
      <c r="VDG28" s="160">
        <f t="shared" ref="VDG28" si="7488">VDE28*$C$28</f>
        <v>5.8214294776047023E+36</v>
      </c>
      <c r="VDI28" s="160">
        <f t="shared" ref="VDI28" si="7489">VDG28*$C$28</f>
        <v>5.8796437723807497E+36</v>
      </c>
      <c r="VDK28" s="160">
        <f t="shared" ref="VDK28" si="7490">VDI28*$C$28</f>
        <v>5.9384402101045576E+36</v>
      </c>
      <c r="VDM28" s="160">
        <f t="shared" ref="VDM28" si="7491">VDK28*$C$28</f>
        <v>5.9978246122056031E+36</v>
      </c>
      <c r="VDO28" s="160">
        <f t="shared" ref="VDO28" si="7492">VDM28*$C$28</f>
        <v>6.0578028583276592E+36</v>
      </c>
      <c r="VDQ28" s="160">
        <f t="shared" ref="VDQ28" si="7493">VDO28*$C$28</f>
        <v>6.1183808869109358E+36</v>
      </c>
      <c r="VDS28" s="160">
        <f t="shared" ref="VDS28" si="7494">VDQ28*$C$28</f>
        <v>6.1795646957800457E+36</v>
      </c>
      <c r="VDU28" s="160">
        <f t="shared" ref="VDU28" si="7495">VDS28*$C$28</f>
        <v>6.2413603427378462E+36</v>
      </c>
      <c r="VDW28" s="160">
        <f t="shared" ref="VDW28" si="7496">VDU28*$C$28</f>
        <v>6.3037739461652253E+36</v>
      </c>
      <c r="VDY28" s="160">
        <f t="shared" ref="VDY28" si="7497">VDW28*$C$28</f>
        <v>6.3668116856268775E+36</v>
      </c>
      <c r="VEA28" s="160">
        <f t="shared" ref="VEA28" si="7498">VDY28*$C$28</f>
        <v>6.4304798024831469E+36</v>
      </c>
      <c r="VEC28" s="160">
        <f t="shared" ref="VEC28" si="7499">VEA28*$C$28</f>
        <v>6.4947846005079789E+36</v>
      </c>
      <c r="VEE28" s="160">
        <f t="shared" ref="VEE28" si="7500">VEC28*$C$28</f>
        <v>6.5597324465130585E+36</v>
      </c>
      <c r="VEG28" s="160">
        <f t="shared" ref="VEG28" si="7501">VEE28*$C$28</f>
        <v>6.6253297709781889E+36</v>
      </c>
      <c r="VEI28" s="160">
        <f t="shared" ref="VEI28" si="7502">VEG28*$C$28</f>
        <v>6.6915830686879706E+36</v>
      </c>
      <c r="VEK28" s="160">
        <f t="shared" ref="VEK28" si="7503">VEI28*$C$28</f>
        <v>6.7584988993748509E+36</v>
      </c>
      <c r="VEM28" s="160">
        <f t="shared" ref="VEM28" si="7504">VEK28*$C$28</f>
        <v>6.8260838883685991E+36</v>
      </c>
      <c r="VEO28" s="160">
        <f t="shared" ref="VEO28" si="7505">VEM28*$C$28</f>
        <v>6.8943447272522857E+36</v>
      </c>
      <c r="VEQ28" s="160">
        <f t="shared" ref="VEQ28" si="7506">VEO28*$C$28</f>
        <v>6.9632881745248092E+36</v>
      </c>
      <c r="VES28" s="160">
        <f t="shared" ref="VES28" si="7507">VEQ28*$C$28</f>
        <v>7.0329210562700577E+36</v>
      </c>
      <c r="VEU28" s="160">
        <f t="shared" ref="VEU28" si="7508">VES28*$C$28</f>
        <v>7.1032502668327588E+36</v>
      </c>
      <c r="VEW28" s="160">
        <f t="shared" ref="VEW28" si="7509">VEU28*$C$28</f>
        <v>7.174282769501087E+36</v>
      </c>
      <c r="VEY28" s="160">
        <f t="shared" ref="VEY28" si="7510">VEW28*$C$28</f>
        <v>7.2460255971960985E+36</v>
      </c>
      <c r="VFA28" s="160">
        <f t="shared" ref="VFA28" si="7511">VEY28*$C$28</f>
        <v>7.3184858531680593E+36</v>
      </c>
      <c r="VFC28" s="160">
        <f t="shared" ref="VFC28" si="7512">VFA28*$C$28</f>
        <v>7.3916707116997394E+36</v>
      </c>
      <c r="VFE28" s="160">
        <f t="shared" ref="VFE28" si="7513">VFC28*$C$28</f>
        <v>7.4655874188167365E+36</v>
      </c>
      <c r="VFG28" s="160">
        <f t="shared" ref="VFG28" si="7514">VFE28*$C$28</f>
        <v>7.5402432930049043E+36</v>
      </c>
      <c r="VFI28" s="160">
        <f t="shared" ref="VFI28" si="7515">VFG28*$C$28</f>
        <v>7.6156457259349532E+36</v>
      </c>
      <c r="VFK28" s="160">
        <f t="shared" ref="VFK28" si="7516">VFI28*$C$28</f>
        <v>7.6918021831943027E+36</v>
      </c>
      <c r="VFM28" s="160">
        <f t="shared" ref="VFM28" si="7517">VFK28*$C$28</f>
        <v>7.7687202050262454E+36</v>
      </c>
      <c r="VFO28" s="160">
        <f t="shared" ref="VFO28" si="7518">VFM28*$C$28</f>
        <v>7.8464074070765077E+36</v>
      </c>
      <c r="VFQ28" s="160">
        <f t="shared" ref="VFQ28" si="7519">VFO28*$C$28</f>
        <v>7.9248714811472729E+36</v>
      </c>
      <c r="VFS28" s="160">
        <f t="shared" ref="VFS28" si="7520">VFQ28*$C$28</f>
        <v>8.0041201959587453E+36</v>
      </c>
      <c r="VFU28" s="160">
        <f t="shared" ref="VFU28" si="7521">VFS28*$C$28</f>
        <v>8.0841613979183327E+36</v>
      </c>
      <c r="VFW28" s="160">
        <f t="shared" ref="VFW28" si="7522">VFU28*$C$28</f>
        <v>8.1650030118975159E+36</v>
      </c>
      <c r="VFY28" s="160">
        <f t="shared" ref="VFY28" si="7523">VFW28*$C$28</f>
        <v>8.2466530420164912E+36</v>
      </c>
      <c r="VGA28" s="160">
        <f t="shared" ref="VGA28" si="7524">VFY28*$C$28</f>
        <v>8.3291195724366564E+36</v>
      </c>
      <c r="VGC28" s="160">
        <f t="shared" ref="VGC28" si="7525">VGA28*$C$28</f>
        <v>8.412410768161023E+36</v>
      </c>
      <c r="VGE28" s="160">
        <f t="shared" ref="VGE28" si="7526">VGC28*$C$28</f>
        <v>8.4965348758426339E+36</v>
      </c>
      <c r="VGG28" s="160">
        <f t="shared" ref="VGG28" si="7527">VGE28*$C$28</f>
        <v>8.5815002246010598E+36</v>
      </c>
      <c r="VGI28" s="160">
        <f t="shared" ref="VGI28" si="7528">VGG28*$C$28</f>
        <v>8.6673152268470707E+36</v>
      </c>
      <c r="VGK28" s="160">
        <f t="shared" ref="VGK28" si="7529">VGI28*$C$28</f>
        <v>8.753988379115542E+36</v>
      </c>
      <c r="VGM28" s="160">
        <f t="shared" ref="VGM28" si="7530">VGK28*$C$28</f>
        <v>8.841528262906697E+36</v>
      </c>
      <c r="VGO28" s="160">
        <f t="shared" ref="VGO28" si="7531">VGM28*$C$28</f>
        <v>8.9299435455357645E+36</v>
      </c>
      <c r="VGQ28" s="160">
        <f t="shared" ref="VGQ28" si="7532">VGO28*$C$28</f>
        <v>9.0192429809911225E+36</v>
      </c>
      <c r="VGS28" s="160">
        <f t="shared" ref="VGS28" si="7533">VGQ28*$C$28</f>
        <v>9.109435410801034E+36</v>
      </c>
      <c r="VGU28" s="160">
        <f t="shared" ref="VGU28" si="7534">VGS28*$C$28</f>
        <v>9.2005297649090445E+36</v>
      </c>
      <c r="VGW28" s="160">
        <f t="shared" ref="VGW28" si="7535">VGU28*$C$28</f>
        <v>9.2925350625581347E+36</v>
      </c>
      <c r="VGY28" s="160">
        <f t="shared" ref="VGY28" si="7536">VGW28*$C$28</f>
        <v>9.3854604131837155E+36</v>
      </c>
      <c r="VHA28" s="160">
        <f t="shared" ref="VHA28" si="7537">VGY28*$C$28</f>
        <v>9.4793150173155531E+36</v>
      </c>
      <c r="VHC28" s="160">
        <f t="shared" ref="VHC28" si="7538">VHA28*$C$28</f>
        <v>9.5741081674887081E+36</v>
      </c>
      <c r="VHE28" s="160">
        <f t="shared" ref="VHE28" si="7539">VHC28*$C$28</f>
        <v>9.6698492491635949E+36</v>
      </c>
      <c r="VHG28" s="160">
        <f t="shared" ref="VHG28" si="7540">VHE28*$C$28</f>
        <v>9.7665477416552306E+36</v>
      </c>
      <c r="VHI28" s="160">
        <f t="shared" ref="VHI28" si="7541">VHG28*$C$28</f>
        <v>9.8642132190717833E+36</v>
      </c>
      <c r="VHK28" s="160">
        <f t="shared" ref="VHK28" si="7542">VHI28*$C$28</f>
        <v>9.9628553512625011E+36</v>
      </c>
      <c r="VHM28" s="160">
        <f t="shared" ref="VHM28" si="7543">VHK28*$C$28</f>
        <v>1.0062483904775127E+37</v>
      </c>
      <c r="VHO28" s="160">
        <f t="shared" ref="VHO28" si="7544">VHM28*$C$28</f>
        <v>1.0163108743822878E+37</v>
      </c>
      <c r="VHQ28" s="160">
        <f t="shared" ref="VHQ28" si="7545">VHO28*$C$28</f>
        <v>1.0264739831261106E+37</v>
      </c>
      <c r="VHS28" s="160">
        <f t="shared" ref="VHS28" si="7546">VHQ28*$C$28</f>
        <v>1.0367387229573717E+37</v>
      </c>
      <c r="VHU28" s="160">
        <f t="shared" ref="VHU28" si="7547">VHS28*$C$28</f>
        <v>1.0471061101869454E+37</v>
      </c>
      <c r="VHW28" s="160">
        <f t="shared" ref="VHW28" si="7548">VHU28*$C$28</f>
        <v>1.0575771712888149E+37</v>
      </c>
      <c r="VHY28" s="160">
        <f t="shared" ref="VHY28" si="7549">VHW28*$C$28</f>
        <v>1.068152943001703E+37</v>
      </c>
      <c r="VIA28" s="160">
        <f t="shared" ref="VIA28" si="7550">VHY28*$C$28</f>
        <v>1.07883447243172E+37</v>
      </c>
      <c r="VIC28" s="160">
        <f t="shared" ref="VIC28" si="7551">VIA28*$C$28</f>
        <v>1.0896228171560372E+37</v>
      </c>
      <c r="VIE28" s="160">
        <f t="shared" ref="VIE28" si="7552">VIC28*$C$28</f>
        <v>1.1005190453275977E+37</v>
      </c>
      <c r="VIG28" s="160">
        <f t="shared" ref="VIG28" si="7553">VIE28*$C$28</f>
        <v>1.1115242357808736E+37</v>
      </c>
      <c r="VII28" s="160">
        <f t="shared" ref="VII28" si="7554">VIG28*$C$28</f>
        <v>1.1226394781386824E+37</v>
      </c>
      <c r="VIK28" s="160">
        <f t="shared" ref="VIK28" si="7555">VII28*$C$28</f>
        <v>1.1338658729200692E+37</v>
      </c>
      <c r="VIM28" s="160">
        <f t="shared" ref="VIM28" si="7556">VIK28*$C$28</f>
        <v>1.14520453164927E+37</v>
      </c>
      <c r="VIO28" s="160">
        <f t="shared" ref="VIO28" si="7557">VIM28*$C$28</f>
        <v>1.1566565769657626E+37</v>
      </c>
      <c r="VIQ28" s="160">
        <f t="shared" ref="VIQ28" si="7558">VIO28*$C$28</f>
        <v>1.1682231427354203E+37</v>
      </c>
      <c r="VIS28" s="160">
        <f t="shared" ref="VIS28" si="7559">VIQ28*$C$28</f>
        <v>1.1799053741627744E+37</v>
      </c>
      <c r="VIU28" s="160">
        <f t="shared" ref="VIU28" si="7560">VIS28*$C$28</f>
        <v>1.1917044279044021E+37</v>
      </c>
      <c r="VIW28" s="160">
        <f t="shared" ref="VIW28" si="7561">VIU28*$C$28</f>
        <v>1.2036214721834461E+37</v>
      </c>
      <c r="VIY28" s="160">
        <f t="shared" ref="VIY28" si="7562">VIW28*$C$28</f>
        <v>1.2156576869052805E+37</v>
      </c>
      <c r="VJA28" s="160">
        <f t="shared" ref="VJA28" si="7563">VIY28*$C$28</f>
        <v>1.2278142637743332E+37</v>
      </c>
      <c r="VJC28" s="160">
        <f t="shared" ref="VJC28" si="7564">VJA28*$C$28</f>
        <v>1.2400924064120765E+37</v>
      </c>
      <c r="VJE28" s="160">
        <f t="shared" ref="VJE28" si="7565">VJC28*$C$28</f>
        <v>1.2524933304761973E+37</v>
      </c>
      <c r="VJG28" s="160">
        <f t="shared" ref="VJG28" si="7566">VJE28*$C$28</f>
        <v>1.2650182637809592E+37</v>
      </c>
      <c r="VJI28" s="160">
        <f t="shared" ref="VJI28" si="7567">VJG28*$C$28</f>
        <v>1.2776684464187687E+37</v>
      </c>
      <c r="VJK28" s="160">
        <f t="shared" ref="VJK28" si="7568">VJI28*$C$28</f>
        <v>1.2904451308829565E+37</v>
      </c>
      <c r="VJM28" s="160">
        <f t="shared" ref="VJM28" si="7569">VJK28*$C$28</f>
        <v>1.3033495821917862E+37</v>
      </c>
      <c r="VJO28" s="160">
        <f t="shared" ref="VJO28" si="7570">VJM28*$C$28</f>
        <v>1.3163830780137042E+37</v>
      </c>
      <c r="VJQ28" s="160">
        <f t="shared" ref="VJQ28" si="7571">VJO28*$C$28</f>
        <v>1.3295469087938413E+37</v>
      </c>
      <c r="VJS28" s="160">
        <f t="shared" ref="VJS28" si="7572">VJQ28*$C$28</f>
        <v>1.3428423778817798E+37</v>
      </c>
      <c r="VJU28" s="160">
        <f t="shared" ref="VJU28" si="7573">VJS28*$C$28</f>
        <v>1.3562708016605976E+37</v>
      </c>
      <c r="VJW28" s="160">
        <f t="shared" ref="VJW28" si="7574">VJU28*$C$28</f>
        <v>1.3698335096772035E+37</v>
      </c>
      <c r="VJY28" s="160">
        <f t="shared" ref="VJY28" si="7575">VJW28*$C$28</f>
        <v>1.3835318447739755E+37</v>
      </c>
      <c r="VKA28" s="160">
        <f t="shared" ref="VKA28" si="7576">VJY28*$C$28</f>
        <v>1.3973671632217152E+37</v>
      </c>
      <c r="VKC28" s="160">
        <f t="shared" ref="VKC28" si="7577">VKA28*$C$28</f>
        <v>1.4113408348539325E+37</v>
      </c>
      <c r="VKE28" s="160">
        <f t="shared" ref="VKE28" si="7578">VKC28*$C$28</f>
        <v>1.4254542432024719E+37</v>
      </c>
      <c r="VKG28" s="160">
        <f t="shared" ref="VKG28" si="7579">VKE28*$C$28</f>
        <v>1.4397087856344967E+37</v>
      </c>
      <c r="VKI28" s="160">
        <f t="shared" ref="VKI28" si="7580">VKG28*$C$28</f>
        <v>1.4541058734908417E+37</v>
      </c>
      <c r="VKK28" s="160">
        <f t="shared" ref="VKK28" si="7581">VKI28*$C$28</f>
        <v>1.4686469322257501E+37</v>
      </c>
      <c r="VKM28" s="160">
        <f t="shared" ref="VKM28" si="7582">VKK28*$C$28</f>
        <v>1.4833334015480076E+37</v>
      </c>
      <c r="VKO28" s="160">
        <f t="shared" ref="VKO28" si="7583">VKM28*$C$28</f>
        <v>1.4981667355634877E+37</v>
      </c>
      <c r="VKQ28" s="160">
        <f t="shared" ref="VKQ28" si="7584">VKO28*$C$28</f>
        <v>1.5131484029191226E+37</v>
      </c>
      <c r="VKS28" s="160">
        <f t="shared" ref="VKS28" si="7585">VKQ28*$C$28</f>
        <v>1.5282798869483138E+37</v>
      </c>
      <c r="VKU28" s="160">
        <f t="shared" ref="VKU28" si="7586">VKS28*$C$28</f>
        <v>1.543562685817797E+37</v>
      </c>
      <c r="VKW28" s="160">
        <f t="shared" ref="VKW28" si="7587">VKU28*$C$28</f>
        <v>1.558998312675975E+37</v>
      </c>
      <c r="VKY28" s="160">
        <f t="shared" ref="VKY28" si="7588">VKW28*$C$28</f>
        <v>1.5745882958027349E+37</v>
      </c>
      <c r="VLA28" s="160">
        <f t="shared" ref="VLA28" si="7589">VKY28*$C$28</f>
        <v>1.5903341787607623E+37</v>
      </c>
      <c r="VLC28" s="160">
        <f t="shared" ref="VLC28" si="7590">VLA28*$C$28</f>
        <v>1.6062375205483699E+37</v>
      </c>
      <c r="VLE28" s="160">
        <f t="shared" ref="VLE28" si="7591">VLC28*$C$28</f>
        <v>1.6222998957538536E+37</v>
      </c>
      <c r="VLG28" s="160">
        <f t="shared" ref="VLG28" si="7592">VLE28*$C$28</f>
        <v>1.6385228947113922E+37</v>
      </c>
      <c r="VLI28" s="160">
        <f t="shared" ref="VLI28" si="7593">VLG28*$C$28</f>
        <v>1.6549081236585062E+37</v>
      </c>
      <c r="VLK28" s="160">
        <f t="shared" ref="VLK28" si="7594">VLI28*$C$28</f>
        <v>1.6714572048950911E+37</v>
      </c>
      <c r="VLM28" s="160">
        <f t="shared" ref="VLM28" si="7595">VLK28*$C$28</f>
        <v>1.688171776944042E+37</v>
      </c>
      <c r="VLO28" s="160">
        <f t="shared" ref="VLO28" si="7596">VLM28*$C$28</f>
        <v>1.7050534947134824E+37</v>
      </c>
      <c r="VLQ28" s="160">
        <f t="shared" ref="VLQ28" si="7597">VLO28*$C$28</f>
        <v>1.7221040296606172E+37</v>
      </c>
      <c r="VLS28" s="160">
        <f t="shared" ref="VLS28" si="7598">VLQ28*$C$28</f>
        <v>1.7393250699572233E+37</v>
      </c>
      <c r="VLU28" s="160">
        <f t="shared" ref="VLU28" si="7599">VLS28*$C$28</f>
        <v>1.7567183206567956E+37</v>
      </c>
      <c r="VLW28" s="160">
        <f t="shared" ref="VLW28" si="7600">VLU28*$C$28</f>
        <v>1.7742855038633636E+37</v>
      </c>
      <c r="VLY28" s="160">
        <f t="shared" ref="VLY28" si="7601">VLW28*$C$28</f>
        <v>1.7920283589019972E+37</v>
      </c>
      <c r="VMA28" s="160">
        <f t="shared" ref="VMA28" si="7602">VLY28*$C$28</f>
        <v>1.8099486424910171E+37</v>
      </c>
      <c r="VMC28" s="160">
        <f t="shared" ref="VMC28" si="7603">VMA28*$C$28</f>
        <v>1.8280481289159272E+37</v>
      </c>
      <c r="VME28" s="160">
        <f t="shared" ref="VME28" si="7604">VMC28*$C$28</f>
        <v>1.8463286102050864E+37</v>
      </c>
      <c r="VMG28" s="160">
        <f t="shared" ref="VMG28" si="7605">VME28*$C$28</f>
        <v>1.8647918963071374E+37</v>
      </c>
      <c r="VMI28" s="160">
        <f t="shared" ref="VMI28" si="7606">VMG28*$C$28</f>
        <v>1.8834398152702089E+37</v>
      </c>
      <c r="VMK28" s="160">
        <f t="shared" ref="VMK28" si="7607">VMI28*$C$28</f>
        <v>1.902274213422911E+37</v>
      </c>
      <c r="VMM28" s="160">
        <f t="shared" ref="VMM28" si="7608">VMK28*$C$28</f>
        <v>1.92129695555714E+37</v>
      </c>
      <c r="VMO28" s="160">
        <f t="shared" ref="VMO28" si="7609">VMM28*$C$28</f>
        <v>1.9405099251127114E+37</v>
      </c>
      <c r="VMQ28" s="160">
        <f t="shared" ref="VMQ28" si="7610">VMO28*$C$28</f>
        <v>1.9599150243638385E+37</v>
      </c>
      <c r="VMS28" s="160">
        <f t="shared" ref="VMS28" si="7611">VMQ28*$C$28</f>
        <v>1.9795141746074768E+37</v>
      </c>
      <c r="VMU28" s="160">
        <f t="shared" ref="VMU28" si="7612">VMS28*$C$28</f>
        <v>1.9993093163535517E+37</v>
      </c>
      <c r="VMW28" s="160">
        <f t="shared" ref="VMW28" si="7613">VMU28*$C$28</f>
        <v>2.0193024095170873E+37</v>
      </c>
      <c r="VMY28" s="160">
        <f t="shared" ref="VMY28" si="7614">VMW28*$C$28</f>
        <v>2.0394954336122583E+37</v>
      </c>
      <c r="VNA28" s="160">
        <f t="shared" ref="VNA28" si="7615">VMY28*$C$28</f>
        <v>2.0598903879483809E+37</v>
      </c>
      <c r="VNC28" s="160">
        <f t="shared" ref="VNC28" si="7616">VNA28*$C$28</f>
        <v>2.0804892918278647E+37</v>
      </c>
      <c r="VNE28" s="160">
        <f t="shared" ref="VNE28" si="7617">VNC28*$C$28</f>
        <v>2.1012941847461433E+37</v>
      </c>
      <c r="VNG28" s="160">
        <f t="shared" ref="VNG28" si="7618">VNE28*$C$28</f>
        <v>2.1223071265936046E+37</v>
      </c>
      <c r="VNI28" s="160">
        <f t="shared" ref="VNI28" si="7619">VNG28*$C$28</f>
        <v>2.1435301978595408E+37</v>
      </c>
      <c r="VNK28" s="160">
        <f t="shared" ref="VNK28" si="7620">VNI28*$C$28</f>
        <v>2.1649654998381362E+37</v>
      </c>
      <c r="VNM28" s="160">
        <f t="shared" ref="VNM28" si="7621">VNK28*$C$28</f>
        <v>2.1866151548365174E+37</v>
      </c>
      <c r="VNO28" s="160">
        <f t="shared" ref="VNO28" si="7622">VNM28*$C$28</f>
        <v>2.2084813063848824E+37</v>
      </c>
      <c r="VNQ28" s="160">
        <f t="shared" ref="VNQ28" si="7623">VNO28*$C$28</f>
        <v>2.2305661194487311E+37</v>
      </c>
      <c r="VNS28" s="160">
        <f t="shared" ref="VNS28" si="7624">VNQ28*$C$28</f>
        <v>2.2528717806432183E+37</v>
      </c>
      <c r="VNU28" s="160">
        <f t="shared" ref="VNU28" si="7625">VNS28*$C$28</f>
        <v>2.2754004984496506E+37</v>
      </c>
      <c r="VNW28" s="160">
        <f t="shared" ref="VNW28" si="7626">VNU28*$C$28</f>
        <v>2.2981545034341472E+37</v>
      </c>
      <c r="VNY28" s="160">
        <f t="shared" ref="VNY28" si="7627">VNW28*$C$28</f>
        <v>2.3211360484684886E+37</v>
      </c>
      <c r="VOA28" s="160">
        <f t="shared" ref="VOA28" si="7628">VNY28*$C$28</f>
        <v>2.3443474089531736E+37</v>
      </c>
      <c r="VOC28" s="160">
        <f t="shared" ref="VOC28" si="7629">VOA28*$C$28</f>
        <v>2.3677908830427055E+37</v>
      </c>
      <c r="VOE28" s="160">
        <f t="shared" ref="VOE28" si="7630">VOC28*$C$28</f>
        <v>2.3914687918731325E+37</v>
      </c>
      <c r="VOG28" s="160">
        <f t="shared" ref="VOG28" si="7631">VOE28*$C$28</f>
        <v>2.4153834797918641E+37</v>
      </c>
      <c r="VOI28" s="160">
        <f t="shared" ref="VOI28" si="7632">VOG28*$C$28</f>
        <v>2.4395373145897826E+37</v>
      </c>
      <c r="VOK28" s="160">
        <f t="shared" ref="VOK28" si="7633">VOI28*$C$28</f>
        <v>2.4639326877356806E+37</v>
      </c>
      <c r="VOM28" s="160">
        <f t="shared" ref="VOM28" si="7634">VOK28*$C$28</f>
        <v>2.4885720146130374E+37</v>
      </c>
      <c r="VOO28" s="160">
        <f t="shared" ref="VOO28" si="7635">VOM28*$C$28</f>
        <v>2.5134577347591676E+37</v>
      </c>
      <c r="VOQ28" s="160">
        <f t="shared" ref="VOQ28" si="7636">VOO28*$C$28</f>
        <v>2.5385923121067591E+37</v>
      </c>
      <c r="VOS28" s="160">
        <f t="shared" ref="VOS28" si="7637">VOQ28*$C$28</f>
        <v>2.5639782352278265E+37</v>
      </c>
      <c r="VOU28" s="160">
        <f t="shared" ref="VOU28" si="7638">VOS28*$C$28</f>
        <v>2.5896180175801049E+37</v>
      </c>
      <c r="VOW28" s="160">
        <f t="shared" ref="VOW28" si="7639">VOU28*$C$28</f>
        <v>2.615514197755906E+37</v>
      </c>
      <c r="VOY28" s="160">
        <f t="shared" ref="VOY28" si="7640">VOW28*$C$28</f>
        <v>2.6416693397334649E+37</v>
      </c>
      <c r="VPA28" s="160">
        <f t="shared" ref="VPA28" si="7641">VOY28*$C$28</f>
        <v>2.6680860331307996E+37</v>
      </c>
      <c r="VPC28" s="160">
        <f t="shared" ref="VPC28" si="7642">VPA28*$C$28</f>
        <v>2.6947668934621074E+37</v>
      </c>
      <c r="VPE28" s="160">
        <f t="shared" ref="VPE28" si="7643">VPC28*$C$28</f>
        <v>2.7217145623967284E+37</v>
      </c>
      <c r="VPG28" s="160">
        <f t="shared" ref="VPG28" si="7644">VPE28*$C$28</f>
        <v>2.7489317080206956E+37</v>
      </c>
      <c r="VPI28" s="160">
        <f t="shared" ref="VPI28" si="7645">VPG28*$C$28</f>
        <v>2.7764210251009025E+37</v>
      </c>
      <c r="VPK28" s="160">
        <f t="shared" ref="VPK28" si="7646">VPI28*$C$28</f>
        <v>2.8041852353519117E+37</v>
      </c>
      <c r="VPM28" s="160">
        <f t="shared" ref="VPM28" si="7647">VPK28*$C$28</f>
        <v>2.8322270877054308E+37</v>
      </c>
      <c r="VPO28" s="160">
        <f t="shared" ref="VPO28" si="7648">VPM28*$C$28</f>
        <v>2.8605493585824851E+37</v>
      </c>
      <c r="VPQ28" s="160">
        <f t="shared" ref="VPQ28" si="7649">VPO28*$C$28</f>
        <v>2.88915485216831E+37</v>
      </c>
      <c r="VPS28" s="160">
        <f t="shared" ref="VPS28" si="7650">VPQ28*$C$28</f>
        <v>2.9180464006899932E+37</v>
      </c>
      <c r="VPU28" s="160">
        <f t="shared" ref="VPU28" si="7651">VPS28*$C$28</f>
        <v>2.9472268646968931E+37</v>
      </c>
      <c r="VPW28" s="160">
        <f t="shared" ref="VPW28" si="7652">VPU28*$C$28</f>
        <v>2.9766991333438622E+37</v>
      </c>
      <c r="VPY28" s="160">
        <f t="shared" ref="VPY28" si="7653">VPW28*$C$28</f>
        <v>3.0064661246773007E+37</v>
      </c>
      <c r="VQA28" s="160">
        <f t="shared" ref="VQA28" si="7654">VPY28*$C$28</f>
        <v>3.0365307859240739E+37</v>
      </c>
      <c r="VQC28" s="160">
        <f t="shared" ref="VQC28" si="7655">VQA28*$C$28</f>
        <v>3.0668960937833145E+37</v>
      </c>
      <c r="VQE28" s="160">
        <f t="shared" ref="VQE28" si="7656">VQC28*$C$28</f>
        <v>3.0975650547211479E+37</v>
      </c>
      <c r="VQG28" s="160">
        <f t="shared" ref="VQG28" si="7657">VQE28*$C$28</f>
        <v>3.1285407052683596E+37</v>
      </c>
      <c r="VQI28" s="160">
        <f t="shared" ref="VQI28" si="7658">VQG28*$C$28</f>
        <v>3.1598261123210433E+37</v>
      </c>
      <c r="VQK28" s="160">
        <f t="shared" ref="VQK28" si="7659">VQI28*$C$28</f>
        <v>3.1914243734442539E+37</v>
      </c>
      <c r="VQM28" s="160">
        <f t="shared" ref="VQM28" si="7660">VQK28*$C$28</f>
        <v>3.2233386171786962E+37</v>
      </c>
      <c r="VQO28" s="160">
        <f t="shared" ref="VQO28" si="7661">VQM28*$C$28</f>
        <v>3.2555720033504833E+37</v>
      </c>
      <c r="VQQ28" s="160">
        <f t="shared" ref="VQQ28" si="7662">VQO28*$C$28</f>
        <v>3.2881277233839883E+37</v>
      </c>
      <c r="VQS28" s="160">
        <f t="shared" ref="VQS28" si="7663">VQQ28*$C$28</f>
        <v>3.3210090006178283E+37</v>
      </c>
      <c r="VQU28" s="160">
        <f t="shared" ref="VQU28" si="7664">VQS28*$C$28</f>
        <v>3.3542190906240068E+37</v>
      </c>
      <c r="VQW28" s="160">
        <f t="shared" ref="VQW28" si="7665">VQU28*$C$28</f>
        <v>3.3877612815302467E+37</v>
      </c>
      <c r="VQY28" s="160">
        <f t="shared" ref="VQY28" si="7666">VQW28*$C$28</f>
        <v>3.4216388943455491E+37</v>
      </c>
      <c r="VRA28" s="160">
        <f t="shared" ref="VRA28" si="7667">VQY28*$C$28</f>
        <v>3.4558552832890044E+37</v>
      </c>
      <c r="VRC28" s="160">
        <f t="shared" ref="VRC28" si="7668">VRA28*$C$28</f>
        <v>3.4904138361218945E+37</v>
      </c>
      <c r="VRE28" s="160">
        <f t="shared" ref="VRE28" si="7669">VRC28*$C$28</f>
        <v>3.5253179744831135E+37</v>
      </c>
      <c r="VRG28" s="160">
        <f t="shared" ref="VRG28" si="7670">VRE28*$C$28</f>
        <v>3.5605711542279447E+37</v>
      </c>
      <c r="VRI28" s="160">
        <f t="shared" ref="VRI28" si="7671">VRG28*$C$28</f>
        <v>3.5961768657702244E+37</v>
      </c>
      <c r="VRK28" s="160">
        <f t="shared" ref="VRK28" si="7672">VRI28*$C$28</f>
        <v>3.6321386344279266E+37</v>
      </c>
      <c r="VRM28" s="160">
        <f t="shared" ref="VRM28" si="7673">VRK28*$C$28</f>
        <v>3.6684600207722057E+37</v>
      </c>
      <c r="VRO28" s="160">
        <f t="shared" ref="VRO28" si="7674">VRM28*$C$28</f>
        <v>3.7051446209799276E+37</v>
      </c>
      <c r="VRQ28" s="160">
        <f t="shared" ref="VRQ28" si="7675">VRO28*$C$28</f>
        <v>3.7421960671897268E+37</v>
      </c>
      <c r="VRS28" s="160">
        <f t="shared" ref="VRS28" si="7676">VRQ28*$C$28</f>
        <v>3.779618027861624E+37</v>
      </c>
      <c r="VRU28" s="160">
        <f t="shared" ref="VRU28" si="7677">VRS28*$C$28</f>
        <v>3.8174142081402402E+37</v>
      </c>
      <c r="VRW28" s="160">
        <f t="shared" ref="VRW28" si="7678">VRU28*$C$28</f>
        <v>3.8555883502216428E+37</v>
      </c>
      <c r="VRY28" s="160">
        <f t="shared" ref="VRY28" si="7679">VRW28*$C$28</f>
        <v>3.8941442337238594E+37</v>
      </c>
      <c r="VSA28" s="160">
        <f t="shared" ref="VSA28" si="7680">VRY28*$C$28</f>
        <v>3.9330856760610982E+37</v>
      </c>
      <c r="VSC28" s="160">
        <f t="shared" ref="VSC28" si="7681">VSA28*$C$28</f>
        <v>3.9724165328217094E+37</v>
      </c>
      <c r="VSE28" s="160">
        <f t="shared" ref="VSE28" si="7682">VSC28*$C$28</f>
        <v>4.0121406981499265E+37</v>
      </c>
      <c r="VSG28" s="160">
        <f t="shared" ref="VSG28" si="7683">VSE28*$C$28</f>
        <v>4.052262105131426E+37</v>
      </c>
      <c r="VSI28" s="160">
        <f t="shared" ref="VSI28" si="7684">VSG28*$C$28</f>
        <v>4.0927847261827404E+37</v>
      </c>
      <c r="VSK28" s="160">
        <f t="shared" ref="VSK28" si="7685">VSI28*$C$28</f>
        <v>4.1337125734445679E+37</v>
      </c>
      <c r="VSM28" s="160">
        <f t="shared" ref="VSM28" si="7686">VSK28*$C$28</f>
        <v>4.1750496991790137E+37</v>
      </c>
      <c r="VSO28" s="160">
        <f t="shared" ref="VSO28" si="7687">VSM28*$C$28</f>
        <v>4.2168001961708041E+37</v>
      </c>
      <c r="VSQ28" s="160">
        <f t="shared" ref="VSQ28" si="7688">VSO28*$C$28</f>
        <v>4.2589681981325118E+37</v>
      </c>
      <c r="VSS28" s="160">
        <f t="shared" ref="VSS28" si="7689">VSQ28*$C$28</f>
        <v>4.3015578801138374E+37</v>
      </c>
      <c r="VSU28" s="160">
        <f t="shared" ref="VSU28" si="7690">VSS28*$C$28</f>
        <v>4.3445734589149755E+37</v>
      </c>
      <c r="VSW28" s="160">
        <f t="shared" ref="VSW28" si="7691">VSU28*$C$28</f>
        <v>4.3880191935041257E+37</v>
      </c>
      <c r="VSY28" s="160">
        <f t="shared" ref="VSY28" si="7692">VSW28*$C$28</f>
        <v>4.431899385439167E+37</v>
      </c>
      <c r="VTA28" s="160">
        <f t="shared" ref="VTA28" si="7693">VSY28*$C$28</f>
        <v>4.4762183792935584E+37</v>
      </c>
      <c r="VTC28" s="160">
        <f t="shared" ref="VTC28" si="7694">VTA28*$C$28</f>
        <v>4.5209805630864939E+37</v>
      </c>
      <c r="VTE28" s="160">
        <f t="shared" ref="VTE28" si="7695">VTC28*$C$28</f>
        <v>4.5661903687173588E+37</v>
      </c>
      <c r="VTG28" s="160">
        <f t="shared" ref="VTG28" si="7696">VTE28*$C$28</f>
        <v>4.6118522724045326E+37</v>
      </c>
      <c r="VTI28" s="160">
        <f t="shared" ref="VTI28" si="7697">VTG28*$C$28</f>
        <v>4.6579707951285777E+37</v>
      </c>
      <c r="VTK28" s="160">
        <f t="shared" ref="VTK28" si="7698">VTI28*$C$28</f>
        <v>4.7045505030798638E+37</v>
      </c>
      <c r="VTM28" s="160">
        <f t="shared" ref="VTM28" si="7699">VTK28*$C$28</f>
        <v>4.7515960081106629E+37</v>
      </c>
      <c r="VTO28" s="160">
        <f t="shared" ref="VTO28" si="7700">VTM28*$C$28</f>
        <v>4.7991119681917698E+37</v>
      </c>
      <c r="VTQ28" s="160">
        <f t="shared" ref="VTQ28" si="7701">VTO28*$C$28</f>
        <v>4.8471030878736877E+37</v>
      </c>
      <c r="VTS28" s="160">
        <f t="shared" ref="VTS28" si="7702">VTQ28*$C$28</f>
        <v>4.8955741187524242E+37</v>
      </c>
      <c r="VTU28" s="160">
        <f t="shared" ref="VTU28" si="7703">VTS28*$C$28</f>
        <v>4.9445298599399482E+37</v>
      </c>
      <c r="VTW28" s="160">
        <f t="shared" ref="VTW28" si="7704">VTU28*$C$28</f>
        <v>4.9939751585393478E+37</v>
      </c>
      <c r="VTY28" s="160">
        <f t="shared" ref="VTY28" si="7705">VTW28*$C$28</f>
        <v>5.043914910124741E+37</v>
      </c>
      <c r="VUA28" s="160">
        <f t="shared" ref="VUA28" si="7706">VTY28*$C$28</f>
        <v>5.0943540592259886E+37</v>
      </c>
      <c r="VUC28" s="160">
        <f t="shared" ref="VUC28" si="7707">VUA28*$C$28</f>
        <v>5.1452975998182487E+37</v>
      </c>
      <c r="VUE28" s="160">
        <f t="shared" ref="VUE28" si="7708">VUC28*$C$28</f>
        <v>5.1967505758164316E+37</v>
      </c>
      <c r="VUG28" s="160">
        <f t="shared" ref="VUG28" si="7709">VUE28*$C$28</f>
        <v>5.248718081574596E+37</v>
      </c>
      <c r="VUI28" s="160">
        <f t="shared" ref="VUI28" si="7710">VUG28*$C$28</f>
        <v>5.3012052623903416E+37</v>
      </c>
      <c r="VUK28" s="160">
        <f t="shared" ref="VUK28" si="7711">VUI28*$C$28</f>
        <v>5.3542173150142448E+37</v>
      </c>
      <c r="VUM28" s="160">
        <f t="shared" ref="VUM28" si="7712">VUK28*$C$28</f>
        <v>5.4077594881643877E+37</v>
      </c>
      <c r="VUO28" s="160">
        <f t="shared" ref="VUO28" si="7713">VUM28*$C$28</f>
        <v>5.4618370830460319E+37</v>
      </c>
      <c r="VUQ28" s="160">
        <f t="shared" ref="VUQ28" si="7714">VUO28*$C$28</f>
        <v>5.5164554538764919E+37</v>
      </c>
      <c r="VUS28" s="160">
        <f t="shared" ref="VUS28" si="7715">VUQ28*$C$28</f>
        <v>5.571620008415257E+37</v>
      </c>
      <c r="VUU28" s="160">
        <f t="shared" ref="VUU28" si="7716">VUS28*$C$28</f>
        <v>5.62733620849941E+37</v>
      </c>
      <c r="VUW28" s="160">
        <f t="shared" ref="VUW28" si="7717">VUU28*$C$28</f>
        <v>5.6836095705844039E+37</v>
      </c>
      <c r="VUY28" s="160">
        <f t="shared" ref="VUY28" si="7718">VUW28*$C$28</f>
        <v>5.7404456662902482E+37</v>
      </c>
      <c r="VVA28" s="160">
        <f t="shared" ref="VVA28" si="7719">VUY28*$C$28</f>
        <v>5.7978501229531511E+37</v>
      </c>
      <c r="VVC28" s="160">
        <f t="shared" ref="VVC28" si="7720">VVA28*$C$28</f>
        <v>5.8558286241826822E+37</v>
      </c>
      <c r="VVE28" s="160">
        <f t="shared" ref="VVE28" si="7721">VVC28*$C$28</f>
        <v>5.9143869104245087E+37</v>
      </c>
      <c r="VVG28" s="160">
        <f t="shared" ref="VVG28" si="7722">VVE28*$C$28</f>
        <v>5.9735307795287537E+37</v>
      </c>
      <c r="VVI28" s="160">
        <f t="shared" ref="VVI28" si="7723">VVG28*$C$28</f>
        <v>6.0332660873240417E+37</v>
      </c>
      <c r="VVK28" s="160">
        <f t="shared" ref="VVK28" si="7724">VVI28*$C$28</f>
        <v>6.0935987481972823E+37</v>
      </c>
      <c r="VVM28" s="160">
        <f t="shared" ref="VVM28" si="7725">VVK28*$C$28</f>
        <v>6.1545347356792549E+37</v>
      </c>
      <c r="VVO28" s="160">
        <f t="shared" ref="VVO28" si="7726">VVM28*$C$28</f>
        <v>6.2160800830360474E+37</v>
      </c>
      <c r="VVQ28" s="160">
        <f t="shared" ref="VVQ28" si="7727">VVO28*$C$28</f>
        <v>6.2782408838664081E+37</v>
      </c>
      <c r="VVS28" s="160">
        <f t="shared" ref="VVS28" si="7728">VVQ28*$C$28</f>
        <v>6.3410232927050726E+37</v>
      </c>
      <c r="VVU28" s="160">
        <f t="shared" ref="VVU28" si="7729">VVS28*$C$28</f>
        <v>6.4044335256321235E+37</v>
      </c>
      <c r="VVW28" s="160">
        <f t="shared" ref="VVW28" si="7730">VVU28*$C$28</f>
        <v>6.4684778608884444E+37</v>
      </c>
      <c r="VVY28" s="160">
        <f t="shared" ref="VVY28" si="7731">VVW28*$C$28</f>
        <v>6.5331626394973287E+37</v>
      </c>
      <c r="VWA28" s="160">
        <f t="shared" ref="VWA28" si="7732">VVY28*$C$28</f>
        <v>6.5984942658923021E+37</v>
      </c>
      <c r="VWC28" s="160">
        <f t="shared" ref="VWC28" si="7733">VWA28*$C$28</f>
        <v>6.6644792085512252E+37</v>
      </c>
      <c r="VWE28" s="160">
        <f t="shared" ref="VWE28" si="7734">VWC28*$C$28</f>
        <v>6.7311240006367376E+37</v>
      </c>
      <c r="VWG28" s="160">
        <f t="shared" ref="VWG28" si="7735">VWE28*$C$28</f>
        <v>6.7984352406431052E+37</v>
      </c>
      <c r="VWI28" s="160">
        <f t="shared" ref="VWI28" si="7736">VWG28*$C$28</f>
        <v>6.8664195930495364E+37</v>
      </c>
      <c r="VWK28" s="160">
        <f t="shared" ref="VWK28" si="7737">VWI28*$C$28</f>
        <v>6.935083788980032E+37</v>
      </c>
      <c r="VWM28" s="160">
        <f t="shared" ref="VWM28" si="7738">VWK28*$C$28</f>
        <v>7.0044346268698324E+37</v>
      </c>
      <c r="VWO28" s="160">
        <f t="shared" ref="VWO28" si="7739">VWM28*$C$28</f>
        <v>7.0744789731385303E+37</v>
      </c>
      <c r="VWQ28" s="160">
        <f t="shared" ref="VWQ28" si="7740">VWO28*$C$28</f>
        <v>7.1452237628699153E+37</v>
      </c>
      <c r="VWS28" s="160">
        <f t="shared" ref="VWS28" si="7741">VWQ28*$C$28</f>
        <v>7.2166760004986149E+37</v>
      </c>
      <c r="VWU28" s="160">
        <f t="shared" ref="VWU28" si="7742">VWS28*$C$28</f>
        <v>7.2888427605036015E+37</v>
      </c>
      <c r="VWW28" s="160">
        <f t="shared" ref="VWW28" si="7743">VWU28*$C$28</f>
        <v>7.3617311881086378E+37</v>
      </c>
      <c r="VWY28" s="160">
        <f t="shared" ref="VWY28" si="7744">VWW28*$C$28</f>
        <v>7.4353484999897247E+37</v>
      </c>
      <c r="VXA28" s="160">
        <f t="shared" ref="VXA28" si="7745">VWY28*$C$28</f>
        <v>7.5097019849896217E+37</v>
      </c>
      <c r="VXC28" s="160">
        <f t="shared" ref="VXC28" si="7746">VXA28*$C$28</f>
        <v>7.5847990048395176E+37</v>
      </c>
      <c r="VXE28" s="160">
        <f t="shared" ref="VXE28" si="7747">VXC28*$C$28</f>
        <v>7.660646994887913E+37</v>
      </c>
      <c r="VXG28" s="160">
        <f t="shared" ref="VXG28" si="7748">VXE28*$C$28</f>
        <v>7.7372534648367923E+37</v>
      </c>
      <c r="VXI28" s="160">
        <f t="shared" ref="VXI28" si="7749">VXG28*$C$28</f>
        <v>7.81462599948516E+37</v>
      </c>
      <c r="VXK28" s="160">
        <f t="shared" ref="VXK28" si="7750">VXI28*$C$28</f>
        <v>7.8927722594800116E+37</v>
      </c>
      <c r="VXM28" s="160">
        <f t="shared" ref="VXM28" si="7751">VXK28*$C$28</f>
        <v>7.9716999820748115E+37</v>
      </c>
      <c r="VXO28" s="160">
        <f t="shared" ref="VXO28" si="7752">VXM28*$C$28</f>
        <v>8.0514169818955601E+37</v>
      </c>
      <c r="VXQ28" s="160">
        <f t="shared" ref="VXQ28" si="7753">VXO28*$C$28</f>
        <v>8.1319311517145157E+37</v>
      </c>
      <c r="VXS28" s="160">
        <f t="shared" ref="VXS28" si="7754">VXQ28*$C$28</f>
        <v>8.2132504632316613E+37</v>
      </c>
      <c r="VXU28" s="160">
        <f t="shared" ref="VXU28" si="7755">VXS28*$C$28</f>
        <v>8.2953829678639781E+37</v>
      </c>
      <c r="VXW28" s="160">
        <f t="shared" ref="VXW28" si="7756">VXU28*$C$28</f>
        <v>8.378336797542618E+37</v>
      </c>
      <c r="VXY28" s="160">
        <f t="shared" ref="VXY28" si="7757">VXW28*$C$28</f>
        <v>8.4621201655180442E+37</v>
      </c>
      <c r="VYA28" s="160">
        <f t="shared" ref="VYA28" si="7758">VXY28*$C$28</f>
        <v>8.5467413671732256E+37</v>
      </c>
      <c r="VYC28" s="160">
        <f t="shared" ref="VYC28" si="7759">VYA28*$C$28</f>
        <v>8.6322087808449576E+37</v>
      </c>
      <c r="VYE28" s="160">
        <f t="shared" ref="VYE28" si="7760">VYC28*$C$28</f>
        <v>8.7185308686534077E+37</v>
      </c>
      <c r="VYG28" s="160">
        <f t="shared" ref="VYG28" si="7761">VYE28*$C$28</f>
        <v>8.8057161773399412E+37</v>
      </c>
      <c r="VYI28" s="160">
        <f t="shared" ref="VYI28" si="7762">VYG28*$C$28</f>
        <v>8.8937733391133406E+37</v>
      </c>
      <c r="VYK28" s="160">
        <f t="shared" ref="VYK28" si="7763">VYI28*$C$28</f>
        <v>8.9827110725044748E+37</v>
      </c>
      <c r="VYM28" s="160">
        <f t="shared" ref="VYM28" si="7764">VYK28*$C$28</f>
        <v>9.0725381832295192E+37</v>
      </c>
      <c r="VYO28" s="160">
        <f t="shared" ref="VYO28" si="7765">VYM28*$C$28</f>
        <v>9.1632635650618145E+37</v>
      </c>
      <c r="VYQ28" s="160">
        <f t="shared" ref="VYQ28" si="7766">VYO28*$C$28</f>
        <v>9.2548962007124325E+37</v>
      </c>
      <c r="VYS28" s="160">
        <f t="shared" ref="VYS28" si="7767">VYQ28*$C$28</f>
        <v>9.3474451627195568E+37</v>
      </c>
      <c r="VYU28" s="160">
        <f t="shared" ref="VYU28" si="7768">VYS28*$C$28</f>
        <v>9.4409196143467526E+37</v>
      </c>
      <c r="VYW28" s="160">
        <f t="shared" ref="VYW28" si="7769">VYU28*$C$28</f>
        <v>9.5353288104902199E+37</v>
      </c>
      <c r="VYY28" s="160">
        <f t="shared" ref="VYY28" si="7770">VYW28*$C$28</f>
        <v>9.6306820985951214E+37</v>
      </c>
      <c r="VZA28" s="160">
        <f t="shared" ref="VZA28" si="7771">VYY28*$C$28</f>
        <v>9.7269889195810725E+37</v>
      </c>
      <c r="VZC28" s="160">
        <f t="shared" ref="VZC28" si="7772">VZA28*$C$28</f>
        <v>9.8242588087768837E+37</v>
      </c>
      <c r="VZE28" s="160">
        <f t="shared" ref="VZE28" si="7773">VZC28*$C$28</f>
        <v>9.9225013968646532E+37</v>
      </c>
      <c r="VZG28" s="160">
        <f t="shared" ref="VZG28" si="7774">VZE28*$C$28</f>
        <v>1.0021726410833299E+38</v>
      </c>
      <c r="VZI28" s="160">
        <f t="shared" ref="VZI28" si="7775">VZG28*$C$28</f>
        <v>1.0121943674941631E+38</v>
      </c>
      <c r="VZK28" s="160">
        <f t="shared" ref="VZK28" si="7776">VZI28*$C$28</f>
        <v>1.0223163111691048E+38</v>
      </c>
      <c r="VZM28" s="160">
        <f t="shared" ref="VZM28" si="7777">VZK28*$C$28</f>
        <v>1.0325394742807958E+38</v>
      </c>
      <c r="VZO28" s="160">
        <f t="shared" ref="VZO28" si="7778">VZM28*$C$28</f>
        <v>1.0428648690236037E+38</v>
      </c>
      <c r="VZQ28" s="160">
        <f t="shared" ref="VZQ28" si="7779">VZO28*$C$28</f>
        <v>1.0532935177138398E+38</v>
      </c>
      <c r="VZS28" s="160">
        <f t="shared" ref="VZS28" si="7780">VZQ28*$C$28</f>
        <v>1.0638264528909783E+38</v>
      </c>
      <c r="VZU28" s="160">
        <f t="shared" ref="VZU28" si="7781">VZS28*$C$28</f>
        <v>1.074464717419888E+38</v>
      </c>
      <c r="VZW28" s="160">
        <f t="shared" ref="VZW28" si="7782">VZU28*$C$28</f>
        <v>1.0852093645940869E+38</v>
      </c>
      <c r="VZY28" s="160">
        <f t="shared" ref="VZY28" si="7783">VZW28*$C$28</f>
        <v>1.0960614582400278E+38</v>
      </c>
      <c r="WAA28" s="160">
        <f t="shared" ref="WAA28" si="7784">VZY28*$C$28</f>
        <v>1.107022072822428E+38</v>
      </c>
      <c r="WAC28" s="160">
        <f t="shared" ref="WAC28" si="7785">WAA28*$C$28</f>
        <v>1.1180922935506524E+38</v>
      </c>
      <c r="WAE28" s="160">
        <f t="shared" ref="WAE28" si="7786">WAC28*$C$28</f>
        <v>1.1292732164861589E+38</v>
      </c>
      <c r="WAG28" s="160">
        <f t="shared" ref="WAG28" si="7787">WAE28*$C$28</f>
        <v>1.1405659486510205E+38</v>
      </c>
      <c r="WAI28" s="160">
        <f t="shared" ref="WAI28" si="7788">WAG28*$C$28</f>
        <v>1.1519716081375308E+38</v>
      </c>
      <c r="WAK28" s="160">
        <f t="shared" ref="WAK28" si="7789">WAI28*$C$28</f>
        <v>1.1634913242189062E+38</v>
      </c>
      <c r="WAM28" s="160">
        <f t="shared" ref="WAM28" si="7790">WAK28*$C$28</f>
        <v>1.1751262374610953E+38</v>
      </c>
      <c r="WAO28" s="160">
        <f t="shared" ref="WAO28" si="7791">WAM28*$C$28</f>
        <v>1.1868774998357062E+38</v>
      </c>
      <c r="WAQ28" s="160">
        <f t="shared" ref="WAQ28" si="7792">WAO28*$C$28</f>
        <v>1.1987462748340632E+38</v>
      </c>
      <c r="WAS28" s="160">
        <f t="shared" ref="WAS28" si="7793">WAQ28*$C$28</f>
        <v>1.2107337375824039E+38</v>
      </c>
      <c r="WAU28" s="160">
        <f t="shared" ref="WAU28" si="7794">WAS28*$C$28</f>
        <v>1.222841074958228E+38</v>
      </c>
      <c r="WAW28" s="160">
        <f t="shared" ref="WAW28" si="7795">WAU28*$C$28</f>
        <v>1.2350694857078103E+38</v>
      </c>
      <c r="WAY28" s="160">
        <f t="shared" ref="WAY28" si="7796">WAW28*$C$28</f>
        <v>1.2474201805648884E+38</v>
      </c>
      <c r="WBA28" s="160">
        <f t="shared" ref="WBA28" si="7797">WAY28*$C$28</f>
        <v>1.2598943823705373E+38</v>
      </c>
      <c r="WBC28" s="160">
        <f t="shared" ref="WBC28" si="7798">WBA28*$C$28</f>
        <v>1.2724933261942426E+38</v>
      </c>
      <c r="WBE28" s="160">
        <f t="shared" ref="WBE28" si="7799">WBC28*$C$28</f>
        <v>1.2852182594561851E+38</v>
      </c>
      <c r="WBG28" s="160">
        <f t="shared" ref="WBG28" si="7800">WBE28*$C$28</f>
        <v>1.2980704420507469E+38</v>
      </c>
      <c r="WBI28" s="160">
        <f t="shared" ref="WBI28" si="7801">WBG28*$C$28</f>
        <v>1.3110511464712544E+38</v>
      </c>
      <c r="WBK28" s="160">
        <f t="shared" ref="WBK28" si="7802">WBI28*$C$28</f>
        <v>1.3241616579359669E+38</v>
      </c>
      <c r="WBM28" s="160">
        <f t="shared" ref="WBM28" si="7803">WBK28*$C$28</f>
        <v>1.3374032745153265E+38</v>
      </c>
      <c r="WBO28" s="160">
        <f t="shared" ref="WBO28" si="7804">WBM28*$C$28</f>
        <v>1.3507773072604798E+38</v>
      </c>
      <c r="WBQ28" s="160">
        <f t="shared" ref="WBQ28" si="7805">WBO28*$C$28</f>
        <v>1.3642850803330846E+38</v>
      </c>
      <c r="WBS28" s="160">
        <f t="shared" ref="WBS28" si="7806">WBQ28*$C$28</f>
        <v>1.3779279311364154E+38</v>
      </c>
      <c r="WBU28" s="160">
        <f t="shared" ref="WBU28" si="7807">WBS28*$C$28</f>
        <v>1.3917072104477796E+38</v>
      </c>
      <c r="WBW28" s="160">
        <f t="shared" ref="WBW28" si="7808">WBU28*$C$28</f>
        <v>1.4056242825522573E+38</v>
      </c>
      <c r="WBY28" s="160">
        <f t="shared" ref="WBY28" si="7809">WBW28*$C$28</f>
        <v>1.4196805253777799E+38</v>
      </c>
      <c r="WCA28" s="160">
        <f t="shared" ref="WCA28" si="7810">WBY28*$C$28</f>
        <v>1.4338773306315576E+38</v>
      </c>
      <c r="WCC28" s="160">
        <f t="shared" ref="WCC28" si="7811">WCA28*$C$28</f>
        <v>1.4482161039378733E+38</v>
      </c>
      <c r="WCE28" s="160">
        <f t="shared" ref="WCE28" si="7812">WCC28*$C$28</f>
        <v>1.462698264977252E+38</v>
      </c>
      <c r="WCG28" s="160">
        <f t="shared" ref="WCG28" si="7813">WCE28*$C$28</f>
        <v>1.4773252476270246E+38</v>
      </c>
      <c r="WCI28" s="160">
        <f t="shared" ref="WCI28" si="7814">WCG28*$C$28</f>
        <v>1.4920985001032948E+38</v>
      </c>
      <c r="WCK28" s="160">
        <f t="shared" ref="WCK28" si="7815">WCI28*$C$28</f>
        <v>1.5070194851043276E+38</v>
      </c>
      <c r="WCM28" s="160">
        <f t="shared" ref="WCM28" si="7816">WCK28*$C$28</f>
        <v>1.522089679955371E+38</v>
      </c>
      <c r="WCO28" s="160">
        <f t="shared" ref="WCO28" si="7817">WCM28*$C$28</f>
        <v>1.5373105767549247E+38</v>
      </c>
      <c r="WCQ28" s="160">
        <f t="shared" ref="WCQ28" si="7818">WCO28*$C$28</f>
        <v>1.552683682522474E+38</v>
      </c>
      <c r="WCS28" s="160">
        <f t="shared" ref="WCS28" si="7819">WCQ28*$C$28</f>
        <v>1.5682105193476987E+38</v>
      </c>
      <c r="WCU28" s="160">
        <f t="shared" ref="WCU28" si="7820">WCS28*$C$28</f>
        <v>1.5838926245411756E+38</v>
      </c>
      <c r="WCW28" s="160">
        <f t="shared" ref="WCW28" si="7821">WCU28*$C$28</f>
        <v>1.5997315507865873E+38</v>
      </c>
      <c r="WCY28" s="160">
        <f t="shared" ref="WCY28" si="7822">WCW28*$C$28</f>
        <v>1.6157288662944533E+38</v>
      </c>
      <c r="WDA28" s="160">
        <f t="shared" ref="WDA28" si="7823">WCY28*$C$28</f>
        <v>1.6318861549573979E+38</v>
      </c>
      <c r="WDC28" s="160">
        <f t="shared" ref="WDC28" si="7824">WDA28*$C$28</f>
        <v>1.648205016506972E+38</v>
      </c>
      <c r="WDE28" s="160">
        <f t="shared" ref="WDE28" si="7825">WDC28*$C$28</f>
        <v>1.6646870666720418E+38</v>
      </c>
      <c r="WDG28" s="160">
        <f t="shared" ref="WDG28" si="7826">WDE28*$C$28</f>
        <v>1.6813339373387623E+38</v>
      </c>
      <c r="WDI28" s="160">
        <f t="shared" ref="WDI28" si="7827">WDG28*$C$28</f>
        <v>1.69814727671215E+38</v>
      </c>
      <c r="WDK28" s="160">
        <f t="shared" ref="WDK28" si="7828">WDI28*$C$28</f>
        <v>1.7151287494792716E+38</v>
      </c>
      <c r="WDM28" s="160">
        <f t="shared" ref="WDM28" si="7829">WDK28*$C$28</f>
        <v>1.7322800369740641E+38</v>
      </c>
      <c r="WDO28" s="160">
        <f t="shared" ref="WDO28" si="7830">WDM28*$C$28</f>
        <v>1.7496028373438049E+38</v>
      </c>
      <c r="WDQ28" s="160">
        <f t="shared" ref="WDQ28" si="7831">WDO28*$C$28</f>
        <v>1.7670988657172429E+38</v>
      </c>
      <c r="WDS28" s="160">
        <f t="shared" ref="WDS28" si="7832">WDQ28*$C$28</f>
        <v>1.7847698543744153E+38</v>
      </c>
      <c r="WDU28" s="160">
        <f t="shared" ref="WDU28" si="7833">WDS28*$C$28</f>
        <v>1.8026175529181593E+38</v>
      </c>
      <c r="WDW28" s="160">
        <f t="shared" ref="WDW28" si="7834">WDU28*$C$28</f>
        <v>1.820643728447341E+38</v>
      </c>
      <c r="WDY28" s="160">
        <f t="shared" ref="WDY28" si="7835">WDW28*$C$28</f>
        <v>1.8388501657318145E+38</v>
      </c>
      <c r="WEA28" s="160">
        <f t="shared" ref="WEA28" si="7836">WDY28*$C$28</f>
        <v>1.8572386673891326E+38</v>
      </c>
      <c r="WEC28" s="160">
        <f t="shared" ref="WEC28" si="7837">WEA28*$C$28</f>
        <v>1.8758110540630241E+38</v>
      </c>
      <c r="WEE28" s="160">
        <f t="shared" ref="WEE28" si="7838">WEC28*$C$28</f>
        <v>1.8945691646036544E+38</v>
      </c>
      <c r="WEG28" s="160">
        <f t="shared" ref="WEG28" si="7839">WEE28*$C$28</f>
        <v>1.913514856249691E+38</v>
      </c>
      <c r="WEI28" s="160">
        <f t="shared" ref="WEI28" si="7840">WEG28*$C$28</f>
        <v>1.9326500048121879E+38</v>
      </c>
      <c r="WEK28" s="160">
        <f t="shared" ref="WEK28" si="7841">WEI28*$C$28</f>
        <v>1.9519765048603098E+38</v>
      </c>
      <c r="WEM28" s="160">
        <f t="shared" ref="WEM28" si="7842">WEK28*$C$28</f>
        <v>1.9714962699089129E+38</v>
      </c>
      <c r="WEO28" s="160">
        <f t="shared" ref="WEO28" si="7843">WEM28*$C$28</f>
        <v>1.9912112326080019E+38</v>
      </c>
      <c r="WEQ28" s="160">
        <f t="shared" ref="WEQ28" si="7844">WEO28*$C$28</f>
        <v>2.0111233449340819E+38</v>
      </c>
      <c r="WES28" s="160">
        <f t="shared" ref="WES28" si="7845">WEQ28*$C$28</f>
        <v>2.0312345783834229E+38</v>
      </c>
      <c r="WEU28" s="160">
        <f t="shared" ref="WEU28" si="7846">WES28*$C$28</f>
        <v>2.0515469241672571E+38</v>
      </c>
      <c r="WEW28" s="160">
        <f t="shared" ref="WEW28" si="7847">WEU28*$C$28</f>
        <v>2.0720623934089295E+38</v>
      </c>
      <c r="WEY28" s="160">
        <f t="shared" ref="WEY28" si="7848">WEW28*$C$28</f>
        <v>2.0927830173430189E+38</v>
      </c>
      <c r="WFA28" s="160">
        <f t="shared" ref="WFA28" si="7849">WEY28*$C$28</f>
        <v>2.1137108475164491E+38</v>
      </c>
      <c r="WFC28" s="160">
        <f t="shared" ref="WFC28" si="7850">WFA28*$C$28</f>
        <v>2.1348479559916134E+38</v>
      </c>
      <c r="WFE28" s="160">
        <f t="shared" ref="WFE28" si="7851">WFC28*$C$28</f>
        <v>2.1561964355515295E+38</v>
      </c>
      <c r="WFG28" s="160">
        <f t="shared" ref="WFG28" si="7852">WFE28*$C$28</f>
        <v>2.1777583999070447E+38</v>
      </c>
      <c r="WFI28" s="160">
        <f t="shared" ref="WFI28" si="7853">WFG28*$C$28</f>
        <v>2.1995359839061153E+38</v>
      </c>
      <c r="WFK28" s="160">
        <f t="shared" ref="WFK28" si="7854">WFI28*$C$28</f>
        <v>2.2215313437451763E+38</v>
      </c>
      <c r="WFM28" s="160">
        <f t="shared" ref="WFM28" si="7855">WFK28*$C$28</f>
        <v>2.2437466571826279E+38</v>
      </c>
      <c r="WFO28" s="160">
        <f t="shared" ref="WFO28" si="7856">WFM28*$C$28</f>
        <v>2.2661841237544541E+38</v>
      </c>
      <c r="WFQ28" s="160">
        <f t="shared" ref="WFQ28" si="7857">WFO28*$C$28</f>
        <v>2.2888459649919987E+38</v>
      </c>
      <c r="WFS28" s="160">
        <f t="shared" ref="WFS28" si="7858">WFQ28*$C$28</f>
        <v>2.3117344246419185E+38</v>
      </c>
      <c r="WFU28" s="160">
        <f t="shared" ref="WFU28" si="7859">WFS28*$C$28</f>
        <v>2.3348517688883376E+38</v>
      </c>
      <c r="WFW28" s="160">
        <f t="shared" ref="WFW28" si="7860">WFU28*$C$28</f>
        <v>2.3582002865772208E+38</v>
      </c>
      <c r="WFY28" s="160">
        <f t="shared" ref="WFY28" si="7861">WFW28*$C$28</f>
        <v>2.3817822894429932E+38</v>
      </c>
      <c r="WGA28" s="160">
        <f t="shared" ref="WGA28" si="7862">WFY28*$C$28</f>
        <v>2.4056001123374232E+38</v>
      </c>
      <c r="WGC28" s="160">
        <f t="shared" ref="WGC28" si="7863">WGA28*$C$28</f>
        <v>2.4296561134607974E+38</v>
      </c>
      <c r="WGE28" s="160">
        <f t="shared" ref="WGE28" si="7864">WGC28*$C$28</f>
        <v>2.4539526745954055E+38</v>
      </c>
      <c r="WGG28" s="160">
        <f t="shared" ref="WGG28" si="7865">WGE28*$C$28</f>
        <v>2.4784922013413596E+38</v>
      </c>
      <c r="WGI28" s="160">
        <f t="shared" ref="WGI28" si="7866">WGG28*$C$28</f>
        <v>2.503277123354773E+38</v>
      </c>
      <c r="WGK28" s="160">
        <f t="shared" ref="WGK28" si="7867">WGI28*$C$28</f>
        <v>2.5283098945883209E+38</v>
      </c>
      <c r="WGM28" s="160">
        <f t="shared" ref="WGM28" si="7868">WGK28*$C$28</f>
        <v>2.553592993534204E+38</v>
      </c>
      <c r="WGO28" s="160">
        <f t="shared" ref="WGO28" si="7869">WGM28*$C$28</f>
        <v>2.5791289234695461E+38</v>
      </c>
      <c r="WGQ28" s="160">
        <f t="shared" ref="WGQ28" si="7870">WGO28*$C$28</f>
        <v>2.6049202127042417E+38</v>
      </c>
      <c r="WGS28" s="160">
        <f t="shared" ref="WGS28" si="7871">WGQ28*$C$28</f>
        <v>2.6309694148312843E+38</v>
      </c>
      <c r="WGU28" s="160">
        <f t="shared" ref="WGU28" si="7872">WGS28*$C$28</f>
        <v>2.6572791089795973E+38</v>
      </c>
      <c r="WGW28" s="160">
        <f t="shared" ref="WGW28" si="7873">WGU28*$C$28</f>
        <v>2.6838519000693931E+38</v>
      </c>
      <c r="WGY28" s="160">
        <f t="shared" ref="WGY28" si="7874">WGW28*$C$28</f>
        <v>2.7106904190700869E+38</v>
      </c>
      <c r="WHA28" s="160">
        <f t="shared" ref="WHA28" si="7875">WGY28*$C$28</f>
        <v>2.737797323260788E+38</v>
      </c>
      <c r="WHC28" s="160">
        <f t="shared" ref="WHC28" si="7876">WHA28*$C$28</f>
        <v>2.765175296493396E+38</v>
      </c>
      <c r="WHE28" s="160">
        <f t="shared" ref="WHE28" si="7877">WHC28*$C$28</f>
        <v>2.7928270494583299E+38</v>
      </c>
      <c r="WHG28" s="160">
        <f t="shared" ref="WHG28" si="7878">WHE28*$C$28</f>
        <v>2.8207553199529131E+38</v>
      </c>
      <c r="WHI28" s="160">
        <f t="shared" ref="WHI28" si="7879">WHG28*$C$28</f>
        <v>2.8489628731524423E+38</v>
      </c>
      <c r="WHK28" s="160">
        <f t="shared" ref="WHK28" si="7880">WHI28*$C$28</f>
        <v>2.8774525018839667E+38</v>
      </c>
      <c r="WHM28" s="160">
        <f t="shared" ref="WHM28" si="7881">WHK28*$C$28</f>
        <v>2.9062270269028064E+38</v>
      </c>
      <c r="WHO28" s="160">
        <f t="shared" ref="WHO28" si="7882">WHM28*$C$28</f>
        <v>2.9352892971718344E+38</v>
      </c>
      <c r="WHQ28" s="160">
        <f t="shared" ref="WHQ28" si="7883">WHO28*$C$28</f>
        <v>2.9646421901435527E+38</v>
      </c>
      <c r="WHS28" s="160">
        <f t="shared" ref="WHS28" si="7884">WHQ28*$C$28</f>
        <v>2.9942886120449883E+38</v>
      </c>
      <c r="WHU28" s="160">
        <f t="shared" ref="WHU28" si="7885">WHS28*$C$28</f>
        <v>3.0242314981654383E+38</v>
      </c>
      <c r="WHW28" s="160">
        <f t="shared" ref="WHW28" si="7886">WHU28*$C$28</f>
        <v>3.0544738131470927E+38</v>
      </c>
      <c r="WHY28" s="160">
        <f t="shared" ref="WHY28" si="7887">WHW28*$C$28</f>
        <v>3.0850185512785636E+38</v>
      </c>
      <c r="WIA28" s="160">
        <f t="shared" ref="WIA28" si="7888">WHY28*$C$28</f>
        <v>3.1158687367913493E+38</v>
      </c>
      <c r="WIC28" s="160">
        <f t="shared" ref="WIC28" si="7889">WIA28*$C$28</f>
        <v>3.1470274241592629E+38</v>
      </c>
      <c r="WIE28" s="160">
        <f t="shared" ref="WIE28" si="7890">WIC28*$C$28</f>
        <v>3.1784976984008557E+38</v>
      </c>
      <c r="WIG28" s="160">
        <f t="shared" ref="WIG28" si="7891">WIE28*$C$28</f>
        <v>3.2102826753848645E+38</v>
      </c>
      <c r="WII28" s="160">
        <f t="shared" ref="WII28" si="7892">WIG28*$C$28</f>
        <v>3.242385502138713E+38</v>
      </c>
      <c r="WIK28" s="160">
        <f t="shared" ref="WIK28" si="7893">WII28*$C$28</f>
        <v>3.2748093571601002E+38</v>
      </c>
      <c r="WIM28" s="160">
        <f t="shared" ref="WIM28" si="7894">WIK28*$C$28</f>
        <v>3.3075574507317013E+38</v>
      </c>
      <c r="WIO28" s="160">
        <f t="shared" ref="WIO28" si="7895">WIM28*$C$28</f>
        <v>3.3406330252390185E+38</v>
      </c>
      <c r="WIQ28" s="160">
        <f t="shared" ref="WIQ28" si="7896">WIO28*$C$28</f>
        <v>3.3740393554914088E+38</v>
      </c>
      <c r="WIS28" s="160">
        <f t="shared" ref="WIS28" si="7897">WIQ28*$C$28</f>
        <v>3.4077797490463233E+38</v>
      </c>
      <c r="WIU28" s="160">
        <f t="shared" ref="WIU28" si="7898">WIS28*$C$28</f>
        <v>3.4418575465367865E+38</v>
      </c>
      <c r="WIW28" s="160">
        <f t="shared" ref="WIW28" si="7899">WIU28*$C$28</f>
        <v>3.4762761220021544E+38</v>
      </c>
      <c r="WIY28" s="160">
        <f t="shared" ref="WIY28" si="7900">WIW28*$C$28</f>
        <v>3.5110388832221757E+38</v>
      </c>
      <c r="WJA28" s="160">
        <f t="shared" ref="WJA28" si="7901">WIY28*$C$28</f>
        <v>3.5461492720543979E+38</v>
      </c>
      <c r="WJC28" s="160">
        <f t="shared" ref="WJC28" si="7902">WJA28*$C$28</f>
        <v>3.5816107647749419E+38</v>
      </c>
      <c r="WJE28" s="160">
        <f t="shared" ref="WJE28" si="7903">WJC28*$C$28</f>
        <v>3.6174268724226914E+38</v>
      </c>
      <c r="WJG28" s="160">
        <f t="shared" ref="WJG28" si="7904">WJE28*$C$28</f>
        <v>3.6536011411469182E+38</v>
      </c>
      <c r="WJI28" s="160">
        <f t="shared" ref="WJI28" si="7905">WJG28*$C$28</f>
        <v>3.6901371525583877E+38</v>
      </c>
      <c r="WJK28" s="160">
        <f t="shared" ref="WJK28" si="7906">WJI28*$C$28</f>
        <v>3.7270385240839717E+38</v>
      </c>
      <c r="WJM28" s="160">
        <f t="shared" ref="WJM28" si="7907">WJK28*$C$28</f>
        <v>3.7643089093248112E+38</v>
      </c>
      <c r="WJO28" s="160">
        <f t="shared" ref="WJO28" si="7908">WJM28*$C$28</f>
        <v>3.8019519984180595E+38</v>
      </c>
      <c r="WJQ28" s="160">
        <f t="shared" ref="WJQ28" si="7909">WJO28*$C$28</f>
        <v>3.8399715184022404E+38</v>
      </c>
      <c r="WJS28" s="160">
        <f t="shared" ref="WJS28" si="7910">WJQ28*$C$28</f>
        <v>3.8783712335862626E+38</v>
      </c>
      <c r="WJU28" s="160">
        <f t="shared" ref="WJU28" si="7911">WJS28*$C$28</f>
        <v>3.9171549459221253E+38</v>
      </c>
      <c r="WJW28" s="160">
        <f t="shared" ref="WJW28" si="7912">WJU28*$C$28</f>
        <v>3.9563264953813468E+38</v>
      </c>
      <c r="WJY28" s="160">
        <f t="shared" ref="WJY28" si="7913">WJW28*$C$28</f>
        <v>3.9958897603351602E+38</v>
      </c>
      <c r="WKA28" s="160">
        <f t="shared" ref="WKA28" si="7914">WJY28*$C$28</f>
        <v>4.0358486579385121E+38</v>
      </c>
      <c r="WKC28" s="160">
        <f t="shared" ref="WKC28" si="7915">WKA28*$C$28</f>
        <v>4.076207144517897E+38</v>
      </c>
      <c r="WKE28" s="160">
        <f t="shared" ref="WKE28" si="7916">WKC28*$C$28</f>
        <v>4.1169692159630764E+38</v>
      </c>
      <c r="WKG28" s="160">
        <f t="shared" ref="WKG28" si="7917">WKE28*$C$28</f>
        <v>4.1581389081227074E+38</v>
      </c>
      <c r="WKI28" s="160">
        <f t="shared" ref="WKI28" si="7918">WKG28*$C$28</f>
        <v>4.1997202972039342E+38</v>
      </c>
      <c r="WKK28" s="160">
        <f t="shared" ref="WKK28" si="7919">WKI28*$C$28</f>
        <v>4.2417175001759739E+38</v>
      </c>
      <c r="WKM28" s="160">
        <f t="shared" ref="WKM28" si="7920">WKK28*$C$28</f>
        <v>4.2841346751777334E+38</v>
      </c>
      <c r="WKO28" s="160">
        <f t="shared" ref="WKO28" si="7921">WKM28*$C$28</f>
        <v>4.3269760219295108E+38</v>
      </c>
      <c r="WKQ28" s="160">
        <f t="shared" ref="WKQ28" si="7922">WKO28*$C$28</f>
        <v>4.3702457821488061E+38</v>
      </c>
      <c r="WKS28" s="160">
        <f t="shared" ref="WKS28" si="7923">WKQ28*$C$28</f>
        <v>4.4139482399702941E+38</v>
      </c>
      <c r="WKU28" s="160">
        <f t="shared" ref="WKU28" si="7924">WKS28*$C$28</f>
        <v>4.4580877223699972E+38</v>
      </c>
      <c r="WKW28" s="160">
        <f t="shared" ref="WKW28" si="7925">WKU28*$C$28</f>
        <v>4.5026685995936969E+38</v>
      </c>
      <c r="WKY28" s="160">
        <f t="shared" ref="WKY28" si="7926">WKW28*$C$28</f>
        <v>4.5476952855896337E+38</v>
      </c>
      <c r="WLA28" s="160">
        <f t="shared" ref="WLA28" si="7927">WKY28*$C$28</f>
        <v>4.5931722384455302E+38</v>
      </c>
      <c r="WLC28" s="160">
        <f t="shared" ref="WLC28" si="7928">WLA28*$C$28</f>
        <v>4.6391039608299856E+38</v>
      </c>
      <c r="WLE28" s="160">
        <f t="shared" ref="WLE28" si="7929">WLC28*$C$28</f>
        <v>4.6854950004382851E+38</v>
      </c>
      <c r="WLG28" s="160">
        <f t="shared" ref="WLG28" si="7930">WLE28*$C$28</f>
        <v>4.732349950442668E+38</v>
      </c>
      <c r="WLI28" s="160">
        <f t="shared" ref="WLI28" si="7931">WLG28*$C$28</f>
        <v>4.7796734499470944E+38</v>
      </c>
      <c r="WLK28" s="160">
        <f t="shared" ref="WLK28" si="7932">WLI28*$C$28</f>
        <v>4.8274701844465654E+38</v>
      </c>
      <c r="WLM28" s="160">
        <f t="shared" ref="WLM28" si="7933">WLK28*$C$28</f>
        <v>4.8757448862910313E+38</v>
      </c>
      <c r="WLO28" s="160">
        <f t="shared" ref="WLO28" si="7934">WLM28*$C$28</f>
        <v>4.9245023351539415E+38</v>
      </c>
      <c r="WLQ28" s="160">
        <f t="shared" ref="WLQ28" si="7935">WLO28*$C$28</f>
        <v>4.9737473585054807E+38</v>
      </c>
      <c r="WLS28" s="160">
        <f t="shared" ref="WLS28" si="7936">WLQ28*$C$28</f>
        <v>5.0234848320905355E+38</v>
      </c>
      <c r="WLU28" s="160">
        <f t="shared" ref="WLU28" si="7937">WLS28*$C$28</f>
        <v>5.0737196804114409E+38</v>
      </c>
      <c r="WLW28" s="160">
        <f t="shared" ref="WLW28" si="7938">WLU28*$C$28</f>
        <v>5.124456877215555E+38</v>
      </c>
      <c r="WLY28" s="160">
        <f t="shared" ref="WLY28" si="7939">WLW28*$C$28</f>
        <v>5.1757014459877107E+38</v>
      </c>
      <c r="WMA28" s="160">
        <f t="shared" ref="WMA28" si="7940">WLY28*$C$28</f>
        <v>5.2274584604475876E+38</v>
      </c>
      <c r="WMC28" s="160">
        <f t="shared" ref="WMC28" si="7941">WMA28*$C$28</f>
        <v>5.2797330450520637E+38</v>
      </c>
      <c r="WME28" s="160">
        <f t="shared" ref="WME28" si="7942">WMC28*$C$28</f>
        <v>5.3325303755025843E+38</v>
      </c>
      <c r="WMG28" s="160">
        <f t="shared" ref="WMG28" si="7943">WME28*$C$28</f>
        <v>5.3858556792576104E+38</v>
      </c>
      <c r="WMI28" s="160">
        <f t="shared" ref="WMI28" si="7944">WMG28*$C$28</f>
        <v>5.4397142360501864E+38</v>
      </c>
      <c r="WMK28" s="160">
        <f t="shared" ref="WMK28" si="7945">WMI28*$C$28</f>
        <v>5.4941113784106884E+38</v>
      </c>
      <c r="WMM28" s="160">
        <f t="shared" ref="WMM28" si="7946">WMK28*$C$28</f>
        <v>5.5490524921947953E+38</v>
      </c>
      <c r="WMO28" s="160">
        <f t="shared" ref="WMO28" si="7947">WMM28*$C$28</f>
        <v>5.6045430171167436E+38</v>
      </c>
      <c r="WMQ28" s="160">
        <f t="shared" ref="WMQ28" si="7948">WMO28*$C$28</f>
        <v>5.6605884472879113E+38</v>
      </c>
      <c r="WMS28" s="160">
        <f t="shared" ref="WMS28" si="7949">WMQ28*$C$28</f>
        <v>5.7171943317607902E+38</v>
      </c>
      <c r="WMU28" s="160">
        <f t="shared" ref="WMU28" si="7950">WMS28*$C$28</f>
        <v>5.7743662750783977E+38</v>
      </c>
      <c r="WMW28" s="160">
        <f t="shared" ref="WMW28" si="7951">WMU28*$C$28</f>
        <v>5.8321099378291815E+38</v>
      </c>
      <c r="WMY28" s="160">
        <f t="shared" ref="WMY28" si="7952">WMW28*$C$28</f>
        <v>5.8904310372074731E+38</v>
      </c>
      <c r="WNA28" s="160">
        <f t="shared" ref="WNA28" si="7953">WMY28*$C$28</f>
        <v>5.9493353475795476E+38</v>
      </c>
      <c r="WNC28" s="160">
        <f t="shared" ref="WNC28" si="7954">WNA28*$C$28</f>
        <v>6.0088287010553433E+38</v>
      </c>
      <c r="WNE28" s="160">
        <f t="shared" ref="WNE28" si="7955">WNC28*$C$28</f>
        <v>6.0689169880658969E+38</v>
      </c>
      <c r="WNG28" s="160">
        <f t="shared" ref="WNG28" si="7956">WNE28*$C$28</f>
        <v>6.1296061579465558E+38</v>
      </c>
      <c r="WNI28" s="160">
        <f t="shared" ref="WNI28" si="7957">WNG28*$C$28</f>
        <v>6.1909022195260216E+38</v>
      </c>
      <c r="WNK28" s="160">
        <f t="shared" ref="WNK28" si="7958">WNI28*$C$28</f>
        <v>6.2528112417212818E+38</v>
      </c>
      <c r="WNM28" s="160">
        <f t="shared" ref="WNM28" si="7959">WNK28*$C$28</f>
        <v>6.315339354138495E+38</v>
      </c>
      <c r="WNO28" s="160">
        <f t="shared" ref="WNO28" si="7960">WNM28*$C$28</f>
        <v>6.3784927476798797E+38</v>
      </c>
      <c r="WNQ28" s="160">
        <f t="shared" ref="WNQ28" si="7961">WNO28*$C$28</f>
        <v>6.4422776751566784E+38</v>
      </c>
      <c r="WNS28" s="160">
        <f t="shared" ref="WNS28" si="7962">WNQ28*$C$28</f>
        <v>6.5067004519082453E+38</v>
      </c>
      <c r="WNU28" s="160">
        <f t="shared" ref="WNU28" si="7963">WNS28*$C$28</f>
        <v>6.5717674564273275E+38</v>
      </c>
      <c r="WNW28" s="160">
        <f t="shared" ref="WNW28" si="7964">WNU28*$C$28</f>
        <v>6.637485130991601E+38</v>
      </c>
      <c r="WNY28" s="160">
        <f t="shared" ref="WNY28" si="7965">WNW28*$C$28</f>
        <v>6.703859982301517E+38</v>
      </c>
      <c r="WOA28" s="160">
        <f t="shared" ref="WOA28" si="7966">WNY28*$C$28</f>
        <v>6.7708985821245319E+38</v>
      </c>
      <c r="WOC28" s="160">
        <f t="shared" ref="WOC28" si="7967">WOA28*$C$28</f>
        <v>6.8386075679457771E+38</v>
      </c>
      <c r="WOE28" s="160">
        <f t="shared" ref="WOE28" si="7968">WOC28*$C$28</f>
        <v>6.9069936436252345E+38</v>
      </c>
      <c r="WOG28" s="160">
        <f t="shared" ref="WOG28" si="7969">WOE28*$C$28</f>
        <v>6.9760635800614864E+38</v>
      </c>
      <c r="WOI28" s="160">
        <f t="shared" ref="WOI28" si="7970">WOG28*$C$28</f>
        <v>7.0458242158621012E+38</v>
      </c>
      <c r="WOK28" s="160">
        <f t="shared" ref="WOK28" si="7971">WOI28*$C$28</f>
        <v>7.116282458020722E+38</v>
      </c>
      <c r="WOM28" s="160">
        <f t="shared" ref="WOM28" si="7972">WOK28*$C$28</f>
        <v>7.1874452826009298E+38</v>
      </c>
      <c r="WOO28" s="160">
        <f t="shared" ref="WOO28" si="7973">WOM28*$C$28</f>
        <v>7.2593197354269397E+38</v>
      </c>
      <c r="WOQ28" s="160">
        <f t="shared" ref="WOQ28" si="7974">WOO28*$C$28</f>
        <v>7.3319129327812092E+38</v>
      </c>
      <c r="WOS28" s="160">
        <f t="shared" ref="WOS28" si="7975">WOQ28*$C$28</f>
        <v>7.4052320621090207E+38</v>
      </c>
      <c r="WOU28" s="160">
        <f t="shared" ref="WOU28" si="7976">WOS28*$C$28</f>
        <v>7.4792843827301105E+38</v>
      </c>
      <c r="WOW28" s="160">
        <f t="shared" ref="WOW28" si="7977">WOU28*$C$28</f>
        <v>7.5540772265574117E+38</v>
      </c>
      <c r="WOY28" s="160">
        <f t="shared" ref="WOY28" si="7978">WOW28*$C$28</f>
        <v>7.6296179988229857E+38</v>
      </c>
      <c r="WPA28" s="160">
        <f t="shared" ref="WPA28" si="7979">WOY28*$C$28</f>
        <v>7.7059141788112155E+38</v>
      </c>
      <c r="WPC28" s="160">
        <f t="shared" ref="WPC28" si="7980">WPA28*$C$28</f>
        <v>7.7829733205993277E+38</v>
      </c>
      <c r="WPE28" s="160">
        <f t="shared" ref="WPE28" si="7981">WPC28*$C$28</f>
        <v>7.8608030538053213E+38</v>
      </c>
      <c r="WPG28" s="160">
        <f t="shared" ref="WPG28" si="7982">WPE28*$C$28</f>
        <v>7.9394110843433743E+38</v>
      </c>
      <c r="WPI28" s="160">
        <f t="shared" ref="WPI28" si="7983">WPG28*$C$28</f>
        <v>8.0188051951868086E+38</v>
      </c>
      <c r="WPK28" s="160">
        <f t="shared" ref="WPK28" si="7984">WPI28*$C$28</f>
        <v>8.0989932471386764E+38</v>
      </c>
      <c r="WPM28" s="160">
        <f t="shared" ref="WPM28" si="7985">WPK28*$C$28</f>
        <v>8.1799831796100631E+38</v>
      </c>
      <c r="WPO28" s="160">
        <f t="shared" ref="WPO28" si="7986">WPM28*$C$28</f>
        <v>8.2617830114061645E+38</v>
      </c>
      <c r="WPQ28" s="160">
        <f t="shared" ref="WPQ28" si="7987">WPO28*$C$28</f>
        <v>8.3444008415202258E+38</v>
      </c>
      <c r="WPS28" s="160">
        <f t="shared" ref="WPS28" si="7988">WPQ28*$C$28</f>
        <v>8.4278448499354287E+38</v>
      </c>
      <c r="WPU28" s="160">
        <f t="shared" ref="WPU28" si="7989">WPS28*$C$28</f>
        <v>8.5121232984347834E+38</v>
      </c>
      <c r="WPW28" s="160">
        <f t="shared" ref="WPW28" si="7990">WPU28*$C$28</f>
        <v>8.597244531419132E+38</v>
      </c>
      <c r="WPY28" s="160">
        <f t="shared" ref="WPY28" si="7991">WPW28*$C$28</f>
        <v>8.683216976733324E+38</v>
      </c>
      <c r="WQA28" s="160">
        <f t="shared" ref="WQA28" si="7992">WPY28*$C$28</f>
        <v>8.7700491465006573E+38</v>
      </c>
      <c r="WQC28" s="160">
        <f t="shared" ref="WQC28" si="7993">WQA28*$C$28</f>
        <v>8.8577496379656645E+38</v>
      </c>
      <c r="WQE28" s="160">
        <f t="shared" ref="WQE28" si="7994">WQC28*$C$28</f>
        <v>8.9463271343453206E+38</v>
      </c>
      <c r="WQG28" s="160">
        <f t="shared" ref="WQG28" si="7995">WQE28*$C$28</f>
        <v>9.0357904056887734E+38</v>
      </c>
      <c r="WQI28" s="160">
        <f t="shared" ref="WQI28" si="7996">WQG28*$C$28</f>
        <v>9.1261483097456607E+38</v>
      </c>
      <c r="WQK28" s="160">
        <f t="shared" ref="WQK28" si="7997">WQI28*$C$28</f>
        <v>9.217409792843118E+38</v>
      </c>
      <c r="WQM28" s="160">
        <f t="shared" ref="WQM28" si="7998">WQK28*$C$28</f>
        <v>9.3095838907715492E+38</v>
      </c>
      <c r="WQO28" s="160">
        <f t="shared" ref="WQO28" si="7999">WQM28*$C$28</f>
        <v>9.4026797296792652E+38</v>
      </c>
      <c r="WQQ28" s="160">
        <f t="shared" ref="WQQ28" si="8000">WQO28*$C$28</f>
        <v>9.4967065269760575E+38</v>
      </c>
      <c r="WQS28" s="160">
        <f t="shared" ref="WQS28" si="8001">WQQ28*$C$28</f>
        <v>9.5916735922458178E+38</v>
      </c>
      <c r="WQU28" s="160">
        <f t="shared" ref="WQU28" si="8002">WQS28*$C$28</f>
        <v>9.6875903281682764E+38</v>
      </c>
      <c r="WQW28" s="160">
        <f t="shared" ref="WQW28" si="8003">WQU28*$C$28</f>
        <v>9.7844662314499589E+38</v>
      </c>
      <c r="WQY28" s="160">
        <f t="shared" ref="WQY28" si="8004">WQW28*$C$28</f>
        <v>9.8823108937644592E+38</v>
      </c>
      <c r="WRA28" s="160">
        <f t="shared" ref="WRA28" si="8005">WQY28*$C$28</f>
        <v>9.9811340027021032E+38</v>
      </c>
      <c r="WRC28" s="160">
        <f t="shared" ref="WRC28" si="8006">WRA28*$C$28</f>
        <v>1.0080945342729125E+39</v>
      </c>
      <c r="WRE28" s="160">
        <f t="shared" ref="WRE28" si="8007">WRC28*$C$28</f>
        <v>1.0181754796156416E+39</v>
      </c>
      <c r="WRG28" s="160">
        <f t="shared" ref="WRG28" si="8008">WRE28*$C$28</f>
        <v>1.028357234411798E+39</v>
      </c>
      <c r="WRI28" s="160">
        <f t="shared" ref="WRI28" si="8009">WRG28*$C$28</f>
        <v>1.0386408067559159E+39</v>
      </c>
      <c r="WRK28" s="160">
        <f t="shared" ref="WRK28" si="8010">WRI28*$C$28</f>
        <v>1.049027214823475E+39</v>
      </c>
      <c r="WRM28" s="160">
        <f t="shared" ref="WRM28" si="8011">WRK28*$C$28</f>
        <v>1.0595174869717097E+39</v>
      </c>
      <c r="WRO28" s="160">
        <f t="shared" ref="WRO28" si="8012">WRM28*$C$28</f>
        <v>1.0701126618414268E+39</v>
      </c>
      <c r="WRQ28" s="160">
        <f t="shared" ref="WRQ28" si="8013">WRO28*$C$28</f>
        <v>1.080813788459841E+39</v>
      </c>
      <c r="WRS28" s="160">
        <f t="shared" ref="WRS28" si="8014">WRQ28*$C$28</f>
        <v>1.0916219263444395E+39</v>
      </c>
      <c r="WRU28" s="160">
        <f t="shared" ref="WRU28" si="8015">WRS28*$C$28</f>
        <v>1.1025381456078839E+39</v>
      </c>
      <c r="WRW28" s="160">
        <f t="shared" ref="WRW28" si="8016">WRU28*$C$28</f>
        <v>1.1135635270639628E+39</v>
      </c>
      <c r="WRY28" s="160">
        <f t="shared" ref="WRY28" si="8017">WRW28*$C$28</f>
        <v>1.1246991623346024E+39</v>
      </c>
      <c r="WSA28" s="160">
        <f t="shared" ref="WSA28" si="8018">WRY28*$C$28</f>
        <v>1.1359461539579484E+39</v>
      </c>
      <c r="WSC28" s="160">
        <f t="shared" ref="WSC28" si="8019">WSA28*$C$28</f>
        <v>1.1473056154975278E+39</v>
      </c>
      <c r="WSE28" s="160">
        <f t="shared" ref="WSE28" si="8020">WSC28*$C$28</f>
        <v>1.1587786716525031E+39</v>
      </c>
      <c r="WSG28" s="160">
        <f t="shared" ref="WSG28" si="8021">WSE28*$C$28</f>
        <v>1.1703664583690281E+39</v>
      </c>
      <c r="WSI28" s="160">
        <f t="shared" ref="WSI28" si="8022">WSG28*$C$28</f>
        <v>1.1820701229527184E+39</v>
      </c>
      <c r="WSK28" s="160">
        <f t="shared" ref="WSK28" si="8023">WSI28*$C$28</f>
        <v>1.1938908241822456E+39</v>
      </c>
      <c r="WSM28" s="160">
        <f t="shared" ref="WSM28" si="8024">WSK28*$C$28</f>
        <v>1.2058297324240681E+39</v>
      </c>
      <c r="WSO28" s="160">
        <f t="shared" ref="WSO28" si="8025">WSM28*$C$28</f>
        <v>1.2178880297483089E+39</v>
      </c>
      <c r="WSQ28" s="160">
        <f t="shared" ref="WSQ28" si="8026">WSO28*$C$28</f>
        <v>1.230066910045792E+39</v>
      </c>
      <c r="WSS28" s="160">
        <f t="shared" ref="WSS28" si="8027">WSQ28*$C$28</f>
        <v>1.24236757914625E+39</v>
      </c>
      <c r="WSU28" s="160">
        <f t="shared" ref="WSU28" si="8028">WSS28*$C$28</f>
        <v>1.2547912549377124E+39</v>
      </c>
      <c r="WSW28" s="160">
        <f t="shared" ref="WSW28" si="8029">WSU28*$C$28</f>
        <v>1.2673391674870896E+39</v>
      </c>
      <c r="WSY28" s="160">
        <f t="shared" ref="WSY28" si="8030">WSW28*$C$28</f>
        <v>1.2800125591619604E+39</v>
      </c>
      <c r="WTA28" s="160">
        <f t="shared" ref="WTA28" si="8031">WSY28*$C$28</f>
        <v>1.2928126847535801E+39</v>
      </c>
      <c r="WTC28" s="160">
        <f t="shared" ref="WTC28" si="8032">WTA28*$C$28</f>
        <v>1.3057408116011158E+39</v>
      </c>
      <c r="WTE28" s="160">
        <f t="shared" ref="WTE28" si="8033">WTC28*$C$28</f>
        <v>1.318798219717127E+39</v>
      </c>
      <c r="WTG28" s="160">
        <f t="shared" ref="WTG28" si="8034">WTE28*$C$28</f>
        <v>1.3319862019142984E+39</v>
      </c>
      <c r="WTI28" s="160">
        <f t="shared" ref="WTI28" si="8035">WTG28*$C$28</f>
        <v>1.3453060639334413E+39</v>
      </c>
      <c r="WTK28" s="160">
        <f t="shared" ref="WTK28" si="8036">WTI28*$C$28</f>
        <v>1.3587591245727757E+39</v>
      </c>
      <c r="WTM28" s="160">
        <f t="shared" ref="WTM28" si="8037">WTK28*$C$28</f>
        <v>1.3723467158185035E+39</v>
      </c>
      <c r="WTO28" s="160">
        <f t="shared" ref="WTO28" si="8038">WTM28*$C$28</f>
        <v>1.3860701829766884E+39</v>
      </c>
      <c r="WTQ28" s="160">
        <f t="shared" ref="WTQ28" si="8039">WTO28*$C$28</f>
        <v>1.3999308848064553E+39</v>
      </c>
      <c r="WTS28" s="160">
        <f t="shared" ref="WTS28" si="8040">WTQ28*$C$28</f>
        <v>1.4139301936545198E+39</v>
      </c>
      <c r="WTU28" s="160">
        <f t="shared" ref="WTU28" si="8041">WTS28*$C$28</f>
        <v>1.4280694955910651E+39</v>
      </c>
      <c r="WTW28" s="160">
        <f t="shared" ref="WTW28" si="8042">WTU28*$C$28</f>
        <v>1.4423501905469756E+39</v>
      </c>
      <c r="WTY28" s="160">
        <f t="shared" ref="WTY28" si="8043">WTW28*$C$28</f>
        <v>1.4567736924524454E+39</v>
      </c>
      <c r="WUA28" s="160">
        <f t="shared" ref="WUA28" si="8044">WTY28*$C$28</f>
        <v>1.4713414293769699E+39</v>
      </c>
      <c r="WUC28" s="160">
        <f t="shared" ref="WUC28" si="8045">WUA28*$C$28</f>
        <v>1.4860548436707397E+39</v>
      </c>
      <c r="WUE28" s="160">
        <f t="shared" ref="WUE28" si="8046">WUC28*$C$28</f>
        <v>1.500915392107447E+39</v>
      </c>
      <c r="WUG28" s="160">
        <f t="shared" ref="WUG28" si="8047">WUE28*$C$28</f>
        <v>1.5159245460285214E+39</v>
      </c>
      <c r="WUI28" s="160">
        <f t="shared" ref="WUI28" si="8048">WUG28*$C$28</f>
        <v>1.5310837914888067E+39</v>
      </c>
      <c r="WUK28" s="160">
        <f t="shared" ref="WUK28" si="8049">WUI28*$C$28</f>
        <v>1.5463946294036948E+39</v>
      </c>
      <c r="WUM28" s="160">
        <f t="shared" ref="WUM28" si="8050">WUK28*$C$28</f>
        <v>1.5618585756977316E+39</v>
      </c>
      <c r="WUO28" s="160">
        <f t="shared" ref="WUO28" si="8051">WUM28*$C$28</f>
        <v>1.577477161454709E+39</v>
      </c>
      <c r="WUQ28" s="160">
        <f t="shared" ref="WUQ28" si="8052">WUO28*$C$28</f>
        <v>1.5932519330692561E+39</v>
      </c>
      <c r="WUS28" s="160">
        <f t="shared" ref="WUS28" si="8053">WUQ28*$C$28</f>
        <v>1.6091844523999487E+39</v>
      </c>
      <c r="WUU28" s="160">
        <f t="shared" ref="WUU28" si="8054">WUS28*$C$28</f>
        <v>1.6252762969239482E+39</v>
      </c>
      <c r="WUW28" s="160">
        <f t="shared" ref="WUW28" si="8055">WUU28*$C$28</f>
        <v>1.6415290598931878E+39</v>
      </c>
      <c r="WUY28" s="160">
        <f t="shared" ref="WUY28" si="8056">WUW28*$C$28</f>
        <v>1.6579443504921198E+39</v>
      </c>
      <c r="WVA28" s="160">
        <f t="shared" ref="WVA28" si="8057">WUY28*$C$28</f>
        <v>1.6745237939970409E+39</v>
      </c>
      <c r="WVC28" s="160">
        <f t="shared" ref="WVC28" si="8058">WVA28*$C$28</f>
        <v>1.6912690319370114E+39</v>
      </c>
      <c r="WVE28" s="160">
        <f t="shared" ref="WVE28" si="8059">WVC28*$C$28</f>
        <v>1.7081817222563816E+39</v>
      </c>
      <c r="WVG28" s="160">
        <f t="shared" ref="WVG28" si="8060">WVE28*$C$28</f>
        <v>1.7252635394789455E+39</v>
      </c>
      <c r="WVI28" s="160">
        <f t="shared" ref="WVI28" si="8061">WVG28*$C$28</f>
        <v>1.7425161748737349E+39</v>
      </c>
      <c r="WVK28" s="160">
        <f t="shared" ref="WVK28" si="8062">WVI28*$C$28</f>
        <v>1.7599413366224724E+39</v>
      </c>
      <c r="WVM28" s="160">
        <f t="shared" ref="WVM28" si="8063">WVK28*$C$28</f>
        <v>1.7775407499886972E+39</v>
      </c>
      <c r="WVO28" s="160">
        <f t="shared" ref="WVO28" si="8064">WVM28*$C$28</f>
        <v>1.7953161574885842E+39</v>
      </c>
      <c r="WVQ28" s="160">
        <f t="shared" ref="WVQ28" si="8065">WVO28*$C$28</f>
        <v>1.81326931906347E+39</v>
      </c>
      <c r="WVS28" s="160">
        <f t="shared" ref="WVS28" si="8066">WVQ28*$C$28</f>
        <v>1.8314020122541046E+39</v>
      </c>
      <c r="WVU28" s="160">
        <f t="shared" ref="WVU28" si="8067">WVS28*$C$28</f>
        <v>1.8497160323766457E+39</v>
      </c>
      <c r="WVW28" s="160">
        <f t="shared" ref="WVW28" si="8068">WVU28*$C$28</f>
        <v>1.8682131927004122E+39</v>
      </c>
      <c r="WVY28" s="160">
        <f t="shared" ref="WVY28" si="8069">WVW28*$C$28</f>
        <v>1.8868953246274163E+39</v>
      </c>
      <c r="WWA28" s="160">
        <f t="shared" ref="WWA28" si="8070">WVY28*$C$28</f>
        <v>1.9057642778736905E+39</v>
      </c>
      <c r="WWC28" s="160">
        <f t="shared" ref="WWC28" si="8071">WWA28*$C$28</f>
        <v>1.9248219206524275E+39</v>
      </c>
      <c r="WWE28" s="160">
        <f t="shared" ref="WWE28" si="8072">WWC28*$C$28</f>
        <v>1.9440701398589519E+39</v>
      </c>
      <c r="WWG28" s="160">
        <f t="shared" ref="WWG28" si="8073">WWE28*$C$28</f>
        <v>1.9635108412575414E+39</v>
      </c>
      <c r="WWI28" s="160">
        <f t="shared" ref="WWI28" si="8074">WWG28*$C$28</f>
        <v>1.9831459496701168E+39</v>
      </c>
      <c r="WWK28" s="160">
        <f t="shared" ref="WWK28" si="8075">WWI28*$C$28</f>
        <v>2.0029774091668179E+39</v>
      </c>
      <c r="WWM28" s="160">
        <f t="shared" ref="WWM28" si="8076">WWK28*$C$28</f>
        <v>2.0230071832584859E+39</v>
      </c>
      <c r="WWO28" s="160">
        <f t="shared" ref="WWO28" si="8077">WWM28*$C$28</f>
        <v>2.0432372550910707E+39</v>
      </c>
      <c r="WWQ28" s="160">
        <f t="shared" ref="WWQ28" si="8078">WWO28*$C$28</f>
        <v>2.0636696276419815E+39</v>
      </c>
      <c r="WWS28" s="160">
        <f t="shared" ref="WWS28" si="8079">WWQ28*$C$28</f>
        <v>2.0843063239184013E+39</v>
      </c>
      <c r="WWU28" s="160">
        <f t="shared" ref="WWU28" si="8080">WWS28*$C$28</f>
        <v>2.1051493871575853E+39</v>
      </c>
      <c r="WWW28" s="160">
        <f t="shared" ref="WWW28" si="8081">WWU28*$C$28</f>
        <v>2.1262008810291613E+39</v>
      </c>
      <c r="WWY28" s="160">
        <f t="shared" ref="WWY28" si="8082">WWW28*$C$28</f>
        <v>2.147462889839453E+39</v>
      </c>
      <c r="WXA28" s="160">
        <f t="shared" ref="WXA28" si="8083">WWY28*$C$28</f>
        <v>2.1689375187378476E+39</v>
      </c>
      <c r="WXC28" s="160">
        <f t="shared" ref="WXC28" si="8084">WXA28*$C$28</f>
        <v>2.1906268939252262E+39</v>
      </c>
      <c r="WXE28" s="160">
        <f t="shared" ref="WXE28" si="8085">WXC28*$C$28</f>
        <v>2.2125331628644784E+39</v>
      </c>
      <c r="WXG28" s="160">
        <f t="shared" ref="WXG28" si="8086">WXE28*$C$28</f>
        <v>2.2346584944931232E+39</v>
      </c>
      <c r="WXI28" s="160">
        <f t="shared" ref="WXI28" si="8087">WXG28*$C$28</f>
        <v>2.2570050794380544E+39</v>
      </c>
      <c r="WXK28" s="160">
        <f t="shared" ref="WXK28" si="8088">WXI28*$C$28</f>
        <v>2.2795751302324351E+39</v>
      </c>
      <c r="WXM28" s="160">
        <f t="shared" ref="WXM28" si="8089">WXK28*$C$28</f>
        <v>2.3023708815347596E+39</v>
      </c>
      <c r="WXO28" s="160">
        <f t="shared" ref="WXO28" si="8090">WXM28*$C$28</f>
        <v>2.3253945903501072E+39</v>
      </c>
      <c r="WXQ28" s="160">
        <f t="shared" ref="WXQ28" si="8091">WXO28*$C$28</f>
        <v>2.3486485362536083E+39</v>
      </c>
      <c r="WXS28" s="160">
        <f t="shared" ref="WXS28" si="8092">WXQ28*$C$28</f>
        <v>2.3721350216161443E+39</v>
      </c>
      <c r="WXU28" s="160">
        <f t="shared" ref="WXU28" si="8093">WXS28*$C$28</f>
        <v>2.3958563718323056E+39</v>
      </c>
      <c r="WXW28" s="160">
        <f t="shared" ref="WXW28" si="8094">WXU28*$C$28</f>
        <v>2.4198149355506287E+39</v>
      </c>
      <c r="WXY28" s="160">
        <f t="shared" ref="WXY28" si="8095">WXW28*$C$28</f>
        <v>2.4440130849061349E+39</v>
      </c>
      <c r="WYA28" s="160">
        <f t="shared" ref="WYA28" si="8096">WXY28*$C$28</f>
        <v>2.4684532157551963E+39</v>
      </c>
      <c r="WYC28" s="160">
        <f t="shared" ref="WYC28" si="8097">WYA28*$C$28</f>
        <v>2.4931377479127483E+39</v>
      </c>
      <c r="WYE28" s="160">
        <f t="shared" ref="WYE28" si="8098">WYC28*$C$28</f>
        <v>2.5180691253918758E+39</v>
      </c>
      <c r="WYG28" s="160">
        <f t="shared" ref="WYG28" si="8099">WYE28*$C$28</f>
        <v>2.5432498166457947E+39</v>
      </c>
      <c r="WYI28" s="160">
        <f t="shared" ref="WYI28" si="8100">WYG28*$C$28</f>
        <v>2.5686823148122527E+39</v>
      </c>
      <c r="WYK28" s="160">
        <f t="shared" ref="WYK28" si="8101">WYI28*$C$28</f>
        <v>2.5943691379603752E+39</v>
      </c>
      <c r="WYM28" s="160">
        <f t="shared" ref="WYM28" si="8102">WYK28*$C$28</f>
        <v>2.6203128293399788E+39</v>
      </c>
      <c r="WYO28" s="160">
        <f t="shared" ref="WYO28" si="8103">WYM28*$C$28</f>
        <v>2.6465159576333786E+39</v>
      </c>
      <c r="WYQ28" s="160">
        <f t="shared" ref="WYQ28" si="8104">WYO28*$C$28</f>
        <v>2.6729811172097125E+39</v>
      </c>
      <c r="WYS28" s="160">
        <f t="shared" ref="WYS28" si="8105">WYQ28*$C$28</f>
        <v>2.6997109283818095E+39</v>
      </c>
      <c r="WYU28" s="160">
        <f t="shared" ref="WYU28" si="8106">WYS28*$C$28</f>
        <v>2.7267080376656277E+39</v>
      </c>
      <c r="WYW28" s="160">
        <f t="shared" ref="WYW28" si="8107">WYU28*$C$28</f>
        <v>2.7539751180422838E+39</v>
      </c>
      <c r="WYY28" s="160">
        <f t="shared" ref="WYY28" si="8108">WYW28*$C$28</f>
        <v>2.7815148692227065E+39</v>
      </c>
      <c r="WZA28" s="160">
        <f t="shared" ref="WZA28" si="8109">WYY28*$C$28</f>
        <v>2.8093300179149336E+39</v>
      </c>
      <c r="WZC28" s="160">
        <f t="shared" ref="WZC28" si="8110">WZA28*$C$28</f>
        <v>2.8374233180940832E+39</v>
      </c>
      <c r="WZE28" s="160">
        <f t="shared" ref="WZE28" si="8111">WZC28*$C$28</f>
        <v>2.8657975512750239E+39</v>
      </c>
      <c r="WZG28" s="160">
        <f t="shared" ref="WZG28" si="8112">WZE28*$C$28</f>
        <v>2.8944555267877742E+39</v>
      </c>
      <c r="WZI28" s="160">
        <f t="shared" ref="WZI28" si="8113">WZG28*$C$28</f>
        <v>2.9234000820556519E+39</v>
      </c>
      <c r="WZK28" s="160">
        <f t="shared" ref="WZK28" si="8114">WZI28*$C$28</f>
        <v>2.9526340828762082E+39</v>
      </c>
      <c r="WZM28" s="160">
        <f t="shared" ref="WZM28" si="8115">WZK28*$C$28</f>
        <v>2.9821604237049704E+39</v>
      </c>
      <c r="WZO28" s="160">
        <f t="shared" ref="WZO28" si="8116">WZM28*$C$28</f>
        <v>3.0119820279420205E+39</v>
      </c>
      <c r="WZQ28" s="160">
        <f t="shared" ref="WZQ28" si="8117">WZO28*$C$28</f>
        <v>3.0421018482214408E+39</v>
      </c>
      <c r="WZS28" s="160">
        <f t="shared" ref="WZS28" si="8118">WZQ28*$C$28</f>
        <v>3.0725228667036551E+39</v>
      </c>
      <c r="WZU28" s="160">
        <f t="shared" ref="WZU28" si="8119">WZS28*$C$28</f>
        <v>3.1032480953706915E+39</v>
      </c>
      <c r="WZW28" s="160">
        <f t="shared" ref="WZW28" si="8120">WZU28*$C$28</f>
        <v>3.1342805763243984E+39</v>
      </c>
      <c r="WZY28" s="160">
        <f t="shared" ref="WZY28" si="8121">WZW28*$C$28</f>
        <v>3.1656233820876421E+39</v>
      </c>
      <c r="XAA28" s="160">
        <f t="shared" ref="XAA28" si="8122">WZY28*$C$28</f>
        <v>3.1972796159085186E+39</v>
      </c>
      <c r="XAC28" s="160">
        <f t="shared" ref="XAC28" si="8123">XAA28*$C$28</f>
        <v>3.2292524120676036E+39</v>
      </c>
      <c r="XAE28" s="160">
        <f t="shared" ref="XAE28" si="8124">XAC28*$C$28</f>
        <v>3.2615449361882794E+39</v>
      </c>
      <c r="XAG28" s="160">
        <f t="shared" ref="XAG28" si="8125">XAE28*$C$28</f>
        <v>3.2941603855501622E+39</v>
      </c>
      <c r="XAI28" s="160">
        <f t="shared" ref="XAI28" si="8126">XAG28*$C$28</f>
        <v>3.3271019894056638E+39</v>
      </c>
      <c r="XAK28" s="160">
        <f t="shared" ref="XAK28" si="8127">XAI28*$C$28</f>
        <v>3.3603730092997208E+39</v>
      </c>
      <c r="XAM28" s="160">
        <f t="shared" ref="XAM28" si="8128">XAK28*$C$28</f>
        <v>3.3939767393927179E+39</v>
      </c>
      <c r="XAO28" s="160">
        <f t="shared" ref="XAO28" si="8129">XAM28*$C$28</f>
        <v>3.4279165067866452E+39</v>
      </c>
      <c r="XAQ28" s="160">
        <f t="shared" ref="XAQ28" si="8130">XAO28*$C$28</f>
        <v>3.4621956718545115E+39</v>
      </c>
      <c r="XAS28" s="160">
        <f t="shared" ref="XAS28" si="8131">XAQ28*$C$28</f>
        <v>3.4968176285730565E+39</v>
      </c>
      <c r="XAU28" s="160">
        <f t="shared" ref="XAU28" si="8132">XAS28*$C$28</f>
        <v>3.5317858048587872E+39</v>
      </c>
      <c r="XAW28" s="160">
        <f t="shared" ref="XAW28" si="8133">XAU28*$C$28</f>
        <v>3.5671036629073754E+39</v>
      </c>
      <c r="XAY28" s="160">
        <f t="shared" ref="XAY28" si="8134">XAW28*$C$28</f>
        <v>3.6027746995364489E+39</v>
      </c>
      <c r="XBA28" s="160">
        <f t="shared" ref="XBA28" si="8135">XAY28*$C$28</f>
        <v>3.6388024465318132E+39</v>
      </c>
      <c r="XBC28" s="160">
        <f t="shared" ref="XBC28" si="8136">XBA28*$C$28</f>
        <v>3.6751904709971315E+39</v>
      </c>
      <c r="XBE28" s="160">
        <f t="shared" ref="XBE28" si="8137">XBC28*$C$28</f>
        <v>3.7119423757071027E+39</v>
      </c>
      <c r="XBG28" s="160">
        <f t="shared" ref="XBG28" si="8138">XBE28*$C$28</f>
        <v>3.7490617994641738E+39</v>
      </c>
      <c r="XBI28" s="160">
        <f t="shared" ref="XBI28" si="8139">XBG28*$C$28</f>
        <v>3.7865524174588158E+39</v>
      </c>
      <c r="XBK28" s="160">
        <f t="shared" ref="XBK28" si="8140">XBI28*$C$28</f>
        <v>3.8244179416334042E+39</v>
      </c>
      <c r="XBM28" s="160">
        <f t="shared" ref="XBM28" si="8141">XBK28*$C$28</f>
        <v>3.8626621210497381E+39</v>
      </c>
      <c r="XBO28" s="160">
        <f t="shared" ref="XBO28" si="8142">XBM28*$C$28</f>
        <v>3.9012887422602355E+39</v>
      </c>
      <c r="XBQ28" s="160">
        <f t="shared" ref="XBQ28" si="8143">XBO28*$C$28</f>
        <v>3.9403016296828378E+39</v>
      </c>
      <c r="XBS28" s="160">
        <f t="shared" ref="XBS28" si="8144">XBQ28*$C$28</f>
        <v>3.9797046459796663E+39</v>
      </c>
      <c r="XBU28" s="160">
        <f t="shared" ref="XBU28" si="8145">XBS28*$C$28</f>
        <v>4.0195016924394631E+39</v>
      </c>
      <c r="XBW28" s="160">
        <f t="shared" ref="XBW28" si="8146">XBU28*$C$28</f>
        <v>4.0596967093638576E+39</v>
      </c>
      <c r="XBY28" s="160">
        <f t="shared" ref="XBY28" si="8147">XBW28*$C$28</f>
        <v>4.1002936764574961E+39</v>
      </c>
      <c r="XCA28" s="160">
        <f t="shared" ref="XCA28" si="8148">XBY28*$C$28</f>
        <v>4.1412966132220709E+39</v>
      </c>
      <c r="XCC28" s="160">
        <f t="shared" ref="XCC28" si="8149">XCA28*$C$28</f>
        <v>4.1827095793542914E+39</v>
      </c>
      <c r="XCE28" s="160">
        <f t="shared" ref="XCE28" si="8150">XCC28*$C$28</f>
        <v>4.2245366751478343E+39</v>
      </c>
      <c r="XCG28" s="160">
        <f t="shared" ref="XCG28" si="8151">XCE28*$C$28</f>
        <v>4.2667820418993125E+39</v>
      </c>
      <c r="XCI28" s="160">
        <f t="shared" ref="XCI28" si="8152">XCG28*$C$28</f>
        <v>4.3094498623183058E+39</v>
      </c>
      <c r="XCK28" s="160">
        <f t="shared" ref="XCK28" si="8153">XCI28*$C$28</f>
        <v>4.3525443609414887E+39</v>
      </c>
      <c r="XCM28" s="160">
        <f t="shared" ref="XCM28" si="8154">XCK28*$C$28</f>
        <v>4.3960698045509035E+39</v>
      </c>
      <c r="XCO28" s="160">
        <f t="shared" ref="XCO28" si="8155">XCM28*$C$28</f>
        <v>4.4400305025964127E+39</v>
      </c>
      <c r="XCQ28" s="160">
        <f t="shared" ref="XCQ28" si="8156">XCO28*$C$28</f>
        <v>4.4844308076223771E+39</v>
      </c>
      <c r="XCS28" s="160">
        <f t="shared" ref="XCS28" si="8157">XCQ28*$C$28</f>
        <v>4.5292751156986009E+39</v>
      </c>
      <c r="XCU28" s="160">
        <f t="shared" ref="XCU28" si="8158">XCS28*$C$28</f>
        <v>4.5745678668555869E+39</v>
      </c>
      <c r="XCW28" s="160">
        <f t="shared" ref="XCW28" si="8159">XCU28*$C$28</f>
        <v>4.6203135455241427E+39</v>
      </c>
      <c r="XCY28" s="160">
        <f t="shared" ref="XCY28" si="8160">XCW28*$C$28</f>
        <v>4.666516680979384E+39</v>
      </c>
      <c r="XDA28" s="160">
        <f t="shared" ref="XDA28" si="8161">XCY28*$C$28</f>
        <v>4.7131818477891779E+39</v>
      </c>
      <c r="XDC28" s="160">
        <f t="shared" ref="XDC28" si="8162">XDA28*$C$28</f>
        <v>4.7603136662670695E+39</v>
      </c>
      <c r="XDE28" s="160">
        <f t="shared" ref="XDE28" si="8163">XDC28*$C$28</f>
        <v>4.8079168029297403E+39</v>
      </c>
      <c r="XDG28" s="160">
        <f t="shared" ref="XDG28" si="8164">XDE28*$C$28</f>
        <v>4.8559959709590375E+39</v>
      </c>
      <c r="XDI28" s="160">
        <f t="shared" ref="XDI28" si="8165">XDG28*$C$28</f>
        <v>4.9045559306686281E+39</v>
      </c>
      <c r="XDK28" s="160">
        <f t="shared" ref="XDK28" si="8166">XDI28*$C$28</f>
        <v>4.9536014899753142E+39</v>
      </c>
      <c r="XDM28" s="160">
        <f t="shared" ref="XDM28" si="8167">XDK28*$C$28</f>
        <v>5.0031375048750671E+39</v>
      </c>
      <c r="XDO28" s="160">
        <f t="shared" ref="XDO28" si="8168">XDM28*$C$28</f>
        <v>5.053168879923818E+39</v>
      </c>
      <c r="XDQ28" s="160">
        <f t="shared" ref="XDQ28" si="8169">XDO28*$C$28</f>
        <v>5.1037005687230564E+39</v>
      </c>
      <c r="XDS28" s="160">
        <f t="shared" ref="XDS28" si="8170">XDQ28*$C$28</f>
        <v>5.1547375744102873E+39</v>
      </c>
      <c r="XDU28" s="160">
        <f t="shared" ref="XDU28" si="8171">XDS28*$C$28</f>
        <v>5.20628495015439E+39</v>
      </c>
      <c r="XDW28" s="160">
        <f t="shared" ref="XDW28" si="8172">XDU28*$C$28</f>
        <v>5.2583477996559337E+39</v>
      </c>
      <c r="XDY28" s="160">
        <f t="shared" ref="XDY28" si="8173">XDW28*$C$28</f>
        <v>5.3109312776524929E+39</v>
      </c>
      <c r="XEA28" s="160">
        <f t="shared" ref="XEA28" si="8174">XDY28*$C$28</f>
        <v>5.3640405904290182E+39</v>
      </c>
      <c r="XEC28" s="160">
        <f t="shared" ref="XEC28" si="8175">XEA28*$C$28</f>
        <v>5.4176809963333086E+39</v>
      </c>
      <c r="XEE28" s="160">
        <f t="shared" ref="XEE28" si="8176">XEC28*$C$28</f>
        <v>5.4718578062966413E+39</v>
      </c>
      <c r="XEG28" s="160">
        <f t="shared" ref="XEG28" si="8177">XEE28*$C$28</f>
        <v>5.5265763843596074E+39</v>
      </c>
      <c r="XEI28" s="160">
        <f t="shared" ref="XEI28" si="8178">XEG28*$C$28</f>
        <v>5.5818421482032038E+39</v>
      </c>
      <c r="XEK28" s="160">
        <f t="shared" ref="XEK28" si="8179">XEI28*$C$28</f>
        <v>5.6376605696852354E+39</v>
      </c>
      <c r="XEM28" s="160">
        <f t="shared" ref="XEM28" si="8180">XEK28*$C$28</f>
        <v>5.694037175382088E+39</v>
      </c>
      <c r="XEO28" s="160">
        <f t="shared" ref="XEO28" si="8181">XEM28*$C$28</f>
        <v>5.7509775471359092E+39</v>
      </c>
      <c r="XEQ28" s="160">
        <f t="shared" ref="XEQ28" si="8182">XEO28*$C$28</f>
        <v>5.8084873226072685E+39</v>
      </c>
      <c r="XES28" s="160">
        <f t="shared" ref="XES28" si="8183">XEQ28*$C$28</f>
        <v>5.8665721958333414E+39</v>
      </c>
      <c r="XEU28" s="160">
        <f t="shared" ref="XEU28" si="8184">XES28*$C$28</f>
        <v>5.925237917791675E+39</v>
      </c>
      <c r="XEW28" s="160">
        <f t="shared" ref="XEW28" si="8185">XEU28*$C$28</f>
        <v>5.9844902969695913E+39</v>
      </c>
      <c r="XEY28" s="160">
        <f t="shared" ref="XEY28" si="8186">XEW28*$C$28</f>
        <v>6.0443351999392877E+39</v>
      </c>
      <c r="XFA28" s="160">
        <f t="shared" ref="XFA28" si="8187">XEY28*$C$28</f>
        <v>6.1047785519386805E+39</v>
      </c>
      <c r="XFC28" s="160">
        <f t="shared" ref="XFC28" si="8188">XFA28*$C$28</f>
        <v>6.165826337458067E+39</v>
      </c>
    </row>
    <row r="29" spans="1:1023 1025:2047 2049:3071 3073:4095 4097:5119 5121:6143 6145:7167 7169:8191 8193:9215 9217:10239 10241:11263 11265:12287 12289:13311 13313:14335 14337:15359 15361:16383" s="148" customFormat="1" ht="13.8">
      <c r="A29" s="148" t="s">
        <v>2759</v>
      </c>
      <c r="C29" s="1215"/>
      <c r="E29" s="160">
        <f>Application!AC890</f>
        <v>4000</v>
      </c>
      <c r="F29" s="160"/>
      <c r="G29" s="160">
        <f>$E$29</f>
        <v>4000</v>
      </c>
      <c r="H29" s="160"/>
      <c r="I29" s="160">
        <f>$E$29</f>
        <v>4000</v>
      </c>
      <c r="J29" s="160"/>
      <c r="K29" s="160">
        <f>$E$29</f>
        <v>4000</v>
      </c>
      <c r="L29" s="160"/>
      <c r="M29" s="160">
        <f>$E$29</f>
        <v>4000</v>
      </c>
      <c r="N29" s="160"/>
      <c r="O29" s="160">
        <f>$E$29</f>
        <v>4000</v>
      </c>
      <c r="P29" s="160"/>
      <c r="Q29" s="160">
        <f>$E$29</f>
        <v>4000</v>
      </c>
      <c r="R29" s="160"/>
      <c r="S29" s="160">
        <f>$E$29</f>
        <v>4000</v>
      </c>
      <c r="T29" s="160"/>
      <c r="U29" s="160">
        <f>$E$29</f>
        <v>4000</v>
      </c>
      <c r="V29" s="160"/>
      <c r="W29" s="160">
        <f>$E$29</f>
        <v>4000</v>
      </c>
      <c r="X29" s="160"/>
      <c r="Y29" s="160">
        <f>$E$29</f>
        <v>4000</v>
      </c>
      <c r="Z29" s="160"/>
      <c r="AA29" s="160">
        <f>$E$29</f>
        <v>4000</v>
      </c>
      <c r="AB29" s="160"/>
      <c r="AC29" s="160">
        <f>$E$29</f>
        <v>4000</v>
      </c>
      <c r="AD29" s="160"/>
      <c r="AE29" s="160">
        <f>$E$29</f>
        <v>4000</v>
      </c>
      <c r="AF29" s="160"/>
      <c r="AG29" s="160">
        <f>$E$29</f>
        <v>4000</v>
      </c>
    </row>
    <row r="30" spans="1:1023 1025:2047 2049:3071 3073:4095 4097:5119 5121:6143 6145:7167 7169:8191 8193:9215 9217:10239 10241:11263 11265:12287 12289:13311 13313:14335 14337:15359 15361:16383" s="148" customFormat="1" ht="13.8">
      <c r="A30" s="148" t="s">
        <v>2760</v>
      </c>
      <c r="C30" s="1215">
        <v>1.02</v>
      </c>
      <c r="E30" s="160">
        <f>Application!AC891</f>
        <v>12500</v>
      </c>
      <c r="F30" s="160"/>
      <c r="G30" s="160">
        <f>E30*$C$30</f>
        <v>12750</v>
      </c>
      <c r="H30" s="160"/>
      <c r="I30" s="160">
        <f>G30*$C$30</f>
        <v>13005</v>
      </c>
      <c r="J30" s="160"/>
      <c r="K30" s="160">
        <f>I30*$C$30</f>
        <v>13265.1</v>
      </c>
      <c r="L30" s="160"/>
      <c r="M30" s="160">
        <f>K30*$C$30</f>
        <v>13530.402</v>
      </c>
      <c r="N30" s="160"/>
      <c r="O30" s="160">
        <f>M30*$C$30</f>
        <v>13801.010040000001</v>
      </c>
      <c r="P30" s="160"/>
      <c r="Q30" s="160">
        <f>O30*$C$30</f>
        <v>14077.030240800001</v>
      </c>
      <c r="R30" s="160"/>
      <c r="S30" s="160">
        <f>Q30*$C$30</f>
        <v>14358.570845616001</v>
      </c>
      <c r="T30" s="160"/>
      <c r="U30" s="160">
        <f>S30*$C$30</f>
        <v>14645.742262528322</v>
      </c>
      <c r="V30" s="160"/>
      <c r="W30" s="160">
        <f>U30*$C$30</f>
        <v>14938.657107778889</v>
      </c>
      <c r="X30" s="160"/>
      <c r="Y30" s="160">
        <f>W30*$C$30</f>
        <v>15237.430249934467</v>
      </c>
      <c r="Z30" s="160"/>
      <c r="AA30" s="160">
        <f>Y30*$C$30</f>
        <v>15542.178854933156</v>
      </c>
      <c r="AB30" s="160"/>
      <c r="AC30" s="160">
        <f>AA30*$C$30</f>
        <v>15853.022432031819</v>
      </c>
      <c r="AD30" s="160"/>
      <c r="AE30" s="160">
        <f>AC30*$C$30</f>
        <v>16170.082880672457</v>
      </c>
      <c r="AF30" s="160"/>
      <c r="AG30" s="160">
        <f>AE30*$C$30</f>
        <v>16493.484538285906</v>
      </c>
    </row>
    <row r="31" spans="1:1023 1025:2047 2049:3071 3073:4095 4097:5119 5121:6143 6145:7167 7169:8191 8193:9215 9217:10239 10241:11263 11265:12287 12289:13311 13313:14335 14337:15359 15361:16383" s="148" customFormat="1" ht="13.8">
      <c r="A31" s="148" t="s">
        <v>2761</v>
      </c>
      <c r="C31" s="1215">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1023 1025:2047 2049:3071 3073:4095 4097:5119 5121:6143 6145:7167 7169:8191 8193:9215 9217:10239 10241:11263 11265:12287 12289:13311 13313:14335 14337:15359 15361:16383" s="148" customFormat="1" ht="13.8">
      <c r="A32" s="148" t="str">
        <f>Application!C893</f>
        <v>Other (Issuance/Trust Fees):</v>
      </c>
      <c r="C32" s="1217">
        <v>1.03</v>
      </c>
      <c r="E32" s="160">
        <f>Application!AC893</f>
        <v>23000</v>
      </c>
      <c r="F32" s="160"/>
      <c r="G32" s="160">
        <f>E32*$C$32</f>
        <v>23690</v>
      </c>
      <c r="H32" s="160"/>
      <c r="I32" s="160">
        <f>G32*$C$32</f>
        <v>24400.7</v>
      </c>
      <c r="J32" s="160"/>
      <c r="K32" s="160">
        <f>I32*$C$32</f>
        <v>25132.721000000001</v>
      </c>
      <c r="L32" s="160"/>
      <c r="M32" s="160">
        <f>K32*$C$32</f>
        <v>25886.702630000003</v>
      </c>
      <c r="N32" s="160"/>
      <c r="O32" s="160">
        <f>M32*$C$32</f>
        <v>26663.303708900003</v>
      </c>
      <c r="P32" s="160"/>
      <c r="Q32" s="160">
        <f>O32*$C$32</f>
        <v>27463.202820167004</v>
      </c>
      <c r="R32" s="160"/>
      <c r="S32" s="160">
        <f>Q32*$C$32</f>
        <v>28287.098904772014</v>
      </c>
      <c r="T32" s="160"/>
      <c r="U32" s="160">
        <f>S32*$C$32</f>
        <v>29135.711871915177</v>
      </c>
      <c r="V32" s="160"/>
      <c r="W32" s="160">
        <f>U32*$C$32</f>
        <v>30009.783228072632</v>
      </c>
      <c r="X32" s="160"/>
      <c r="Y32" s="160">
        <f>W32*$C$32</f>
        <v>30910.076724914812</v>
      </c>
      <c r="Z32" s="160"/>
      <c r="AA32" s="160">
        <f>Y32*$C$32</f>
        <v>31837.379026662256</v>
      </c>
      <c r="AB32" s="160"/>
      <c r="AC32" s="160">
        <f>AA32*$C$32</f>
        <v>32792.500397462121</v>
      </c>
      <c r="AD32" s="160"/>
      <c r="AE32" s="160">
        <f>AC32*$C$32</f>
        <v>33776.275409385984</v>
      </c>
      <c r="AF32" s="160"/>
      <c r="AG32" s="160">
        <f>AE32*$C$32</f>
        <v>34789.563671667565</v>
      </c>
    </row>
    <row r="33" spans="1:33" s="148" customFormat="1" ht="13.8">
      <c r="A33" s="148" t="str">
        <f>Application!C894</f>
        <v>Other (Specify):</v>
      </c>
      <c r="C33" s="1217">
        <v>1.03</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3.8">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3.8">
      <c r="A35" s="161" t="s">
        <v>1657</v>
      </c>
      <c r="C35" s="162"/>
      <c r="E35" s="161">
        <f>SUM(E22:E33)</f>
        <v>988167</v>
      </c>
      <c r="G35" s="161">
        <f>SUM(G22:G33)</f>
        <v>1017062.01</v>
      </c>
      <c r="I35" s="161">
        <f>SUM(I22:I33)</f>
        <v>1046816.3202999999</v>
      </c>
      <c r="K35" s="161">
        <f>SUM(K22:K33)</f>
        <v>1077455.609409</v>
      </c>
      <c r="M35" s="161">
        <f>SUM(M22:M33)</f>
        <v>1109006.3246862702</v>
      </c>
      <c r="O35" s="161">
        <f>SUM(O22:O33)</f>
        <v>1141495.7053818083</v>
      </c>
      <c r="Q35" s="161">
        <f>SUM(Q22:Q33)</f>
        <v>1174951.8063675617</v>
      </c>
      <c r="S35" s="161">
        <f>SUM(S22:S33)</f>
        <v>1209403.5225801277</v>
      </c>
      <c r="U35" s="161">
        <f>SUM(U22:U33)</f>
        <v>1244880.6141962609</v>
      </c>
      <c r="W35" s="161">
        <f>SUM(W22:W33)</f>
        <v>1281413.7325631813</v>
      </c>
      <c r="Y35" s="161">
        <f>SUM(Y22:Y33)</f>
        <v>1319034.4469062937</v>
      </c>
      <c r="AA35" s="161">
        <f>SUM(AA22:AA33)</f>
        <v>1357775.2718376508</v>
      </c>
      <c r="AC35" s="161">
        <f>SUM(AC22:AC33)</f>
        <v>1397669.6956891646</v>
      </c>
      <c r="AE35" s="161">
        <f>SUM(AE22:AE33)</f>
        <v>1438752.2096953029</v>
      </c>
      <c r="AG35" s="161">
        <f>SUM(AG22:AG33)</f>
        <v>1481058.3380507363</v>
      </c>
    </row>
    <row r="36" spans="1:33" s="148" customFormat="1" ht="13.8">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3.8">
      <c r="A37" s="161" t="s">
        <v>2762</v>
      </c>
      <c r="C37" s="162"/>
      <c r="E37" s="161">
        <f>E11-E35</f>
        <v>1241170.7999999998</v>
      </c>
      <c r="G37" s="161">
        <f>G11-G35</f>
        <v>1256902.845</v>
      </c>
      <c r="I37" s="161">
        <f>I11-I35</f>
        <v>1272669.1382750003</v>
      </c>
      <c r="K37" s="161">
        <f>K11-K35</f>
        <v>1288461.8974743753</v>
      </c>
      <c r="M37" s="161">
        <f>M11-M35</f>
        <v>1304272.9299500696</v>
      </c>
      <c r="O37" s="161">
        <f>O11-O35</f>
        <v>1320093.6169029376</v>
      </c>
      <c r="Q37" s="161">
        <f>Q11-Q35</f>
        <v>1335914.8969824505</v>
      </c>
      <c r="S37" s="161">
        <f>S11-S35</f>
        <v>1351727.249321945</v>
      </c>
      <c r="U37" s="161">
        <f>U11-U35</f>
        <v>1367520.6759910411</v>
      </c>
      <c r="W37" s="161">
        <f>W11-W35</f>
        <v>1383284.6838462325</v>
      </c>
      <c r="Y37" s="161">
        <f>Y11-Y35</f>
        <v>1399008.2657601349</v>
      </c>
      <c r="AA37" s="161">
        <f>AA11-AA35</f>
        <v>1414679.8812091528</v>
      </c>
      <c r="AC37" s="161">
        <f>AC11-AC35</f>
        <v>1430287.436198798</v>
      </c>
      <c r="AE37" s="161">
        <f>AE11-AE35</f>
        <v>1445818.2625051476</v>
      </c>
      <c r="AG37" s="161">
        <f>AG11-AG35</f>
        <v>1461259.0962103193</v>
      </c>
    </row>
    <row r="38" spans="1:33" s="148" customFormat="1" ht="13.8">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8">
      <c r="A39" s="156" t="s">
        <v>2763</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3.8">
      <c r="A40" s="163" t="str">
        <f>Application!C627</f>
        <v>Citibank</v>
      </c>
      <c r="B40" s="164"/>
      <c r="C40" s="158"/>
      <c r="E40" s="160">
        <f>Application!AF627</f>
        <v>1076165.0353524983</v>
      </c>
      <c r="F40" s="160"/>
      <c r="G40" s="160">
        <f>$E$40</f>
        <v>1076165.0353524983</v>
      </c>
      <c r="H40" s="160"/>
      <c r="I40" s="160">
        <f>$E$40</f>
        <v>1076165.0353524983</v>
      </c>
      <c r="J40" s="160"/>
      <c r="K40" s="160">
        <f>$E$40</f>
        <v>1076165.0353524983</v>
      </c>
      <c r="L40" s="160"/>
      <c r="M40" s="160">
        <f>$E$40</f>
        <v>1076165.0353524983</v>
      </c>
      <c r="N40" s="160"/>
      <c r="O40" s="160">
        <f>$E$40</f>
        <v>1076165.0353524983</v>
      </c>
      <c r="P40" s="160"/>
      <c r="Q40" s="160">
        <f>$E$40</f>
        <v>1076165.0353524983</v>
      </c>
      <c r="R40" s="160"/>
      <c r="S40" s="160">
        <f>$E$40</f>
        <v>1076165.0353524983</v>
      </c>
      <c r="T40" s="160"/>
      <c r="U40" s="160">
        <f>$E$40</f>
        <v>1076165.0353524983</v>
      </c>
      <c r="V40" s="160"/>
      <c r="W40" s="160">
        <f>$E$40</f>
        <v>1076165.0353524983</v>
      </c>
      <c r="X40" s="160"/>
      <c r="Y40" s="160">
        <f>$E$40</f>
        <v>1076165.0353524983</v>
      </c>
      <c r="Z40" s="160"/>
      <c r="AA40" s="160">
        <f>$E$40</f>
        <v>1076165.0353524983</v>
      </c>
      <c r="AB40" s="160"/>
      <c r="AC40" s="160">
        <f>$E$40</f>
        <v>1076165.0353524983</v>
      </c>
      <c r="AD40" s="160"/>
      <c r="AE40" s="160">
        <f>$E$40</f>
        <v>1076165.0353524983</v>
      </c>
      <c r="AF40" s="160"/>
      <c r="AG40" s="160">
        <f>$E$40</f>
        <v>1076165.0353524983</v>
      </c>
    </row>
    <row r="41" spans="1:33" s="148" customFormat="1" ht="13.8">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3.8">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3.8">
      <c r="A43" s="161" t="s">
        <v>2764</v>
      </c>
      <c r="C43" s="162"/>
      <c r="E43" s="161">
        <f>SUM(E40:E42)</f>
        <v>1076165.0353524983</v>
      </c>
      <c r="G43" s="161">
        <f>SUM(G40:G42)</f>
        <v>1076165.0353524983</v>
      </c>
      <c r="I43" s="161">
        <f>SUM(I40:I42)</f>
        <v>1076165.0353524983</v>
      </c>
      <c r="K43" s="161">
        <f>SUM(K40:K42)</f>
        <v>1076165.0353524983</v>
      </c>
      <c r="M43" s="161">
        <f>SUM(M40:M42)</f>
        <v>1076165.0353524983</v>
      </c>
      <c r="O43" s="161">
        <f>SUM(O40:O42)</f>
        <v>1076165.0353524983</v>
      </c>
      <c r="Q43" s="161">
        <f>SUM(Q40:Q42)</f>
        <v>1076165.0353524983</v>
      </c>
      <c r="S43" s="161">
        <f>SUM(S40:S42)</f>
        <v>1076165.0353524983</v>
      </c>
      <c r="U43" s="161">
        <f>SUM(U40:U42)</f>
        <v>1076165.0353524983</v>
      </c>
      <c r="W43" s="161">
        <f>SUM(W40:W42)</f>
        <v>1076165.0353524983</v>
      </c>
      <c r="Y43" s="161">
        <f>SUM(Y40:Y42)</f>
        <v>1076165.0353524983</v>
      </c>
      <c r="AA43" s="161">
        <f>SUM(AA40:AA42)</f>
        <v>1076165.0353524983</v>
      </c>
      <c r="AC43" s="161">
        <f>SUM(AC40:AC42)</f>
        <v>1076165.0353524983</v>
      </c>
      <c r="AE43" s="161">
        <f>SUM(AE40:AE42)</f>
        <v>1076165.0353524983</v>
      </c>
      <c r="AG43" s="161">
        <f>SUM(AG40:AG42)</f>
        <v>1076165.0353524983</v>
      </c>
    </row>
    <row r="44" spans="1:33" s="148" customFormat="1" ht="13.8">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3.8">
      <c r="A45" s="161" t="s">
        <v>2765</v>
      </c>
      <c r="C45" s="162"/>
      <c r="E45" s="161">
        <f>E37-E43</f>
        <v>165005.76464750152</v>
      </c>
      <c r="G45" s="161">
        <f>G37-G43</f>
        <v>180737.80964750168</v>
      </c>
      <c r="I45" s="161">
        <f>I37-I43</f>
        <v>196504.10292250197</v>
      </c>
      <c r="K45" s="161">
        <f>K37-K43</f>
        <v>212296.86212187703</v>
      </c>
      <c r="M45" s="161">
        <f>M37-M43</f>
        <v>228107.89459757134</v>
      </c>
      <c r="O45" s="161">
        <f>O37-O43</f>
        <v>243928.58155043935</v>
      </c>
      <c r="Q45" s="161">
        <f>Q37-Q43</f>
        <v>259749.86162995221</v>
      </c>
      <c r="S45" s="161">
        <f>S37-S43</f>
        <v>275562.21396944672</v>
      </c>
      <c r="U45" s="161">
        <f>U37-U43</f>
        <v>291355.64063854283</v>
      </c>
      <c r="W45" s="161">
        <f>W37-W43</f>
        <v>307119.64849373419</v>
      </c>
      <c r="Y45" s="161">
        <f>Y37-Y43</f>
        <v>322843.23040763661</v>
      </c>
      <c r="AA45" s="161">
        <f>AA37-AA43</f>
        <v>338514.84585665446</v>
      </c>
      <c r="AC45" s="161">
        <f>AC37-AC43</f>
        <v>354122.40084629972</v>
      </c>
      <c r="AE45" s="161">
        <f>AE37-AE43</f>
        <v>369653.22715264931</v>
      </c>
      <c r="AG45" s="161">
        <f>AG37-AG43</f>
        <v>385094.06085782102</v>
      </c>
    </row>
    <row r="46" spans="1:33" s="148" customFormat="1" ht="13.8">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3.8">
      <c r="A47" s="165" t="s">
        <v>2766</v>
      </c>
      <c r="C47" s="158"/>
      <c r="E47" s="165">
        <f>E45/(E4+E6+E8)</f>
        <v>6.8094270809089127E-2</v>
      </c>
      <c r="G47" s="165">
        <f>G45/(G4+G6+G8)</f>
        <v>7.3122805575165511E-2</v>
      </c>
      <c r="I47" s="165">
        <f>I45/(I4+I6+I8)</f>
        <v>7.7941326388959134E-2</v>
      </c>
      <c r="K47" s="165">
        <f>K45/(K4+K6+K8)</f>
        <v>8.2552845283297441E-2</v>
      </c>
      <c r="M47" s="165">
        <f>M45/(M4+M6+M8)</f>
        <v>8.6960304591801332E-2</v>
      </c>
      <c r="O47" s="165">
        <f>O45/(O4+O6+O8)</f>
        <v>9.1166578210669286E-2</v>
      </c>
      <c r="Q47" s="165">
        <f>Q45/(Q4+Q6+Q8)</f>
        <v>9.5174472834713572E-2</v>
      </c>
      <c r="S47" s="165">
        <f>S45/(S4+S6+S8)</f>
        <v>9.898672916814201E-2</v>
      </c>
      <c r="U47" s="165">
        <f>U45/(U4+U6+U8)</f>
        <v>0.10260602311057529</v>
      </c>
      <c r="W47" s="165">
        <f>W45/(W4+W6+W8)</f>
        <v>0.1060349669187642</v>
      </c>
      <c r="Y47" s="165">
        <f>Y45/(Y4+Y6+Y8)</f>
        <v>0.10927611034449117</v>
      </c>
      <c r="AA47" s="165">
        <f>AA45/(AA4+AA6+AA8)</f>
        <v>0.11233194174909256</v>
      </c>
      <c r="AC47" s="165">
        <f>AC45/(AC4+AC6+AC8)</f>
        <v>0.11520488919506741</v>
      </c>
      <c r="AE47" s="165">
        <f>AE45/(AE4+AE6+AE8)</f>
        <v>0.11789732151519854</v>
      </c>
      <c r="AG47" s="165">
        <f>AG45/(AG4+AG6+AG8)</f>
        <v>0.12041154935962643</v>
      </c>
    </row>
    <row r="48" spans="1:33" s="165" customFormat="1" ht="13.8">
      <c r="A48" s="165" t="s">
        <v>2767</v>
      </c>
      <c r="C48" s="158"/>
      <c r="E48" s="165">
        <f>E45/E43</f>
        <v>0.15332756522186564</v>
      </c>
      <c r="G48" s="165">
        <f>G45/G43</f>
        <v>0.16794618270449657</v>
      </c>
      <c r="I48" s="165">
        <f>I45/I43</f>
        <v>0.18259662455780956</v>
      </c>
      <c r="K48" s="165">
        <f>K45/K43</f>
        <v>0.19727165922310336</v>
      </c>
      <c r="M48" s="165">
        <f>M45/M43</f>
        <v>0.21196367388283946</v>
      </c>
      <c r="O48" s="165">
        <f>O45/O43</f>
        <v>0.22666465972901678</v>
      </c>
      <c r="Q48" s="165">
        <f>Q45/Q43</f>
        <v>0.24136619672360107</v>
      </c>
      <c r="S48" s="165">
        <f>S45/S43</f>
        <v>0.25605943783444535</v>
      </c>
      <c r="U48" s="165">
        <f>U45/U43</f>
        <v>0.27073509272962876</v>
      </c>
      <c r="W48" s="165">
        <f>W45/W43</f>
        <v>0.28538341091256231</v>
      </c>
      <c r="Y48" s="165">
        <f>Y45/Y43</f>
        <v>0.29999416427972797</v>
      </c>
      <c r="AA48" s="165">
        <f>AA45/AA43</f>
        <v>0.31455662908224274</v>
      </c>
      <c r="AC48" s="165">
        <f>AC45/AC43</f>
        <v>0.32905956727195357</v>
      </c>
      <c r="AE48" s="165">
        <f>AE45/AE43</f>
        <v>0.34349120721206972</v>
      </c>
      <c r="AG48" s="165">
        <f>AG45/AG43</f>
        <v>0.35783922373177951</v>
      </c>
    </row>
    <row r="49" spans="1:35" s="166" customFormat="1" ht="13.8">
      <c r="A49" s="166" t="s">
        <v>2099</v>
      </c>
      <c r="C49" s="167"/>
      <c r="E49" s="166">
        <f>E37/E43</f>
        <v>1.1533275652218657</v>
      </c>
      <c r="G49" s="166">
        <f>G37/G43</f>
        <v>1.1679461827044966</v>
      </c>
      <c r="I49" s="166">
        <f>I37/I43</f>
        <v>1.1825966245578095</v>
      </c>
      <c r="K49" s="166">
        <f>K37/K43</f>
        <v>1.1972716592231034</v>
      </c>
      <c r="M49" s="166">
        <f>M37/M43</f>
        <v>1.2119636738828394</v>
      </c>
      <c r="O49" s="166">
        <f>O37/O43</f>
        <v>1.2266646597290167</v>
      </c>
      <c r="Q49" s="166">
        <f>Q37/Q43</f>
        <v>1.2413661967236012</v>
      </c>
      <c r="S49" s="166">
        <f>S37/S43</f>
        <v>1.2560594378344454</v>
      </c>
      <c r="U49" s="166">
        <f>U37/U43</f>
        <v>1.2707350927296288</v>
      </c>
      <c r="W49" s="166">
        <f>W37/W43</f>
        <v>1.2853834109125624</v>
      </c>
      <c r="Y49" s="166">
        <f>Y37/Y43</f>
        <v>1.2999941642797279</v>
      </c>
      <c r="AA49" s="166">
        <f>AA37/AA43</f>
        <v>1.3145566290822428</v>
      </c>
      <c r="AC49" s="166">
        <f>AC37/AC43</f>
        <v>1.3290595672719536</v>
      </c>
      <c r="AE49" s="166">
        <f>AE37/AE43</f>
        <v>1.3434912072120697</v>
      </c>
      <c r="AG49" s="166">
        <f>AG37/AG43</f>
        <v>1.3578392237317796</v>
      </c>
    </row>
    <row r="50" spans="1:35" s="148" customFormat="1" ht="13.8">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2768</v>
      </c>
      <c r="C51" s="880"/>
      <c r="E51" s="879"/>
      <c r="F51" s="879"/>
      <c r="G51" s="879"/>
      <c r="H51" s="879"/>
      <c r="I51" s="879"/>
      <c r="J51" s="879"/>
      <c r="K51" s="879"/>
      <c r="L51" s="879"/>
      <c r="M51" s="879"/>
      <c r="N51" s="879"/>
      <c r="O51" s="879"/>
      <c r="P51" s="879"/>
      <c r="Q51" s="879"/>
      <c r="R51" s="879"/>
      <c r="S51" s="879"/>
      <c r="T51" s="879"/>
      <c r="U51" s="879"/>
      <c r="V51" s="879"/>
      <c r="W51" s="879"/>
      <c r="X51" s="879"/>
      <c r="Y51" s="879"/>
      <c r="Z51" s="879"/>
      <c r="AA51" s="879"/>
      <c r="AB51" s="879"/>
      <c r="AC51" s="879"/>
      <c r="AD51" s="879"/>
      <c r="AE51" s="879"/>
      <c r="AF51" s="879"/>
      <c r="AG51" s="879"/>
    </row>
    <row r="52" spans="1:35" s="3" customFormat="1">
      <c r="A52" s="2599" t="s">
        <v>2769</v>
      </c>
      <c r="B52" s="2599"/>
      <c r="C52" s="2599"/>
      <c r="D52" s="879"/>
      <c r="E52" s="879"/>
      <c r="F52" s="879"/>
      <c r="G52" s="879"/>
      <c r="H52" s="879"/>
      <c r="I52" s="879"/>
      <c r="J52" s="879"/>
      <c r="K52" s="879"/>
      <c r="L52" s="879"/>
      <c r="M52" s="879"/>
      <c r="N52" s="879"/>
      <c r="O52" s="879"/>
      <c r="P52" s="879"/>
      <c r="Q52" s="879"/>
      <c r="R52" s="879"/>
      <c r="S52" s="879"/>
      <c r="T52" s="879"/>
      <c r="U52" s="879"/>
      <c r="V52" s="879"/>
      <c r="W52" s="879"/>
      <c r="X52" s="879"/>
      <c r="Y52" s="879"/>
      <c r="Z52" s="879"/>
      <c r="AA52" s="879"/>
      <c r="AB52" s="879"/>
      <c r="AC52" s="879"/>
      <c r="AD52" s="879"/>
      <c r="AE52" s="879"/>
      <c r="AF52" s="879"/>
      <c r="AG52" s="879"/>
    </row>
    <row r="53" spans="1:35" s="881" customFormat="1">
      <c r="A53" s="881" t="s">
        <v>2640</v>
      </c>
      <c r="C53" s="882">
        <v>1.03</v>
      </c>
      <c r="E53" s="883"/>
      <c r="G53" s="879">
        <f>E53*$C$53</f>
        <v>0</v>
      </c>
      <c r="I53" s="879">
        <f>G53*$C$53</f>
        <v>0</v>
      </c>
      <c r="K53" s="879">
        <f>I53*$C$53</f>
        <v>0</v>
      </c>
      <c r="M53" s="879">
        <f>K53*$C$53</f>
        <v>0</v>
      </c>
      <c r="O53" s="879">
        <f>M53*$C$53</f>
        <v>0</v>
      </c>
      <c r="Q53" s="879">
        <f>O53*$C$53</f>
        <v>0</v>
      </c>
      <c r="S53" s="879">
        <f>Q53*$C$53</f>
        <v>0</v>
      </c>
      <c r="U53" s="879">
        <f>S53*$C$53</f>
        <v>0</v>
      </c>
      <c r="W53" s="879">
        <f>U53*$C$53</f>
        <v>0</v>
      </c>
      <c r="Y53" s="879">
        <f>W53*$C$53</f>
        <v>0</v>
      </c>
      <c r="AA53" s="879">
        <f>Y53*$C$53</f>
        <v>0</v>
      </c>
      <c r="AC53" s="879">
        <f>AA53*$C$53</f>
        <v>0</v>
      </c>
      <c r="AE53" s="879">
        <f>AC53*$C$53</f>
        <v>0</v>
      </c>
      <c r="AG53" s="879">
        <f>AE53*$C$53</f>
        <v>0</v>
      </c>
    </row>
    <row r="54" spans="1:35" s="3" customFormat="1">
      <c r="A54" s="3" t="s">
        <v>2770</v>
      </c>
      <c r="C54" s="877"/>
      <c r="E54" s="884"/>
      <c r="F54" s="879"/>
      <c r="G54" s="879">
        <f t="shared" ref="G54:AG57" si="8189">E54*$C$53</f>
        <v>0</v>
      </c>
      <c r="H54" s="879"/>
      <c r="I54" s="879">
        <f t="shared" si="8189"/>
        <v>0</v>
      </c>
      <c r="J54" s="879"/>
      <c r="K54" s="879">
        <f t="shared" si="8189"/>
        <v>0</v>
      </c>
      <c r="L54" s="879"/>
      <c r="M54" s="879">
        <f t="shared" si="8189"/>
        <v>0</v>
      </c>
      <c r="N54" s="879"/>
      <c r="O54" s="879">
        <f t="shared" si="8189"/>
        <v>0</v>
      </c>
      <c r="P54" s="879"/>
      <c r="Q54" s="879">
        <f t="shared" si="8189"/>
        <v>0</v>
      </c>
      <c r="R54" s="879"/>
      <c r="S54" s="879">
        <f t="shared" si="8189"/>
        <v>0</v>
      </c>
      <c r="T54" s="879"/>
      <c r="U54" s="879">
        <f t="shared" si="8189"/>
        <v>0</v>
      </c>
      <c r="V54" s="879"/>
      <c r="W54" s="879">
        <f t="shared" si="8189"/>
        <v>0</v>
      </c>
      <c r="X54" s="879"/>
      <c r="Y54" s="879">
        <f t="shared" si="8189"/>
        <v>0</v>
      </c>
      <c r="Z54" s="879"/>
      <c r="AA54" s="879">
        <f t="shared" si="8189"/>
        <v>0</v>
      </c>
      <c r="AB54" s="879"/>
      <c r="AC54" s="879">
        <f t="shared" si="8189"/>
        <v>0</v>
      </c>
      <c r="AD54" s="879"/>
      <c r="AE54" s="879">
        <f t="shared" si="8189"/>
        <v>0</v>
      </c>
      <c r="AF54" s="879"/>
      <c r="AG54" s="879">
        <f t="shared" si="8189"/>
        <v>0</v>
      </c>
      <c r="AH54" s="879"/>
      <c r="AI54" s="879"/>
    </row>
    <row r="55" spans="1:35" s="3" customFormat="1">
      <c r="A55" s="3" t="s">
        <v>2771</v>
      </c>
      <c r="C55" s="877"/>
      <c r="E55" s="884"/>
      <c r="F55" s="879"/>
      <c r="G55" s="879">
        <f t="shared" si="8189"/>
        <v>0</v>
      </c>
      <c r="H55" s="879"/>
      <c r="I55" s="879">
        <f t="shared" si="8189"/>
        <v>0</v>
      </c>
      <c r="J55" s="879"/>
      <c r="K55" s="879">
        <f t="shared" si="8189"/>
        <v>0</v>
      </c>
      <c r="L55" s="879"/>
      <c r="M55" s="879">
        <f t="shared" si="8189"/>
        <v>0</v>
      </c>
      <c r="N55" s="879"/>
      <c r="O55" s="879">
        <f t="shared" si="8189"/>
        <v>0</v>
      </c>
      <c r="P55" s="879"/>
      <c r="Q55" s="879">
        <f t="shared" si="8189"/>
        <v>0</v>
      </c>
      <c r="R55" s="879"/>
      <c r="S55" s="879">
        <f t="shared" si="8189"/>
        <v>0</v>
      </c>
      <c r="T55" s="879"/>
      <c r="U55" s="879">
        <f t="shared" si="8189"/>
        <v>0</v>
      </c>
      <c r="V55" s="879"/>
      <c r="W55" s="879">
        <f t="shared" si="8189"/>
        <v>0</v>
      </c>
      <c r="X55" s="879"/>
      <c r="Y55" s="879">
        <f t="shared" si="8189"/>
        <v>0</v>
      </c>
      <c r="Z55" s="879"/>
      <c r="AA55" s="879">
        <f t="shared" si="8189"/>
        <v>0</v>
      </c>
      <c r="AB55" s="879"/>
      <c r="AC55" s="879">
        <f t="shared" si="8189"/>
        <v>0</v>
      </c>
      <c r="AD55" s="879"/>
      <c r="AE55" s="879">
        <f t="shared" si="8189"/>
        <v>0</v>
      </c>
      <c r="AF55" s="879"/>
      <c r="AG55" s="879">
        <f t="shared" si="8189"/>
        <v>0</v>
      </c>
      <c r="AH55" s="879"/>
      <c r="AI55" s="879"/>
    </row>
    <row r="56" spans="1:35" s="3" customFormat="1">
      <c r="A56" s="885"/>
      <c r="B56" s="885"/>
      <c r="C56" s="877"/>
      <c r="E56" s="884"/>
      <c r="F56" s="879"/>
      <c r="G56" s="879">
        <f t="shared" si="8189"/>
        <v>0</v>
      </c>
      <c r="H56" s="879"/>
      <c r="I56" s="879">
        <f t="shared" si="8189"/>
        <v>0</v>
      </c>
      <c r="J56" s="879"/>
      <c r="K56" s="879">
        <f t="shared" si="8189"/>
        <v>0</v>
      </c>
      <c r="L56" s="879"/>
      <c r="M56" s="879">
        <f t="shared" si="8189"/>
        <v>0</v>
      </c>
      <c r="N56" s="879"/>
      <c r="O56" s="879">
        <f t="shared" si="8189"/>
        <v>0</v>
      </c>
      <c r="P56" s="879"/>
      <c r="Q56" s="879">
        <f t="shared" si="8189"/>
        <v>0</v>
      </c>
      <c r="R56" s="879"/>
      <c r="S56" s="879">
        <f t="shared" si="8189"/>
        <v>0</v>
      </c>
      <c r="T56" s="879"/>
      <c r="U56" s="879">
        <f t="shared" si="8189"/>
        <v>0</v>
      </c>
      <c r="V56" s="879"/>
      <c r="W56" s="879">
        <f t="shared" si="8189"/>
        <v>0</v>
      </c>
      <c r="X56" s="879"/>
      <c r="Y56" s="879">
        <f t="shared" si="8189"/>
        <v>0</v>
      </c>
      <c r="Z56" s="879"/>
      <c r="AA56" s="879">
        <f t="shared" si="8189"/>
        <v>0</v>
      </c>
      <c r="AB56" s="879"/>
      <c r="AC56" s="879">
        <f t="shared" si="8189"/>
        <v>0</v>
      </c>
      <c r="AD56" s="879"/>
      <c r="AE56" s="879">
        <f t="shared" si="8189"/>
        <v>0</v>
      </c>
      <c r="AF56" s="879"/>
      <c r="AG56" s="879">
        <f t="shared" si="8189"/>
        <v>0</v>
      </c>
      <c r="AH56" s="879"/>
      <c r="AI56" s="879"/>
    </row>
    <row r="57" spans="1:35" s="3" customFormat="1">
      <c r="A57" s="885"/>
      <c r="B57" s="885"/>
      <c r="C57" s="877"/>
      <c r="E57" s="886"/>
      <c r="F57" s="879"/>
      <c r="G57" s="887">
        <f t="shared" si="8189"/>
        <v>0</v>
      </c>
      <c r="H57" s="879"/>
      <c r="I57" s="887">
        <f t="shared" si="8189"/>
        <v>0</v>
      </c>
      <c r="J57" s="879"/>
      <c r="K57" s="887">
        <f t="shared" si="8189"/>
        <v>0</v>
      </c>
      <c r="L57" s="879"/>
      <c r="M57" s="887">
        <f t="shared" si="8189"/>
        <v>0</v>
      </c>
      <c r="N57" s="879"/>
      <c r="O57" s="887">
        <f t="shared" si="8189"/>
        <v>0</v>
      </c>
      <c r="P57" s="879"/>
      <c r="Q57" s="887">
        <f t="shared" si="8189"/>
        <v>0</v>
      </c>
      <c r="R57" s="879"/>
      <c r="S57" s="887">
        <f t="shared" si="8189"/>
        <v>0</v>
      </c>
      <c r="T57" s="879"/>
      <c r="U57" s="887">
        <f t="shared" si="8189"/>
        <v>0</v>
      </c>
      <c r="V57" s="879"/>
      <c r="W57" s="887">
        <f t="shared" si="8189"/>
        <v>0</v>
      </c>
      <c r="X57" s="879"/>
      <c r="Y57" s="887">
        <f t="shared" si="8189"/>
        <v>0</v>
      </c>
      <c r="Z57" s="879"/>
      <c r="AA57" s="887">
        <f t="shared" si="8189"/>
        <v>0</v>
      </c>
      <c r="AB57" s="879"/>
      <c r="AC57" s="887">
        <f t="shared" si="8189"/>
        <v>0</v>
      </c>
      <c r="AD57" s="879"/>
      <c r="AE57" s="887">
        <f t="shared" si="8189"/>
        <v>0</v>
      </c>
      <c r="AF57" s="879"/>
      <c r="AG57" s="887">
        <f t="shared" si="8189"/>
        <v>0</v>
      </c>
      <c r="AH57" s="879"/>
      <c r="AI57" s="879"/>
    </row>
    <row r="58" spans="1:35" s="3" customFormat="1">
      <c r="A58" s="881" t="s">
        <v>2772</v>
      </c>
      <c r="C58" s="880"/>
      <c r="E58" s="879">
        <f>SUM(E53:E57)</f>
        <v>0</v>
      </c>
      <c r="F58" s="879"/>
      <c r="G58" s="879">
        <f>SUM(G53:G57)</f>
        <v>0</v>
      </c>
      <c r="H58" s="879"/>
      <c r="I58" s="879">
        <f>SUM(I53:I57)</f>
        <v>0</v>
      </c>
      <c r="J58" s="879"/>
      <c r="K58" s="879">
        <f>SUM(K53:K57)</f>
        <v>0</v>
      </c>
      <c r="L58" s="879"/>
      <c r="M58" s="879">
        <f>SUM(M53:M57)</f>
        <v>0</v>
      </c>
      <c r="N58" s="879"/>
      <c r="O58" s="879">
        <f>SUM(O53:O57)</f>
        <v>0</v>
      </c>
      <c r="P58" s="879"/>
      <c r="Q58" s="879">
        <f>SUM(Q53:Q57)</f>
        <v>0</v>
      </c>
      <c r="R58" s="879"/>
      <c r="S58" s="879">
        <f>SUM(S53:S57)</f>
        <v>0</v>
      </c>
      <c r="T58" s="879"/>
      <c r="U58" s="879">
        <f>SUM(U53:U57)</f>
        <v>0</v>
      </c>
      <c r="V58" s="879"/>
      <c r="W58" s="879">
        <f>SUM(W53:W57)</f>
        <v>0</v>
      </c>
      <c r="X58" s="879"/>
      <c r="Y58" s="879">
        <f>SUM(Y53:Y57)</f>
        <v>0</v>
      </c>
      <c r="Z58" s="879"/>
      <c r="AA58" s="879">
        <f>SUM(AA53:AA57)</f>
        <v>0</v>
      </c>
      <c r="AB58" s="879"/>
      <c r="AC58" s="879">
        <f>SUM(AC53:AC57)</f>
        <v>0</v>
      </c>
      <c r="AD58" s="879"/>
      <c r="AE58" s="879">
        <f>SUM(AE53:AE57)</f>
        <v>0</v>
      </c>
      <c r="AF58" s="879"/>
      <c r="AG58" s="879">
        <f>SUM(AG53:AG57)</f>
        <v>0</v>
      </c>
      <c r="AH58" s="879"/>
      <c r="AI58" s="879"/>
    </row>
    <row r="59" spans="1:35" s="3" customFormat="1" ht="12.75" customHeight="1">
      <c r="A59" s="881"/>
      <c r="C59" s="880"/>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row>
    <row r="60" spans="1:35" s="881" customFormat="1">
      <c r="A60" s="881" t="s">
        <v>2773</v>
      </c>
      <c r="C60" s="888"/>
      <c r="E60" s="881">
        <f>E45-E58</f>
        <v>165005.76464750152</v>
      </c>
      <c r="G60" s="881">
        <f>G45-G58</f>
        <v>180737.80964750168</v>
      </c>
      <c r="I60" s="881">
        <f>I45-I58</f>
        <v>196504.10292250197</v>
      </c>
      <c r="K60" s="881">
        <f>K45-K58</f>
        <v>212296.86212187703</v>
      </c>
      <c r="M60" s="881">
        <f>M45-M58</f>
        <v>228107.89459757134</v>
      </c>
      <c r="O60" s="881">
        <f>O45-O58</f>
        <v>243928.58155043935</v>
      </c>
      <c r="Q60" s="881">
        <f>Q45-Q58</f>
        <v>259749.86162995221</v>
      </c>
      <c r="S60" s="881">
        <f>S45-S58</f>
        <v>275562.21396944672</v>
      </c>
      <c r="U60" s="881">
        <f>U45-U58</f>
        <v>291355.64063854283</v>
      </c>
      <c r="W60" s="881">
        <f>W45-W58</f>
        <v>307119.64849373419</v>
      </c>
      <c r="Y60" s="881">
        <f>Y45-Y58</f>
        <v>322843.23040763661</v>
      </c>
      <c r="AA60" s="881">
        <f>AA45-AA58</f>
        <v>338514.84585665446</v>
      </c>
      <c r="AC60" s="881">
        <f>AC45-AC58</f>
        <v>354122.40084629972</v>
      </c>
      <c r="AE60" s="881">
        <f>AE45-AE58</f>
        <v>369653.22715264931</v>
      </c>
      <c r="AG60" s="881">
        <f>AG45-AG58</f>
        <v>385094.06085782102</v>
      </c>
    </row>
    <row r="61" spans="1:35" s="3" customFormat="1" ht="8.25" customHeight="1">
      <c r="C61" s="880"/>
      <c r="E61" s="879"/>
      <c r="F61" s="879"/>
      <c r="G61" s="879"/>
      <c r="H61" s="879"/>
      <c r="I61" s="879"/>
      <c r="J61" s="879"/>
      <c r="K61" s="879"/>
      <c r="L61" s="879"/>
      <c r="M61" s="879"/>
      <c r="N61" s="879"/>
      <c r="O61" s="879"/>
      <c r="P61" s="879"/>
      <c r="Q61" s="879"/>
      <c r="R61" s="879"/>
      <c r="S61" s="879"/>
      <c r="T61" s="879"/>
      <c r="U61" s="879"/>
      <c r="V61" s="879"/>
      <c r="W61" s="879"/>
      <c r="X61" s="879"/>
      <c r="Y61" s="879"/>
      <c r="Z61" s="879"/>
      <c r="AA61" s="879"/>
      <c r="AB61" s="879"/>
      <c r="AC61" s="879"/>
      <c r="AD61" s="879"/>
      <c r="AE61" s="879"/>
      <c r="AF61" s="879"/>
      <c r="AG61" s="879"/>
      <c r="AH61" s="879"/>
      <c r="AI61" s="879"/>
    </row>
    <row r="62" spans="1:35" s="881" customFormat="1">
      <c r="A62" s="881" t="s">
        <v>2774</v>
      </c>
      <c r="C62" s="878">
        <v>1</v>
      </c>
      <c r="E62" s="883">
        <f>E60*$C$62</f>
        <v>165005.76464750152</v>
      </c>
      <c r="G62" s="881">
        <f>MIN(G60,Application!$AO$630-SUM('15 Year Pro Forma'!$E$62:'15 Year Pro Forma'!F62))</f>
        <v>180737.80964750168</v>
      </c>
      <c r="I62" s="881">
        <f>MIN(I60,Application!$AO$630-SUM('15 Year Pro Forma'!$E$62:'15 Year Pro Forma'!H62))</f>
        <v>196504.10292250197</v>
      </c>
      <c r="K62" s="881">
        <f>MIN(K60,Application!$AO$630-SUM('15 Year Pro Forma'!$E$62:'15 Year Pro Forma'!J62))</f>
        <v>212296.86212187703</v>
      </c>
      <c r="M62" s="881">
        <f>MIN(M60,Application!$AO$630-SUM('15 Year Pro Forma'!$E$62:'15 Year Pro Forma'!L62))</f>
        <v>228107.89459757134</v>
      </c>
      <c r="O62" s="881">
        <f>MIN(O60,Application!$AO$630-SUM('15 Year Pro Forma'!$E$62:'15 Year Pro Forma'!N62))</f>
        <v>243928.58155043935</v>
      </c>
      <c r="Q62" s="881">
        <f>MIN(Q60,Application!$AO$630-SUM('15 Year Pro Forma'!$E$62:'15 Year Pro Forma'!P62))</f>
        <v>259749.86162995221</v>
      </c>
      <c r="S62" s="881">
        <f>MIN(S60,Application!$AO$630-SUM('15 Year Pro Forma'!$E$62:'15 Year Pro Forma'!R62))</f>
        <v>275562.21396944672</v>
      </c>
      <c r="U62" s="881">
        <f>MIN(U60,Application!$AO$630-SUM('15 Year Pro Forma'!$E$62:'15 Year Pro Forma'!T62))</f>
        <v>291355.64063854283</v>
      </c>
      <c r="W62" s="881">
        <f>MIN(W60,Application!$AO$630-SUM('15 Year Pro Forma'!$E$62:'15 Year Pro Forma'!V62))</f>
        <v>307119.64849373419</v>
      </c>
      <c r="Y62" s="881">
        <f>MIN(Y60,Application!$AO$630-SUM('15 Year Pro Forma'!$E$62:'15 Year Pro Forma'!X62))</f>
        <v>322843.23040763661</v>
      </c>
      <c r="AA62" s="881">
        <f>MIN(AA60,Application!$AO$630-SUM('15 Year Pro Forma'!$E$62:'15 Year Pro Forma'!Z62))</f>
        <v>338514.84585665446</v>
      </c>
      <c r="AC62" s="881">
        <f>MIN(AC60,Application!$AO$630-SUM('15 Year Pro Forma'!$E$62:'15 Year Pro Forma'!AB62))</f>
        <v>354122.40084629972</v>
      </c>
      <c r="AE62" s="881">
        <f>MIN(AE60,Application!$AO$630-SUM('15 Year Pro Forma'!$E$62:'15 Year Pro Forma'!AD62))</f>
        <v>369653.22715264931</v>
      </c>
      <c r="AG62" s="881">
        <f>MIN(AG60,Application!$AO$630-SUM('15 Year Pro Forma'!$E$62:'15 Year Pro Forma'!AF62))</f>
        <v>385094.06085782102</v>
      </c>
    </row>
    <row r="63" spans="1:35" s="881" customFormat="1">
      <c r="A63" s="2599" t="s">
        <v>1075</v>
      </c>
      <c r="B63" s="2599"/>
      <c r="C63" s="2599"/>
    </row>
    <row r="64" spans="1:35" s="3" customFormat="1" ht="8.25" customHeight="1">
      <c r="C64" s="880"/>
      <c r="E64" s="879"/>
      <c r="F64" s="879"/>
      <c r="G64" s="879"/>
      <c r="H64" s="879"/>
      <c r="I64" s="879"/>
      <c r="J64" s="879"/>
      <c r="K64" s="879"/>
      <c r="L64" s="879"/>
      <c r="M64" s="879"/>
      <c r="N64" s="879"/>
      <c r="O64" s="879"/>
      <c r="P64" s="879"/>
      <c r="Q64" s="879"/>
      <c r="R64" s="879"/>
      <c r="S64" s="879"/>
      <c r="T64" s="879"/>
      <c r="U64" s="879"/>
      <c r="V64" s="879"/>
      <c r="W64" s="879"/>
      <c r="X64" s="879"/>
      <c r="Y64" s="879"/>
      <c r="Z64" s="879"/>
      <c r="AA64" s="879"/>
      <c r="AB64" s="879"/>
      <c r="AC64" s="879"/>
      <c r="AD64" s="879"/>
      <c r="AE64" s="879"/>
      <c r="AF64" s="879"/>
      <c r="AG64" s="879"/>
      <c r="AH64" s="879"/>
      <c r="AI64" s="879"/>
    </row>
    <row r="65" spans="1:35" s="3" customFormat="1">
      <c r="A65" s="3" t="s">
        <v>2775</v>
      </c>
      <c r="C65" s="878">
        <v>0</v>
      </c>
      <c r="E65" s="879"/>
      <c r="F65" s="879"/>
      <c r="G65" s="879"/>
      <c r="H65" s="879"/>
      <c r="I65" s="879"/>
      <c r="J65" s="879"/>
      <c r="K65" s="879"/>
      <c r="L65" s="879"/>
      <c r="M65" s="879"/>
      <c r="N65" s="879"/>
      <c r="O65" s="879"/>
      <c r="P65" s="879"/>
      <c r="Q65" s="879"/>
      <c r="R65" s="879"/>
      <c r="S65" s="879"/>
      <c r="T65" s="879"/>
      <c r="U65" s="879"/>
      <c r="V65" s="879"/>
      <c r="W65" s="879"/>
      <c r="X65" s="879"/>
      <c r="Y65" s="879"/>
      <c r="Z65" s="879"/>
      <c r="AA65" s="879"/>
      <c r="AB65" s="879"/>
      <c r="AC65" s="879"/>
      <c r="AD65" s="879"/>
      <c r="AE65" s="879"/>
      <c r="AF65" s="879"/>
      <c r="AG65" s="879"/>
      <c r="AH65" s="879"/>
      <c r="AI65" s="879"/>
    </row>
    <row r="66" spans="1:35" s="881" customFormat="1">
      <c r="A66" s="883"/>
      <c r="B66" s="883"/>
      <c r="C66" s="882"/>
      <c r="E66" s="883"/>
      <c r="G66" s="879">
        <f>G60*$C$65</f>
        <v>0</v>
      </c>
      <c r="I66" s="879">
        <f>I60*$C$65</f>
        <v>0</v>
      </c>
      <c r="K66" s="879">
        <f>K60*$C$65</f>
        <v>0</v>
      </c>
      <c r="M66" s="879">
        <f>M60*$C$65</f>
        <v>0</v>
      </c>
      <c r="O66" s="879">
        <f>O60*$C$65</f>
        <v>0</v>
      </c>
      <c r="Q66" s="879">
        <f>Q60*$C$65</f>
        <v>0</v>
      </c>
      <c r="S66" s="879">
        <f>S60*$C$65</f>
        <v>0</v>
      </c>
      <c r="U66" s="879">
        <f>U60*$C$65</f>
        <v>0</v>
      </c>
      <c r="W66" s="879">
        <f>W60*$C$65</f>
        <v>0</v>
      </c>
      <c r="Y66" s="879">
        <f>Y60*$C$65</f>
        <v>0</v>
      </c>
      <c r="AA66" s="879">
        <f>AA60*$C$65</f>
        <v>0</v>
      </c>
      <c r="AC66" s="879">
        <f>AC60*$C$65</f>
        <v>0</v>
      </c>
      <c r="AE66" s="879">
        <f>AE60*$C$65</f>
        <v>0</v>
      </c>
      <c r="AG66" s="879">
        <f>AG60*$C$65</f>
        <v>0</v>
      </c>
    </row>
    <row r="67" spans="1:35" s="879" customFormat="1">
      <c r="A67" s="884"/>
      <c r="B67" s="884"/>
      <c r="C67" s="889"/>
      <c r="E67" s="883"/>
      <c r="G67" s="879">
        <f>G60*$C$65</f>
        <v>0</v>
      </c>
      <c r="I67" s="879">
        <f>I60*$C$65</f>
        <v>0</v>
      </c>
      <c r="K67" s="879">
        <f>K60*$C$65</f>
        <v>0</v>
      </c>
      <c r="M67" s="879">
        <f>M60*$C$65</f>
        <v>0</v>
      </c>
      <c r="O67" s="879">
        <f>O60*$C$65</f>
        <v>0</v>
      </c>
      <c r="Q67" s="879">
        <f>Q60*$C$65</f>
        <v>0</v>
      </c>
      <c r="S67" s="879">
        <f>S60*$C$65</f>
        <v>0</v>
      </c>
      <c r="U67" s="879">
        <f>U60*$C$65</f>
        <v>0</v>
      </c>
      <c r="W67" s="879">
        <f>W60*$C$65</f>
        <v>0</v>
      </c>
      <c r="Y67" s="879">
        <f>Y60*$C$65</f>
        <v>0</v>
      </c>
      <c r="AA67" s="879">
        <f>AA60*$C$65</f>
        <v>0</v>
      </c>
      <c r="AC67" s="879">
        <f>AC60*$C$65</f>
        <v>0</v>
      </c>
      <c r="AE67" s="879">
        <f>AE60*$C$65</f>
        <v>0</v>
      </c>
      <c r="AG67" s="879">
        <f>AG60*$C$65</f>
        <v>0</v>
      </c>
    </row>
    <row r="68" spans="1:35" s="879" customFormat="1">
      <c r="A68" s="884"/>
      <c r="B68" s="884"/>
      <c r="C68" s="889"/>
      <c r="E68" s="884"/>
      <c r="G68" s="879">
        <f t="shared" ref="G68:AG69" si="8190">E68*$C$66</f>
        <v>0</v>
      </c>
      <c r="I68" s="879">
        <f t="shared" si="8190"/>
        <v>0</v>
      </c>
      <c r="K68" s="879">
        <f t="shared" si="8190"/>
        <v>0</v>
      </c>
      <c r="M68" s="879">
        <f t="shared" si="8190"/>
        <v>0</v>
      </c>
      <c r="O68" s="879">
        <f t="shared" si="8190"/>
        <v>0</v>
      </c>
      <c r="Q68" s="879">
        <f t="shared" si="8190"/>
        <v>0</v>
      </c>
      <c r="S68" s="879">
        <f t="shared" si="8190"/>
        <v>0</v>
      </c>
      <c r="U68" s="879">
        <f t="shared" si="8190"/>
        <v>0</v>
      </c>
      <c r="W68" s="879">
        <f t="shared" si="8190"/>
        <v>0</v>
      </c>
      <c r="Y68" s="879">
        <f t="shared" si="8190"/>
        <v>0</v>
      </c>
      <c r="AA68" s="879">
        <f t="shared" si="8190"/>
        <v>0</v>
      </c>
      <c r="AC68" s="879">
        <f t="shared" si="8190"/>
        <v>0</v>
      </c>
      <c r="AE68" s="879">
        <f t="shared" si="8190"/>
        <v>0</v>
      </c>
      <c r="AG68" s="879">
        <f t="shared" si="8190"/>
        <v>0</v>
      </c>
    </row>
    <row r="69" spans="1:35" s="879" customFormat="1">
      <c r="A69" s="884"/>
      <c r="B69" s="884"/>
      <c r="C69" s="889"/>
      <c r="E69" s="886"/>
      <c r="G69" s="887">
        <f t="shared" si="8190"/>
        <v>0</v>
      </c>
      <c r="I69" s="887">
        <f t="shared" si="8190"/>
        <v>0</v>
      </c>
      <c r="K69" s="887">
        <f t="shared" si="8190"/>
        <v>0</v>
      </c>
      <c r="M69" s="887">
        <f t="shared" si="8190"/>
        <v>0</v>
      </c>
      <c r="O69" s="887">
        <f t="shared" si="8190"/>
        <v>0</v>
      </c>
      <c r="Q69" s="887">
        <f t="shared" si="8190"/>
        <v>0</v>
      </c>
      <c r="S69" s="887">
        <f t="shared" si="8190"/>
        <v>0</v>
      </c>
      <c r="U69" s="887">
        <f t="shared" si="8190"/>
        <v>0</v>
      </c>
      <c r="W69" s="887">
        <f t="shared" si="8190"/>
        <v>0</v>
      </c>
      <c r="Y69" s="887">
        <f t="shared" si="8190"/>
        <v>0</v>
      </c>
      <c r="AA69" s="887">
        <f t="shared" si="8190"/>
        <v>0</v>
      </c>
      <c r="AC69" s="887">
        <f t="shared" si="8190"/>
        <v>0</v>
      </c>
      <c r="AE69" s="887">
        <f t="shared" si="8190"/>
        <v>0</v>
      </c>
      <c r="AG69" s="887">
        <f t="shared" si="8190"/>
        <v>0</v>
      </c>
    </row>
    <row r="70" spans="1:35" s="879" customFormat="1">
      <c r="A70" s="881" t="s">
        <v>2772</v>
      </c>
      <c r="C70" s="889"/>
      <c r="E70" s="879">
        <f>SUM(E66:E69)</f>
        <v>0</v>
      </c>
      <c r="G70" s="879">
        <f>SUM(G66:G69)</f>
        <v>0</v>
      </c>
      <c r="I70" s="879">
        <f>SUM(I66:I69)</f>
        <v>0</v>
      </c>
      <c r="K70" s="879">
        <f>SUM(K66:K69)</f>
        <v>0</v>
      </c>
      <c r="M70" s="879">
        <f>SUM(M66:M69)</f>
        <v>0</v>
      </c>
      <c r="O70" s="879">
        <f>SUM(O66:O69)</f>
        <v>0</v>
      </c>
      <c r="Q70" s="879">
        <f>SUM(Q66:Q69)</f>
        <v>0</v>
      </c>
      <c r="S70" s="879">
        <f>SUM(S66:S69)</f>
        <v>0</v>
      </c>
      <c r="U70" s="879">
        <f>SUM(U66:U69)</f>
        <v>0</v>
      </c>
      <c r="W70" s="879">
        <f>SUM(W66:W69)</f>
        <v>0</v>
      </c>
      <c r="Y70" s="879">
        <f>SUM(Y66:Y69)</f>
        <v>0</v>
      </c>
      <c r="AA70" s="879">
        <f>SUM(AA66:AA69)</f>
        <v>0</v>
      </c>
      <c r="AC70" s="879">
        <f>SUM(AC66:AC69)</f>
        <v>0</v>
      </c>
      <c r="AE70" s="879">
        <f>SUM(AE66:AE69)</f>
        <v>0</v>
      </c>
      <c r="AG70" s="879">
        <f>SUM(AG66:AG69)</f>
        <v>0</v>
      </c>
    </row>
    <row r="71" spans="1:35" s="879" customFormat="1">
      <c r="A71" s="881"/>
      <c r="C71" s="889"/>
    </row>
    <row r="72" spans="1:35" s="879" customFormat="1">
      <c r="A72" s="881" t="s">
        <v>2776</v>
      </c>
      <c r="C72" s="889"/>
      <c r="E72" s="881">
        <f>E60-E62-E70</f>
        <v>0</v>
      </c>
      <c r="G72" s="881">
        <f>G60-G62-G70</f>
        <v>0</v>
      </c>
      <c r="I72" s="881">
        <f>I60-I62-I70</f>
        <v>0</v>
      </c>
      <c r="K72" s="881">
        <f>K60-K62-K70</f>
        <v>0</v>
      </c>
      <c r="M72" s="881">
        <f>M60-M62-M70</f>
        <v>0</v>
      </c>
      <c r="O72" s="881">
        <f>O60-O62-O70</f>
        <v>0</v>
      </c>
      <c r="Q72" s="881">
        <f>Q60-Q62-Q70</f>
        <v>0</v>
      </c>
      <c r="S72" s="881">
        <f>S60-S62-S70</f>
        <v>0</v>
      </c>
      <c r="U72" s="881">
        <f>U60-U62-U70</f>
        <v>0</v>
      </c>
      <c r="W72" s="881">
        <f>W60-W62-W70</f>
        <v>0</v>
      </c>
      <c r="Y72" s="881">
        <f>Y60-Y62-Y70</f>
        <v>0</v>
      </c>
      <c r="AA72" s="881">
        <f>AA60-AA62-AA70</f>
        <v>0</v>
      </c>
      <c r="AC72" s="881">
        <f>AC60-AC62-AC70</f>
        <v>0</v>
      </c>
      <c r="AE72" s="881">
        <f>AE60-AE62-AE70</f>
        <v>0</v>
      </c>
      <c r="AG72" s="881">
        <f>AG60-AG62-AG70</f>
        <v>0</v>
      </c>
    </row>
    <row r="73" spans="1:35" s="879" customFormat="1">
      <c r="A73" s="453"/>
      <c r="C73" s="889"/>
    </row>
    <row r="74" spans="1:35" s="155" customFormat="1">
      <c r="A74" s="453"/>
      <c r="B74" s="879"/>
      <c r="C74" s="889"/>
      <c r="D74" s="879"/>
      <c r="E74" s="879"/>
      <c r="F74" s="879"/>
      <c r="G74" s="879"/>
      <c r="H74" s="879"/>
      <c r="I74" s="879"/>
      <c r="J74" s="879"/>
      <c r="K74" s="879"/>
      <c r="L74" s="879"/>
      <c r="M74" s="879"/>
      <c r="N74" s="879"/>
      <c r="O74" s="879"/>
      <c r="P74" s="879"/>
      <c r="Q74" s="879"/>
      <c r="R74" s="879"/>
      <c r="S74" s="879"/>
      <c r="T74" s="879"/>
      <c r="U74" s="879"/>
      <c r="V74" s="879"/>
      <c r="W74" s="879"/>
      <c r="X74" s="879"/>
      <c r="Y74" s="879"/>
      <c r="Z74" s="879"/>
      <c r="AA74" s="879"/>
      <c r="AB74" s="879"/>
      <c r="AC74" s="879"/>
      <c r="AD74" s="879"/>
      <c r="AE74" s="879"/>
      <c r="AF74" s="879"/>
      <c r="AG74" s="879"/>
      <c r="AH74" s="879"/>
      <c r="AI74" s="879"/>
    </row>
    <row r="75" spans="1:35" s="155" customFormat="1">
      <c r="A75" s="879" t="s">
        <v>2777</v>
      </c>
      <c r="B75" s="879"/>
      <c r="C75" s="889"/>
      <c r="D75" s="879"/>
      <c r="E75" s="879"/>
      <c r="F75" s="879"/>
      <c r="G75" s="879"/>
      <c r="H75" s="879"/>
      <c r="I75" s="879"/>
      <c r="J75" s="879"/>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row>
    <row r="76" spans="1:35" s="155" customFormat="1">
      <c r="A76" s="879"/>
      <c r="B76" s="879"/>
      <c r="C76" s="889"/>
      <c r="D76" s="879"/>
      <c r="E76" s="879"/>
      <c r="F76" s="879"/>
      <c r="G76" s="879"/>
      <c r="H76" s="879"/>
      <c r="I76" s="879"/>
      <c r="J76" s="879"/>
      <c r="K76" s="879"/>
      <c r="L76" s="879"/>
      <c r="M76" s="879"/>
      <c r="N76" s="879"/>
      <c r="O76" s="879"/>
      <c r="P76" s="879"/>
      <c r="Q76" s="879"/>
      <c r="R76" s="879"/>
      <c r="S76" s="879"/>
      <c r="T76" s="879"/>
      <c r="U76" s="879"/>
      <c r="V76" s="879"/>
      <c r="W76" s="879"/>
      <c r="X76" s="879"/>
      <c r="Y76" s="879"/>
      <c r="Z76" s="879"/>
      <c r="AA76" s="879"/>
      <c r="AB76" s="879"/>
      <c r="AC76" s="879"/>
      <c r="AD76" s="879"/>
      <c r="AE76" s="879"/>
      <c r="AF76" s="879"/>
      <c r="AG76" s="879"/>
      <c r="AH76" s="879"/>
      <c r="AI76" s="879"/>
    </row>
    <row r="77" spans="1:35" s="171" customFormat="1" ht="30" customHeight="1">
      <c r="A77" s="2598" t="s">
        <v>2778</v>
      </c>
      <c r="B77" s="2598"/>
      <c r="C77" s="2598"/>
      <c r="D77" s="2598"/>
      <c r="E77" s="2598"/>
      <c r="F77" s="2598"/>
      <c r="G77" s="2598"/>
      <c r="H77" s="2598"/>
      <c r="I77" s="2598"/>
      <c r="J77" s="2598"/>
      <c r="K77" s="2598"/>
      <c r="L77" s="2598"/>
      <c r="M77" s="2598"/>
      <c r="N77" s="2598"/>
      <c r="O77" s="2598"/>
      <c r="P77" s="2598"/>
      <c r="Q77" s="2598"/>
      <c r="R77" s="2598"/>
      <c r="S77" s="2598"/>
      <c r="T77" s="2598"/>
      <c r="U77" s="2598"/>
      <c r="V77" s="2598"/>
      <c r="W77" s="2598"/>
      <c r="X77" s="2598"/>
      <c r="Y77" s="2598"/>
      <c r="Z77" s="2598"/>
      <c r="AA77" s="2598"/>
      <c r="AB77" s="2598"/>
      <c r="AC77" s="2598"/>
      <c r="AD77" s="2598"/>
      <c r="AE77" s="2598"/>
      <c r="AF77" s="2598"/>
      <c r="AG77" s="2598"/>
      <c r="AH77" s="1218"/>
      <c r="AI77" s="1218"/>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6640625" hidden="1"/>
  </cols>
  <sheetData>
    <row r="1" spans="1:1" ht="46.8">
      <c r="A1" s="235" t="s">
        <v>2779</v>
      </c>
    </row>
    <row r="2" spans="1:1" ht="15.6">
      <c r="A2" s="236"/>
    </row>
    <row r="3" spans="1:1" ht="15.6">
      <c r="A3" s="237" t="s">
        <v>2780</v>
      </c>
    </row>
    <row r="4" spans="1:1" ht="15.6">
      <c r="A4" s="237" t="s">
        <v>2781</v>
      </c>
    </row>
    <row r="5" spans="1:1" ht="15.6">
      <c r="A5" s="237" t="s">
        <v>2782</v>
      </c>
    </row>
    <row r="6" spans="1:1" ht="15.6">
      <c r="A6" s="237" t="s">
        <v>2783</v>
      </c>
    </row>
    <row r="7" spans="1:1" ht="15.6">
      <c r="A7" s="237" t="s">
        <v>2784</v>
      </c>
    </row>
    <row r="8" spans="1:1" ht="15.6">
      <c r="A8" s="267" t="s">
        <v>2785</v>
      </c>
    </row>
    <row r="9" spans="1:1" ht="15.6">
      <c r="A9" s="237" t="s">
        <v>2786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33203125" defaultRowHeight="13.2" zeroHeight="1"/>
  <cols>
    <col min="1" max="1" width="35.6640625" style="143" customWidth="1"/>
    <col min="2" max="4" width="14.6640625" style="143" customWidth="1"/>
    <col min="5" max="5" width="50.6640625" style="143" customWidth="1"/>
    <col min="6" max="253" width="9.33203125" style="143" customWidth="1"/>
    <col min="254" max="16384" width="9.33203125" style="143"/>
  </cols>
  <sheetData>
    <row r="1" spans="1:7" s="199" customFormat="1" ht="18" customHeight="1">
      <c r="A1" s="437" t="s">
        <v>2787</v>
      </c>
      <c r="D1" s="204"/>
    </row>
    <row r="2" spans="1:7" s="199" customFormat="1">
      <c r="A2" s="182" t="s">
        <v>2788</v>
      </c>
      <c r="B2" s="184"/>
      <c r="C2" s="184"/>
      <c r="D2" s="181"/>
      <c r="E2" s="185"/>
      <c r="F2" s="184"/>
    </row>
    <row r="3" spans="1:7" s="272" customFormat="1" ht="80.25" customHeight="1">
      <c r="A3" s="201"/>
      <c r="B3" s="186" t="s">
        <v>2789</v>
      </c>
      <c r="C3" s="186" t="s">
        <v>2790</v>
      </c>
      <c r="D3" s="186" t="s">
        <v>2791</v>
      </c>
      <c r="E3" s="183" t="s">
        <v>2792</v>
      </c>
      <c r="F3" s="183"/>
      <c r="G3" s="275"/>
    </row>
    <row r="4" spans="1:7" s="273" customFormat="1">
      <c r="A4" s="187" t="s">
        <v>1814</v>
      </c>
      <c r="B4" s="187"/>
      <c r="C4" s="187"/>
      <c r="D4" s="187"/>
      <c r="E4" s="206"/>
      <c r="F4" s="187"/>
      <c r="G4" s="276"/>
    </row>
    <row r="5" spans="1:7" s="273" customFormat="1">
      <c r="A5" s="288" t="s">
        <v>1815</v>
      </c>
      <c r="B5" s="189">
        <f>'Sources and Uses Budget'!$C4</f>
        <v>1</v>
      </c>
      <c r="C5" s="189">
        <f>'Sources and Uses Budget'!$C4</f>
        <v>1</v>
      </c>
      <c r="D5" s="193">
        <f>C5-B5</f>
        <v>0</v>
      </c>
      <c r="E5" s="191"/>
      <c r="F5" s="190"/>
      <c r="G5" s="276"/>
    </row>
    <row r="6" spans="1:7" s="273" customFormat="1">
      <c r="A6" s="288" t="s">
        <v>1816</v>
      </c>
      <c r="B6" s="189">
        <f>'Sources and Uses Budget'!$C5</f>
        <v>325000</v>
      </c>
      <c r="C6" s="189">
        <f>'Sources and Uses Budget'!$C5</f>
        <v>325000</v>
      </c>
      <c r="D6" s="193">
        <f t="shared" ref="D6:D77" si="0">C6-B6</f>
        <v>0</v>
      </c>
      <c r="E6" s="191"/>
      <c r="F6" s="190"/>
      <c r="G6" s="276"/>
    </row>
    <row r="7" spans="1:7" s="273" customFormat="1">
      <c r="A7" s="288" t="s">
        <v>1817</v>
      </c>
      <c r="B7" s="189">
        <f>'Sources and Uses Budget'!$C6</f>
        <v>0</v>
      </c>
      <c r="C7" s="189">
        <f>'Sources and Uses Budget'!$C6</f>
        <v>0</v>
      </c>
      <c r="D7" s="193">
        <f t="shared" si="0"/>
        <v>0</v>
      </c>
      <c r="E7" s="191"/>
      <c r="F7" s="190"/>
      <c r="G7" s="276"/>
    </row>
    <row r="8" spans="1:7" s="273" customFormat="1">
      <c r="A8" s="288" t="s">
        <v>1818</v>
      </c>
      <c r="B8" s="189">
        <f>'Sources and Uses Budget'!$C7</f>
        <v>0</v>
      </c>
      <c r="C8" s="189">
        <f>'Sources and Uses Budget'!$C7</f>
        <v>0</v>
      </c>
      <c r="D8" s="193">
        <f t="shared" si="0"/>
        <v>0</v>
      </c>
      <c r="E8" s="191"/>
      <c r="F8" s="190"/>
      <c r="G8" s="276"/>
    </row>
    <row r="9" spans="1:7" s="273" customFormat="1">
      <c r="A9" s="289" t="s">
        <v>1819</v>
      </c>
      <c r="B9" s="193">
        <f>SUM(B5:B8)</f>
        <v>325001</v>
      </c>
      <c r="C9" s="193">
        <f>SUM(C5:C8)</f>
        <v>325001</v>
      </c>
      <c r="D9" s="193">
        <f t="shared" si="0"/>
        <v>0</v>
      </c>
      <c r="E9" s="191"/>
      <c r="F9" s="190"/>
      <c r="G9" s="276"/>
    </row>
    <row r="10" spans="1:7" s="273" customFormat="1">
      <c r="A10" s="288" t="s">
        <v>1820</v>
      </c>
      <c r="B10" s="189">
        <f>'Sources and Uses Budget'!$C9</f>
        <v>0</v>
      </c>
      <c r="C10" s="189">
        <f>'Sources and Uses Budget'!$C9</f>
        <v>0</v>
      </c>
      <c r="D10" s="193">
        <f t="shared" si="0"/>
        <v>0</v>
      </c>
      <c r="E10" s="191"/>
      <c r="F10" s="190"/>
      <c r="G10" s="276"/>
    </row>
    <row r="11" spans="1:7" s="273" customFormat="1">
      <c r="A11" s="288" t="s">
        <v>1821</v>
      </c>
      <c r="B11" s="189">
        <f>'Sources and Uses Budget'!$C10</f>
        <v>0</v>
      </c>
      <c r="C11" s="189">
        <f>'Sources and Uses Budget'!$C10</f>
        <v>0</v>
      </c>
      <c r="D11" s="193">
        <f t="shared" si="0"/>
        <v>0</v>
      </c>
      <c r="E11" s="191"/>
      <c r="F11" s="190"/>
      <c r="G11" s="276"/>
    </row>
    <row r="12" spans="1:7" s="273" customFormat="1">
      <c r="A12" s="289" t="s">
        <v>1822</v>
      </c>
      <c r="B12" s="193">
        <f>SUM(B10:B11)</f>
        <v>0</v>
      </c>
      <c r="C12" s="193">
        <f>SUM(C10:C11)</f>
        <v>0</v>
      </c>
      <c r="D12" s="193">
        <f t="shared" si="0"/>
        <v>0</v>
      </c>
      <c r="E12" s="191"/>
      <c r="F12" s="190"/>
      <c r="G12" s="276"/>
    </row>
    <row r="13" spans="1:7" s="273" customFormat="1">
      <c r="A13" s="289" t="s">
        <v>1823</v>
      </c>
      <c r="B13" s="193">
        <f>SUM(B9+B12)</f>
        <v>325001</v>
      </c>
      <c r="C13" s="193">
        <f>SUM(C9+C12)</f>
        <v>325001</v>
      </c>
      <c r="D13" s="193">
        <f t="shared" si="0"/>
        <v>0</v>
      </c>
      <c r="E13" s="191"/>
      <c r="F13" s="190"/>
      <c r="G13" s="276"/>
    </row>
    <row r="14" spans="1:7" s="273" customFormat="1">
      <c r="A14" s="290" t="s">
        <v>1824</v>
      </c>
      <c r="B14" s="189">
        <f>'Sources and Uses Budget'!$C13</f>
        <v>0</v>
      </c>
      <c r="C14" s="189">
        <f>'Sources and Uses Budget'!$C13</f>
        <v>0</v>
      </c>
      <c r="D14" s="193">
        <f t="shared" si="0"/>
        <v>0</v>
      </c>
      <c r="E14" s="191"/>
      <c r="F14" s="190"/>
      <c r="G14" s="276"/>
    </row>
    <row r="15" spans="1:7" s="273" customFormat="1" ht="22.8">
      <c r="A15" s="288" t="s">
        <v>1943</v>
      </c>
      <c r="B15" s="189">
        <f>'Sources and Uses Budget'!$C14</f>
        <v>0</v>
      </c>
      <c r="C15" s="189">
        <f>'Sources and Uses Budget'!$C14</f>
        <v>0</v>
      </c>
      <c r="D15" s="193">
        <f t="shared" si="0"/>
        <v>0</v>
      </c>
      <c r="E15" s="191"/>
      <c r="F15" s="190"/>
      <c r="G15" s="276"/>
    </row>
    <row r="16" spans="1:7" s="273" customFormat="1">
      <c r="A16" s="288" t="s">
        <v>1826</v>
      </c>
      <c r="B16" s="189">
        <f>'Sources and Uses Budget'!$C15</f>
        <v>0</v>
      </c>
      <c r="C16" s="189">
        <f>'Sources and Uses Budget'!$C15</f>
        <v>0</v>
      </c>
      <c r="D16" s="193">
        <f t="shared" si="0"/>
        <v>0</v>
      </c>
      <c r="E16" s="191"/>
      <c r="F16" s="190"/>
      <c r="G16" s="276"/>
    </row>
    <row r="17" spans="1:7" s="273" customFormat="1">
      <c r="A17" s="187" t="s">
        <v>1827</v>
      </c>
      <c r="B17" s="187"/>
      <c r="C17" s="187"/>
      <c r="D17" s="187"/>
      <c r="E17" s="206"/>
      <c r="F17" s="187"/>
      <c r="G17" s="276"/>
    </row>
    <row r="18" spans="1:7" s="273" customFormat="1">
      <c r="A18" s="207" t="s">
        <v>1828</v>
      </c>
      <c r="B18" s="189">
        <f>'Sources and Uses Budget'!$C17</f>
        <v>0</v>
      </c>
      <c r="C18" s="189">
        <f>'Sources and Uses Budget'!$C17</f>
        <v>0</v>
      </c>
      <c r="D18" s="193">
        <f t="shared" si="0"/>
        <v>0</v>
      </c>
      <c r="E18" s="191"/>
      <c r="F18" s="190"/>
      <c r="G18" s="276"/>
    </row>
    <row r="19" spans="1:7" s="273" customFormat="1">
      <c r="A19" s="207" t="s">
        <v>1829</v>
      </c>
      <c r="B19" s="189">
        <f>'Sources and Uses Budget'!$C18</f>
        <v>0</v>
      </c>
      <c r="C19" s="189">
        <f>'Sources and Uses Budget'!$C18</f>
        <v>0</v>
      </c>
      <c r="D19" s="193">
        <f t="shared" si="0"/>
        <v>0</v>
      </c>
      <c r="E19" s="191"/>
      <c r="F19" s="190"/>
      <c r="G19" s="276"/>
    </row>
    <row r="20" spans="1:7" s="273" customFormat="1">
      <c r="A20" s="207" t="s">
        <v>1830</v>
      </c>
      <c r="B20" s="189">
        <f>'Sources and Uses Budget'!$C19</f>
        <v>0</v>
      </c>
      <c r="C20" s="189">
        <f>'Sources and Uses Budget'!$C19</f>
        <v>0</v>
      </c>
      <c r="D20" s="193">
        <f t="shared" si="0"/>
        <v>0</v>
      </c>
      <c r="E20" s="191"/>
      <c r="F20" s="190"/>
      <c r="G20" s="276"/>
    </row>
    <row r="21" spans="1:7" s="273" customFormat="1">
      <c r="A21" s="207" t="s">
        <v>1831</v>
      </c>
      <c r="B21" s="189">
        <f>'Sources and Uses Budget'!$C20</f>
        <v>0</v>
      </c>
      <c r="C21" s="189">
        <f>'Sources and Uses Budget'!$C20</f>
        <v>0</v>
      </c>
      <c r="D21" s="193">
        <f t="shared" si="0"/>
        <v>0</v>
      </c>
      <c r="E21" s="191"/>
      <c r="F21" s="190"/>
      <c r="G21" s="276"/>
    </row>
    <row r="22" spans="1:7" s="273" customFormat="1">
      <c r="A22" s="207" t="s">
        <v>1832</v>
      </c>
      <c r="B22" s="189">
        <f>'Sources and Uses Budget'!$C21</f>
        <v>0</v>
      </c>
      <c r="C22" s="189">
        <f>'Sources and Uses Budget'!$C21</f>
        <v>0</v>
      </c>
      <c r="D22" s="193">
        <f t="shared" si="0"/>
        <v>0</v>
      </c>
      <c r="E22" s="191"/>
      <c r="F22" s="190"/>
      <c r="G22" s="276"/>
    </row>
    <row r="23" spans="1:7" s="273" customFormat="1">
      <c r="A23" s="207" t="s">
        <v>1833</v>
      </c>
      <c r="B23" s="189">
        <f>'Sources and Uses Budget'!$C22</f>
        <v>0</v>
      </c>
      <c r="C23" s="189">
        <f>'Sources and Uses Budget'!$C22</f>
        <v>0</v>
      </c>
      <c r="D23" s="193">
        <f t="shared" si="0"/>
        <v>0</v>
      </c>
      <c r="E23" s="191"/>
      <c r="F23" s="190"/>
      <c r="G23" s="276"/>
    </row>
    <row r="24" spans="1:7" s="273" customFormat="1">
      <c r="A24" s="207" t="s">
        <v>1834</v>
      </c>
      <c r="B24" s="189">
        <f>'Sources and Uses Budget'!$C23</f>
        <v>0</v>
      </c>
      <c r="C24" s="189">
        <f>'Sources and Uses Budget'!$C23</f>
        <v>0</v>
      </c>
      <c r="D24" s="193">
        <f t="shared" si="0"/>
        <v>0</v>
      </c>
      <c r="E24" s="191"/>
      <c r="F24" s="190"/>
      <c r="G24" s="276"/>
    </row>
    <row r="25" spans="1:7" s="273" customFormat="1">
      <c r="A25" s="433" t="s">
        <v>1835</v>
      </c>
      <c r="B25" s="189">
        <f>'Sources and Uses Budget'!$C24</f>
        <v>0</v>
      </c>
      <c r="C25" s="189">
        <f>'Sources and Uses Budget'!$C24</f>
        <v>0</v>
      </c>
      <c r="D25" s="193">
        <f t="shared" si="0"/>
        <v>0</v>
      </c>
      <c r="E25" s="191"/>
      <c r="F25" s="190"/>
      <c r="G25" s="276"/>
    </row>
    <row r="26" spans="1:7" s="273" customFormat="1">
      <c r="A26" s="433" t="str">
        <f>'Sources and Uses Budget'!A25</f>
        <v>Other: (Specify)</v>
      </c>
      <c r="B26" s="189">
        <f>'Sources and Uses Budget'!$C25</f>
        <v>0</v>
      </c>
      <c r="C26" s="189">
        <f>'Sources and Uses Budget'!$C25</f>
        <v>0</v>
      </c>
      <c r="D26" s="193">
        <f t="shared" si="0"/>
        <v>0</v>
      </c>
      <c r="E26" s="191"/>
      <c r="F26" s="190"/>
      <c r="G26" s="276"/>
    </row>
    <row r="27" spans="1:7" s="273" customFormat="1">
      <c r="A27" s="935" t="s">
        <v>1837</v>
      </c>
      <c r="B27" s="193">
        <f>SUM(B18:B26)</f>
        <v>0</v>
      </c>
      <c r="C27" s="193">
        <f>SUM(C18:C26)</f>
        <v>0</v>
      </c>
      <c r="D27" s="193">
        <f>SUM(D18:D26)</f>
        <v>0</v>
      </c>
      <c r="E27" s="191"/>
      <c r="F27" s="190"/>
      <c r="G27" s="276"/>
    </row>
    <row r="28" spans="1:7" s="273" customFormat="1">
      <c r="A28" s="194" t="s">
        <v>1838</v>
      </c>
      <c r="B28" s="189">
        <f>'Sources and Uses Budget'!$C$27</f>
        <v>0</v>
      </c>
      <c r="C28" s="189">
        <f>'Sources and Uses Budget'!$C$27</f>
        <v>0</v>
      </c>
      <c r="D28" s="193">
        <f t="shared" si="0"/>
        <v>0</v>
      </c>
      <c r="E28" s="191"/>
      <c r="F28" s="190"/>
      <c r="G28" s="276"/>
    </row>
    <row r="29" spans="1:7" s="273" customFormat="1">
      <c r="A29" s="187" t="s">
        <v>1839</v>
      </c>
      <c r="B29" s="187"/>
      <c r="C29" s="187"/>
      <c r="D29" s="187"/>
      <c r="E29" s="206"/>
      <c r="F29" s="187"/>
      <c r="G29" s="276"/>
    </row>
    <row r="30" spans="1:7" s="273" customFormat="1">
      <c r="A30" s="207" t="s">
        <v>1828</v>
      </c>
      <c r="B30" s="189">
        <f>'Sources and Uses Budget'!$C29</f>
        <v>3350461</v>
      </c>
      <c r="C30" s="189">
        <f>'Sources and Uses Budget'!$C29</f>
        <v>3350461</v>
      </c>
      <c r="D30" s="193">
        <f t="shared" si="0"/>
        <v>0</v>
      </c>
      <c r="E30" s="191"/>
      <c r="F30" s="190"/>
      <c r="G30" s="276"/>
    </row>
    <row r="31" spans="1:7" s="273" customFormat="1">
      <c r="A31" s="207" t="s">
        <v>1829</v>
      </c>
      <c r="B31" s="189">
        <f>'Sources and Uses Budget'!$C30</f>
        <v>36197204</v>
      </c>
      <c r="C31" s="189">
        <f>'Sources and Uses Budget'!$C30</f>
        <v>36197204</v>
      </c>
      <c r="D31" s="193">
        <f t="shared" si="0"/>
        <v>0</v>
      </c>
      <c r="E31" s="191"/>
      <c r="F31" s="190"/>
      <c r="G31" s="276"/>
    </row>
    <row r="32" spans="1:7" s="273" customFormat="1">
      <c r="A32" s="207" t="s">
        <v>1830</v>
      </c>
      <c r="B32" s="189">
        <f>'Sources and Uses Budget'!$C31</f>
        <v>1630262</v>
      </c>
      <c r="C32" s="189">
        <f>'Sources and Uses Budget'!$C31</f>
        <v>1630262</v>
      </c>
      <c r="D32" s="193">
        <f t="shared" si="0"/>
        <v>0</v>
      </c>
      <c r="E32" s="191"/>
      <c r="F32" s="190"/>
      <c r="G32" s="276"/>
    </row>
    <row r="33" spans="1:7" s="273" customFormat="1">
      <c r="A33" s="207" t="s">
        <v>1831</v>
      </c>
      <c r="B33" s="189">
        <f>'Sources and Uses Budget'!$C32</f>
        <v>812795.5</v>
      </c>
      <c r="C33" s="189">
        <f>'Sources and Uses Budget'!$C32</f>
        <v>812795.5</v>
      </c>
      <c r="D33" s="193">
        <f t="shared" si="0"/>
        <v>0</v>
      </c>
      <c r="E33" s="191"/>
      <c r="F33" s="190"/>
      <c r="G33" s="276"/>
    </row>
    <row r="34" spans="1:7" s="273" customFormat="1">
      <c r="A34" s="207" t="s">
        <v>1832</v>
      </c>
      <c r="B34" s="189">
        <f>'Sources and Uses Budget'!$C33</f>
        <v>812795.5</v>
      </c>
      <c r="C34" s="189">
        <f>'Sources and Uses Budget'!$C33</f>
        <v>812795.5</v>
      </c>
      <c r="D34" s="193">
        <f t="shared" si="0"/>
        <v>0</v>
      </c>
      <c r="E34" s="191"/>
      <c r="F34" s="190"/>
      <c r="G34" s="276"/>
    </row>
    <row r="35" spans="1:7" s="273" customFormat="1">
      <c r="A35" s="207" t="s">
        <v>1833</v>
      </c>
      <c r="B35" s="189">
        <f>'Sources and Uses Budget'!$C34</f>
        <v>0</v>
      </c>
      <c r="C35" s="189">
        <f>'Sources and Uses Budget'!$C34</f>
        <v>0</v>
      </c>
      <c r="D35" s="193">
        <f t="shared" si="0"/>
        <v>0</v>
      </c>
      <c r="E35" s="191"/>
      <c r="F35" s="190"/>
      <c r="G35" s="276"/>
    </row>
    <row r="36" spans="1:7" s="273" customFormat="1">
      <c r="A36" s="207" t="s">
        <v>1834</v>
      </c>
      <c r="B36" s="189">
        <f>'Sources and Uses Budget'!$C35</f>
        <v>469569</v>
      </c>
      <c r="C36" s="189">
        <f>'Sources and Uses Budget'!$C35</f>
        <v>469569</v>
      </c>
      <c r="D36" s="193">
        <f t="shared" si="0"/>
        <v>0</v>
      </c>
      <c r="E36" s="191"/>
      <c r="F36" s="190"/>
      <c r="G36" s="276"/>
    </row>
    <row r="37" spans="1:7" s="273" customFormat="1">
      <c r="A37" s="207" t="s">
        <v>1835</v>
      </c>
      <c r="B37" s="189">
        <f>'Sources and Uses Budget'!$C36</f>
        <v>360000</v>
      </c>
      <c r="C37" s="189">
        <f>'Sources and Uses Budget'!$C36</f>
        <v>360000</v>
      </c>
      <c r="D37" s="193"/>
      <c r="E37" s="191"/>
      <c r="F37" s="190"/>
      <c r="G37" s="276"/>
    </row>
    <row r="38" spans="1:7" s="273" customFormat="1">
      <c r="A38" s="433" t="str">
        <f>'Sources and Uses Budget'!A37</f>
        <v>Other: Preconstruction Services</v>
      </c>
      <c r="B38" s="189">
        <f>'Sources and Uses Budget'!$C37</f>
        <v>65000</v>
      </c>
      <c r="C38" s="189">
        <f>'Sources and Uses Budget'!$C37</f>
        <v>65000</v>
      </c>
      <c r="D38" s="193">
        <f t="shared" si="0"/>
        <v>0</v>
      </c>
      <c r="E38" s="191"/>
      <c r="F38" s="190"/>
      <c r="G38" s="276"/>
    </row>
    <row r="39" spans="1:7" s="273" customFormat="1">
      <c r="A39" s="194" t="s">
        <v>1841</v>
      </c>
      <c r="B39" s="193">
        <f>SUM(B30:B38)</f>
        <v>43698087</v>
      </c>
      <c r="C39" s="193">
        <f>SUM(C30:C38)</f>
        <v>43698087</v>
      </c>
      <c r="D39" s="193">
        <f t="shared" si="0"/>
        <v>0</v>
      </c>
      <c r="E39" s="191"/>
      <c r="F39" s="190"/>
      <c r="G39" s="276"/>
    </row>
    <row r="40" spans="1:7" s="273" customFormat="1">
      <c r="A40" s="187" t="s">
        <v>1842</v>
      </c>
      <c r="B40" s="187"/>
      <c r="C40" s="187"/>
      <c r="D40" s="187"/>
      <c r="E40" s="206"/>
      <c r="F40" s="187"/>
      <c r="G40" s="276"/>
    </row>
    <row r="41" spans="1:7" s="273" customFormat="1">
      <c r="A41" s="192" t="s">
        <v>1843</v>
      </c>
      <c r="B41" s="189">
        <f>'Sources and Uses Budget'!$C40</f>
        <v>749000</v>
      </c>
      <c r="C41" s="189">
        <f>'Sources and Uses Budget'!$C40</f>
        <v>749000</v>
      </c>
      <c r="D41" s="193">
        <f t="shared" si="0"/>
        <v>0</v>
      </c>
      <c r="E41" s="191"/>
      <c r="F41" s="190"/>
      <c r="G41" s="276"/>
    </row>
    <row r="42" spans="1:7" s="273" customFormat="1">
      <c r="A42" s="192" t="s">
        <v>1844</v>
      </c>
      <c r="B42" s="189">
        <f>'Sources and Uses Budget'!$C41</f>
        <v>360000</v>
      </c>
      <c r="C42" s="189">
        <f>'Sources and Uses Budget'!$C41</f>
        <v>360000</v>
      </c>
      <c r="D42" s="193">
        <f t="shared" si="0"/>
        <v>0</v>
      </c>
      <c r="E42" s="191"/>
      <c r="F42" s="190"/>
      <c r="G42" s="276"/>
    </row>
    <row r="43" spans="1:7" s="273" customFormat="1">
      <c r="A43" s="194" t="s">
        <v>1845</v>
      </c>
      <c r="B43" s="193">
        <f>SUM(B41:B42)</f>
        <v>1109000</v>
      </c>
      <c r="C43" s="193">
        <f>SUM(C41:C42)</f>
        <v>1109000</v>
      </c>
      <c r="D43" s="193">
        <f t="shared" si="0"/>
        <v>0</v>
      </c>
      <c r="E43" s="191"/>
      <c r="F43" s="190"/>
      <c r="G43" s="276"/>
    </row>
    <row r="44" spans="1:7" s="273" customFormat="1">
      <c r="A44" s="194" t="s">
        <v>1846</v>
      </c>
      <c r="B44" s="189">
        <f>'Sources and Uses Budget'!$C43</f>
        <v>806500</v>
      </c>
      <c r="C44" s="189">
        <f>'Sources and Uses Budget'!$C43</f>
        <v>806500</v>
      </c>
      <c r="D44" s="193">
        <f t="shared" si="0"/>
        <v>0</v>
      </c>
      <c r="E44" s="191"/>
      <c r="F44" s="190"/>
      <c r="G44" s="276"/>
    </row>
    <row r="45" spans="1:7" s="273" customFormat="1" ht="12" customHeight="1">
      <c r="A45" s="187" t="s">
        <v>1847</v>
      </c>
      <c r="B45" s="187"/>
      <c r="C45" s="187"/>
      <c r="D45" s="187"/>
      <c r="E45" s="206"/>
      <c r="F45" s="187"/>
      <c r="G45" s="276"/>
    </row>
    <row r="46" spans="1:7" s="273" customFormat="1">
      <c r="A46" s="207" t="s">
        <v>1848</v>
      </c>
      <c r="B46" s="189">
        <f>'Sources and Uses Budget'!$C45</f>
        <v>7450000</v>
      </c>
      <c r="C46" s="189">
        <f>'Sources and Uses Budget'!$C45</f>
        <v>7450000</v>
      </c>
      <c r="D46" s="193">
        <f t="shared" si="0"/>
        <v>0</v>
      </c>
      <c r="E46" s="191"/>
      <c r="F46" s="190"/>
      <c r="G46" s="276"/>
    </row>
    <row r="47" spans="1:7" s="273" customFormat="1">
      <c r="A47" s="207" t="s">
        <v>1849</v>
      </c>
      <c r="B47" s="189">
        <f>'Sources and Uses Budget'!$C46</f>
        <v>350000</v>
      </c>
      <c r="C47" s="189">
        <f>'Sources and Uses Budget'!$C46</f>
        <v>350000</v>
      </c>
      <c r="D47" s="193">
        <f t="shared" si="0"/>
        <v>0</v>
      </c>
      <c r="E47" s="191"/>
      <c r="F47" s="190"/>
      <c r="G47" s="276"/>
    </row>
    <row r="48" spans="1:7" s="273" customFormat="1" ht="12" customHeight="1">
      <c r="A48" s="1204" t="s">
        <v>1850</v>
      </c>
      <c r="B48" s="189">
        <f>'Sources and Uses Budget'!$C47</f>
        <v>0</v>
      </c>
      <c r="C48" s="189">
        <f>'Sources and Uses Budget'!$C47</f>
        <v>0</v>
      </c>
      <c r="D48" s="193">
        <f t="shared" si="0"/>
        <v>0</v>
      </c>
      <c r="E48" s="191"/>
      <c r="F48" s="190"/>
      <c r="G48" s="276"/>
    </row>
    <row r="49" spans="1:7" s="273" customFormat="1">
      <c r="A49" s="207" t="s">
        <v>1851</v>
      </c>
      <c r="B49" s="189">
        <f>'Sources and Uses Budget'!$C48</f>
        <v>422654</v>
      </c>
      <c r="C49" s="189">
        <f>'Sources and Uses Budget'!$C48</f>
        <v>422654</v>
      </c>
      <c r="D49" s="193">
        <f t="shared" si="0"/>
        <v>0</v>
      </c>
      <c r="E49" s="191"/>
      <c r="F49" s="190"/>
      <c r="G49" s="276"/>
    </row>
    <row r="50" spans="1:7" s="273" customFormat="1">
      <c r="A50" s="207" t="s">
        <v>1852</v>
      </c>
      <c r="B50" s="189">
        <f>'Sources and Uses Budget'!$C49</f>
        <v>246680</v>
      </c>
      <c r="C50" s="189">
        <f>'Sources and Uses Budget'!$C49</f>
        <v>246680</v>
      </c>
      <c r="D50" s="193">
        <f t="shared" si="0"/>
        <v>0</v>
      </c>
      <c r="E50" s="191"/>
      <c r="F50" s="190"/>
      <c r="G50" s="276"/>
    </row>
    <row r="51" spans="1:7" s="273" customFormat="1">
      <c r="A51" s="207" t="s">
        <v>1853</v>
      </c>
      <c r="B51" s="189">
        <f>'Sources and Uses Budget'!$C50</f>
        <v>185000</v>
      </c>
      <c r="C51" s="189">
        <f>'Sources and Uses Budget'!$C50</f>
        <v>185000</v>
      </c>
      <c r="D51" s="193">
        <f t="shared" si="0"/>
        <v>0</v>
      </c>
      <c r="E51" s="191"/>
      <c r="F51" s="190"/>
      <c r="G51" s="276"/>
    </row>
    <row r="52" spans="1:7" s="273" customFormat="1">
      <c r="A52" s="207" t="s">
        <v>1854</v>
      </c>
      <c r="B52" s="189">
        <f>'Sources and Uses Budget'!$C51</f>
        <v>10000</v>
      </c>
      <c r="C52" s="189">
        <f>'Sources and Uses Budget'!$C51</f>
        <v>10000</v>
      </c>
      <c r="D52" s="193">
        <f t="shared" si="0"/>
        <v>0</v>
      </c>
      <c r="E52" s="191"/>
      <c r="F52" s="190"/>
      <c r="G52" s="276"/>
    </row>
    <row r="53" spans="1:7" s="273" customFormat="1">
      <c r="A53" s="207" t="s">
        <v>1855</v>
      </c>
      <c r="B53" s="189">
        <f>'Sources and Uses Budget'!$C52</f>
        <v>1100000</v>
      </c>
      <c r="C53" s="189">
        <f>'Sources and Uses Budget'!$C52</f>
        <v>1100000</v>
      </c>
      <c r="D53" s="193">
        <f t="shared" si="0"/>
        <v>0</v>
      </c>
      <c r="E53" s="191"/>
      <c r="F53" s="190"/>
      <c r="G53" s="276"/>
    </row>
    <row r="54" spans="1:7" s="273" customFormat="1">
      <c r="A54" s="433" t="str">
        <f>'Sources and Uses Budget'!A53</f>
        <v>Other: (Specify)</v>
      </c>
      <c r="B54" s="189">
        <f>'Sources and Uses Budget'!$C53</f>
        <v>0</v>
      </c>
      <c r="C54" s="189">
        <f>'Sources and Uses Budget'!$C53</f>
        <v>0</v>
      </c>
      <c r="D54" s="193">
        <f t="shared" si="0"/>
        <v>0</v>
      </c>
      <c r="E54" s="191"/>
      <c r="F54" s="190"/>
      <c r="G54" s="276"/>
    </row>
    <row r="55" spans="1:7" s="274" customFormat="1">
      <c r="A55" s="194" t="s">
        <v>1856</v>
      </c>
      <c r="B55" s="196">
        <f>SUM(B46:B54)</f>
        <v>9764334</v>
      </c>
      <c r="C55" s="196">
        <f>SUM(C46:C54)</f>
        <v>9764334</v>
      </c>
      <c r="D55" s="193">
        <f t="shared" si="0"/>
        <v>0</v>
      </c>
      <c r="E55" s="191"/>
      <c r="F55" s="190"/>
      <c r="G55" s="277"/>
    </row>
    <row r="56" spans="1:7" s="273" customFormat="1">
      <c r="A56" s="187" t="s">
        <v>1419</v>
      </c>
      <c r="B56" s="187"/>
      <c r="C56" s="187"/>
      <c r="D56" s="187"/>
      <c r="E56" s="206"/>
      <c r="F56" s="187"/>
      <c r="G56" s="276"/>
    </row>
    <row r="57" spans="1:7" s="273" customFormat="1">
      <c r="A57" s="192" t="s">
        <v>1857</v>
      </c>
      <c r="B57" s="189">
        <f>'Sources and Uses Budget'!$C56</f>
        <v>150000</v>
      </c>
      <c r="C57" s="189">
        <f>'Sources and Uses Budget'!$C56</f>
        <v>150000</v>
      </c>
      <c r="D57" s="193">
        <f t="shared" si="0"/>
        <v>0</v>
      </c>
      <c r="E57" s="191"/>
      <c r="F57" s="190"/>
      <c r="G57" s="276"/>
    </row>
    <row r="58" spans="1:7" s="273" customFormat="1" ht="12" customHeight="1">
      <c r="A58" s="192" t="s">
        <v>1850</v>
      </c>
      <c r="B58" s="189">
        <f>'Sources and Uses Budget'!$C57</f>
        <v>0</v>
      </c>
      <c r="C58" s="189">
        <f>'Sources and Uses Budget'!$C57</f>
        <v>0</v>
      </c>
      <c r="D58" s="193">
        <f t="shared" si="0"/>
        <v>0</v>
      </c>
      <c r="E58" s="191"/>
      <c r="F58" s="190"/>
      <c r="G58" s="276"/>
    </row>
    <row r="59" spans="1:7" s="273" customFormat="1">
      <c r="A59" s="192" t="s">
        <v>1853</v>
      </c>
      <c r="B59" s="189">
        <f>'Sources and Uses Budget'!$C58</f>
        <v>23000</v>
      </c>
      <c r="C59" s="189">
        <f>'Sources and Uses Budget'!$C58</f>
        <v>23000</v>
      </c>
      <c r="D59" s="193">
        <f t="shared" si="0"/>
        <v>0</v>
      </c>
      <c r="E59" s="191"/>
      <c r="F59" s="190"/>
      <c r="G59" s="276"/>
    </row>
    <row r="60" spans="1:7" s="273" customFormat="1">
      <c r="A60" s="192" t="s">
        <v>1854</v>
      </c>
      <c r="B60" s="189">
        <f>'Sources and Uses Budget'!$C59</f>
        <v>0</v>
      </c>
      <c r="C60" s="189">
        <f>'Sources and Uses Budget'!$C59</f>
        <v>0</v>
      </c>
      <c r="D60" s="193">
        <f t="shared" si="0"/>
        <v>0</v>
      </c>
      <c r="E60" s="191"/>
      <c r="F60" s="190"/>
      <c r="G60" s="276"/>
    </row>
    <row r="61" spans="1:7" s="273" customFormat="1">
      <c r="A61" s="192" t="s">
        <v>1855</v>
      </c>
      <c r="B61" s="189">
        <f>'Sources and Uses Budget'!$C60</f>
        <v>0</v>
      </c>
      <c r="C61" s="189">
        <f>'Sources and Uses Budget'!$C60</f>
        <v>0</v>
      </c>
      <c r="D61" s="193">
        <f t="shared" si="0"/>
        <v>0</v>
      </c>
      <c r="E61" s="191"/>
      <c r="F61" s="190"/>
      <c r="G61" s="276"/>
    </row>
    <row r="62" spans="1:7" s="273" customFormat="1">
      <c r="A62" s="936" t="str">
        <f>'Sources and Uses Budget'!A61</f>
        <v>Other: (Specify)</v>
      </c>
      <c r="B62" s="189">
        <f>'Sources and Uses Budget'!$C61</f>
        <v>0</v>
      </c>
      <c r="C62" s="189">
        <f>'Sources and Uses Budget'!$C61</f>
        <v>0</v>
      </c>
      <c r="D62" s="193">
        <f t="shared" si="0"/>
        <v>0</v>
      </c>
      <c r="E62" s="191"/>
      <c r="F62" s="190"/>
      <c r="G62" s="276"/>
    </row>
    <row r="63" spans="1:7" s="273" customFormat="1" ht="13.95" customHeight="1">
      <c r="A63" s="194" t="s">
        <v>1858</v>
      </c>
      <c r="B63" s="193">
        <f>SUM(B57:B62)</f>
        <v>173000</v>
      </c>
      <c r="C63" s="193">
        <f>SUM(C57:C62)</f>
        <v>173000</v>
      </c>
      <c r="D63" s="193">
        <f t="shared" si="0"/>
        <v>0</v>
      </c>
      <c r="E63" s="191"/>
      <c r="F63" s="190"/>
      <c r="G63" s="276"/>
    </row>
    <row r="64" spans="1:7" s="273" customFormat="1">
      <c r="A64" s="197" t="s">
        <v>1859</v>
      </c>
      <c r="B64" s="193">
        <f>SUM(B9+B12+B14+B15+B17+B26+B28+B39+B43+B44+B55+B63)</f>
        <v>55875922</v>
      </c>
      <c r="C64" s="193">
        <f>SUM(C9+C12+C14+C15+C17+C26+C28+C39+C43+C44+C55+C63)</f>
        <v>55875922</v>
      </c>
      <c r="D64" s="193">
        <f t="shared" si="0"/>
        <v>0</v>
      </c>
      <c r="E64" s="191"/>
      <c r="F64" s="190"/>
      <c r="G64" s="276"/>
    </row>
    <row r="65" spans="1:7" s="273" customFormat="1" ht="22.8">
      <c r="A65" s="105" t="s">
        <v>1860</v>
      </c>
      <c r="B65" s="187"/>
      <c r="C65" s="187"/>
      <c r="D65" s="187"/>
      <c r="E65" s="206"/>
      <c r="F65" s="187"/>
      <c r="G65" s="276"/>
    </row>
    <row r="66" spans="1:7" s="273" customFormat="1">
      <c r="A66" s="207" t="s">
        <v>1861</v>
      </c>
      <c r="B66" s="189">
        <f>'Sources and Uses Budget'!$C65</f>
        <v>180000</v>
      </c>
      <c r="C66" s="189">
        <f>'Sources and Uses Budget'!$C65</f>
        <v>180000</v>
      </c>
      <c r="D66" s="193">
        <f t="shared" si="0"/>
        <v>0</v>
      </c>
      <c r="E66" s="191"/>
      <c r="F66" s="190"/>
      <c r="G66" s="276"/>
    </row>
    <row r="67" spans="1:7" s="273" customFormat="1" ht="22.8">
      <c r="A67" s="207" t="s">
        <v>1862</v>
      </c>
      <c r="B67" s="189">
        <f>'Sources and Uses Budget'!$C66</f>
        <v>210000</v>
      </c>
      <c r="C67" s="189">
        <f>'Sources and Uses Budget'!$C66</f>
        <v>210000</v>
      </c>
      <c r="D67" s="193"/>
      <c r="E67" s="191"/>
      <c r="F67" s="190"/>
      <c r="G67" s="276"/>
    </row>
    <row r="68" spans="1:7" s="273" customFormat="1" ht="22.8">
      <c r="A68" s="207" t="s">
        <v>1863</v>
      </c>
      <c r="B68" s="189">
        <f>'Sources and Uses Budget'!$C67</f>
        <v>50000</v>
      </c>
      <c r="C68" s="189">
        <f>'Sources and Uses Budget'!$C67</f>
        <v>50000</v>
      </c>
      <c r="D68" s="193"/>
      <c r="E68" s="191"/>
      <c r="F68" s="190"/>
      <c r="G68" s="276"/>
    </row>
    <row r="69" spans="1:7" s="273" customFormat="1">
      <c r="A69" s="207" t="s">
        <v>1864</v>
      </c>
      <c r="B69" s="189">
        <f>'Sources and Uses Budget'!$C68</f>
        <v>0</v>
      </c>
      <c r="C69" s="189">
        <f>'Sources and Uses Budget'!$C68</f>
        <v>0</v>
      </c>
      <c r="D69" s="193"/>
      <c r="E69" s="191"/>
      <c r="F69" s="190"/>
      <c r="G69" s="276"/>
    </row>
    <row r="70" spans="1:7" s="273" customFormat="1">
      <c r="A70" s="433" t="str">
        <f>'Sources and Uses Budget'!A69</f>
        <v>Other: Partnership Legal</v>
      </c>
      <c r="B70" s="189">
        <f>'Sources and Uses Budget'!$C69</f>
        <v>120000</v>
      </c>
      <c r="C70" s="189">
        <f>'Sources and Uses Budget'!$C69</f>
        <v>120000</v>
      </c>
      <c r="D70" s="193">
        <f t="shared" si="0"/>
        <v>0</v>
      </c>
      <c r="E70" s="191"/>
      <c r="F70" s="190"/>
      <c r="G70" s="276"/>
    </row>
    <row r="71" spans="1:7" s="273" customFormat="1">
      <c r="A71" s="107" t="s">
        <v>1866</v>
      </c>
      <c r="B71" s="193">
        <f>SUM(B66:B70)</f>
        <v>560000</v>
      </c>
      <c r="C71" s="193">
        <f>SUM(C66:C70)</f>
        <v>560000</v>
      </c>
      <c r="D71" s="193">
        <f t="shared" si="0"/>
        <v>0</v>
      </c>
      <c r="E71" s="191"/>
      <c r="F71" s="190"/>
      <c r="G71" s="276"/>
    </row>
    <row r="72" spans="1:7" s="273" customFormat="1">
      <c r="A72" s="187" t="s">
        <v>1867</v>
      </c>
      <c r="B72" s="187"/>
      <c r="C72" s="187"/>
      <c r="D72" s="187"/>
      <c r="E72" s="206"/>
      <c r="F72" s="187"/>
      <c r="G72" s="276"/>
    </row>
    <row r="73" spans="1:7" s="273" customFormat="1">
      <c r="A73" s="192" t="s">
        <v>1868</v>
      </c>
      <c r="B73" s="189">
        <f>'Sources and Uses Budget'!$C72</f>
        <v>0</v>
      </c>
      <c r="C73" s="189">
        <f>'Sources and Uses Budget'!$C72</f>
        <v>0</v>
      </c>
      <c r="D73" s="193">
        <f t="shared" si="0"/>
        <v>0</v>
      </c>
      <c r="E73" s="191"/>
      <c r="F73" s="190"/>
      <c r="G73" s="276"/>
    </row>
    <row r="74" spans="1:7" s="273" customFormat="1">
      <c r="A74" s="192" t="s">
        <v>1869</v>
      </c>
      <c r="B74" s="189">
        <f>'Sources and Uses Budget'!$C73</f>
        <v>0</v>
      </c>
      <c r="C74" s="189">
        <f>'Sources and Uses Budget'!$C73</f>
        <v>0</v>
      </c>
      <c r="D74" s="193">
        <f t="shared" si="0"/>
        <v>0</v>
      </c>
      <c r="E74" s="191"/>
      <c r="F74" s="190"/>
      <c r="G74" s="276"/>
    </row>
    <row r="75" spans="1:7" s="273" customFormat="1">
      <c r="A75" s="210" t="s">
        <v>1870</v>
      </c>
      <c r="B75" s="189">
        <f>'Sources and Uses Budget'!$C74</f>
        <v>0</v>
      </c>
      <c r="C75" s="189">
        <f>'Sources and Uses Budget'!$C74</f>
        <v>0</v>
      </c>
      <c r="D75" s="193">
        <f t="shared" si="0"/>
        <v>0</v>
      </c>
      <c r="E75" s="191"/>
      <c r="F75" s="190"/>
      <c r="G75" s="276"/>
    </row>
    <row r="76" spans="1:7" s="273" customFormat="1">
      <c r="A76" s="192" t="s">
        <v>1871</v>
      </c>
      <c r="B76" s="189">
        <f>'Sources and Uses Budget'!$C75</f>
        <v>521676</v>
      </c>
      <c r="C76" s="189">
        <f>'Sources and Uses Budget'!$C75</f>
        <v>521676</v>
      </c>
      <c r="D76" s="193">
        <f t="shared" si="0"/>
        <v>0</v>
      </c>
      <c r="E76" s="191"/>
      <c r="F76" s="190"/>
      <c r="G76" s="276"/>
    </row>
    <row r="77" spans="1:7" s="273" customFormat="1">
      <c r="A77" s="195" t="s">
        <v>1836</v>
      </c>
      <c r="B77" s="189">
        <f>'Sources and Uses Budget'!$C76</f>
        <v>0</v>
      </c>
      <c r="C77" s="189">
        <f>'Sources and Uses Budget'!$C76</f>
        <v>0</v>
      </c>
      <c r="D77" s="193">
        <f t="shared" si="0"/>
        <v>0</v>
      </c>
      <c r="E77" s="191"/>
      <c r="F77" s="190"/>
      <c r="G77" s="276"/>
    </row>
    <row r="78" spans="1:7" s="273" customFormat="1">
      <c r="A78" s="194" t="s">
        <v>1872</v>
      </c>
      <c r="B78" s="193">
        <f>SUM(B73:B77)</f>
        <v>521676</v>
      </c>
      <c r="C78" s="193">
        <f>SUM(C73:C77)</f>
        <v>521676</v>
      </c>
      <c r="D78" s="193">
        <f t="shared" ref="D78:D106" si="1">C78-B78</f>
        <v>0</v>
      </c>
      <c r="E78" s="191"/>
      <c r="F78" s="190"/>
      <c r="G78" s="276"/>
    </row>
    <row r="79" spans="1:7" s="273" customFormat="1">
      <c r="A79" s="187" t="s">
        <v>1873</v>
      </c>
      <c r="B79" s="187"/>
      <c r="C79" s="187"/>
      <c r="D79" s="187"/>
      <c r="E79" s="206"/>
      <c r="F79" s="187"/>
      <c r="G79" s="276"/>
    </row>
    <row r="80" spans="1:7" s="273" customFormat="1">
      <c r="A80" s="434" t="s">
        <v>1874</v>
      </c>
      <c r="B80" s="189">
        <f>'Sources and Uses Budget'!$C79</f>
        <v>4315759</v>
      </c>
      <c r="C80" s="189">
        <f>'Sources and Uses Budget'!$C79</f>
        <v>4315759</v>
      </c>
      <c r="D80" s="193">
        <f t="shared" si="1"/>
        <v>0</v>
      </c>
      <c r="E80" s="191"/>
      <c r="F80" s="190"/>
      <c r="G80" s="276"/>
    </row>
    <row r="81" spans="1:7" s="273" customFormat="1">
      <c r="A81" s="434" t="s">
        <v>1875</v>
      </c>
      <c r="B81" s="189">
        <f>'Sources and Uses Budget'!$C80</f>
        <v>1042722</v>
      </c>
      <c r="C81" s="189">
        <f>'Sources and Uses Budget'!$C80</f>
        <v>1042722</v>
      </c>
      <c r="D81" s="193">
        <f>C81-B81</f>
        <v>0</v>
      </c>
      <c r="E81" s="191"/>
      <c r="F81" s="190"/>
      <c r="G81" s="276"/>
    </row>
    <row r="82" spans="1:7" s="273" customFormat="1">
      <c r="A82" s="194" t="s">
        <v>1876</v>
      </c>
      <c r="B82" s="193">
        <f>SUM(B80:B81)</f>
        <v>5358481</v>
      </c>
      <c r="C82" s="193">
        <f>SUM(C80:C81)</f>
        <v>5358481</v>
      </c>
      <c r="D82" s="193">
        <f t="shared" si="1"/>
        <v>0</v>
      </c>
      <c r="E82" s="191"/>
      <c r="F82" s="190"/>
      <c r="G82" s="276"/>
    </row>
    <row r="83" spans="1:7" s="273" customFormat="1">
      <c r="A83" s="187" t="s">
        <v>1877</v>
      </c>
      <c r="B83" s="187"/>
      <c r="C83" s="187"/>
      <c r="D83" s="187"/>
      <c r="E83" s="206"/>
      <c r="F83" s="187"/>
      <c r="G83" s="276"/>
    </row>
    <row r="84" spans="1:7" s="273" customFormat="1" ht="13.95" customHeight="1">
      <c r="A84" s="192" t="s">
        <v>2793</v>
      </c>
      <c r="B84" s="189">
        <f>'Sources and Uses Budget'!$C83</f>
        <v>185000</v>
      </c>
      <c r="C84" s="189">
        <f>'Sources and Uses Budget'!$C83</f>
        <v>185000</v>
      </c>
      <c r="D84" s="193">
        <f t="shared" si="1"/>
        <v>0</v>
      </c>
      <c r="E84" s="191"/>
      <c r="F84" s="190"/>
      <c r="G84" s="276"/>
    </row>
    <row r="85" spans="1:7" s="273" customFormat="1">
      <c r="A85" s="192" t="s">
        <v>1879</v>
      </c>
      <c r="B85" s="189">
        <f>'Sources and Uses Budget'!$C84</f>
        <v>95000</v>
      </c>
      <c r="C85" s="189">
        <f>'Sources and Uses Budget'!$C84</f>
        <v>95000</v>
      </c>
      <c r="D85" s="193">
        <f t="shared" si="1"/>
        <v>0</v>
      </c>
      <c r="E85" s="191"/>
      <c r="F85" s="190"/>
      <c r="G85" s="276"/>
    </row>
    <row r="86" spans="1:7" s="273" customFormat="1">
      <c r="A86" s="192" t="s">
        <v>1880</v>
      </c>
      <c r="B86" s="189">
        <f>'Sources and Uses Budget'!$C85</f>
        <v>360859.99999999994</v>
      </c>
      <c r="C86" s="189">
        <f>'Sources and Uses Budget'!$C85</f>
        <v>360859.99999999994</v>
      </c>
      <c r="D86" s="193">
        <f t="shared" si="1"/>
        <v>0</v>
      </c>
      <c r="E86" s="191"/>
      <c r="F86" s="190"/>
      <c r="G86" s="276"/>
    </row>
    <row r="87" spans="1:7" s="273" customFormat="1">
      <c r="A87" s="192" t="s">
        <v>1881</v>
      </c>
      <c r="B87" s="189">
        <f>'Sources and Uses Budget'!$C86</f>
        <v>50000</v>
      </c>
      <c r="C87" s="189">
        <f>'Sources and Uses Budget'!$C86</f>
        <v>50000</v>
      </c>
      <c r="D87" s="193">
        <f t="shared" si="1"/>
        <v>0</v>
      </c>
      <c r="E87" s="191"/>
      <c r="F87" s="190"/>
      <c r="G87" s="276"/>
    </row>
    <row r="88" spans="1:7" s="273" customFormat="1">
      <c r="A88" s="192" t="s">
        <v>1882</v>
      </c>
      <c r="B88" s="189">
        <f>'Sources and Uses Budget'!$C87</f>
        <v>0</v>
      </c>
      <c r="C88" s="189">
        <f>'Sources and Uses Budget'!$C87</f>
        <v>0</v>
      </c>
      <c r="D88" s="193">
        <f t="shared" si="1"/>
        <v>0</v>
      </c>
      <c r="E88" s="191"/>
      <c r="F88" s="190"/>
      <c r="G88" s="276"/>
    </row>
    <row r="89" spans="1:7" s="273" customFormat="1">
      <c r="A89" s="192" t="s">
        <v>1883</v>
      </c>
      <c r="B89" s="189">
        <f>'Sources and Uses Budget'!$C88</f>
        <v>100000</v>
      </c>
      <c r="C89" s="189">
        <f>'Sources and Uses Budget'!$C88</f>
        <v>100000</v>
      </c>
      <c r="D89" s="193">
        <f t="shared" si="1"/>
        <v>0</v>
      </c>
      <c r="E89" s="191"/>
      <c r="F89" s="190"/>
      <c r="G89" s="276"/>
    </row>
    <row r="90" spans="1:7" s="273" customFormat="1">
      <c r="A90" s="192" t="s">
        <v>1884</v>
      </c>
      <c r="B90" s="189">
        <f>'Sources and Uses Budget'!$C89</f>
        <v>553500</v>
      </c>
      <c r="C90" s="189">
        <f>'Sources and Uses Budget'!$C89</f>
        <v>553500</v>
      </c>
      <c r="D90" s="193">
        <f t="shared" si="1"/>
        <v>0</v>
      </c>
      <c r="E90" s="191"/>
      <c r="F90" s="190"/>
      <c r="G90" s="276"/>
    </row>
    <row r="91" spans="1:7" s="273" customFormat="1">
      <c r="A91" s="192" t="s">
        <v>1885</v>
      </c>
      <c r="B91" s="189">
        <f>'Sources and Uses Budget'!$C90</f>
        <v>13200</v>
      </c>
      <c r="C91" s="189">
        <f>'Sources and Uses Budget'!$C90</f>
        <v>13200</v>
      </c>
      <c r="D91" s="193">
        <f t="shared" si="1"/>
        <v>0</v>
      </c>
      <c r="E91" s="191"/>
      <c r="F91" s="190"/>
      <c r="G91" s="276"/>
    </row>
    <row r="92" spans="1:7" s="273" customFormat="1">
      <c r="A92" s="192" t="s">
        <v>1886</v>
      </c>
      <c r="B92" s="189">
        <f>'Sources and Uses Budget'!$C91</f>
        <v>130000</v>
      </c>
      <c r="C92" s="189">
        <f>'Sources and Uses Budget'!$C91</f>
        <v>130000</v>
      </c>
      <c r="D92" s="193">
        <f t="shared" si="1"/>
        <v>0</v>
      </c>
      <c r="E92" s="191"/>
      <c r="F92" s="190"/>
      <c r="G92" s="276"/>
    </row>
    <row r="93" spans="1:7" s="273" customFormat="1">
      <c r="A93" s="434" t="s">
        <v>1887</v>
      </c>
      <c r="B93" s="189">
        <f>'Sources and Uses Budget'!$C92</f>
        <v>25000</v>
      </c>
      <c r="C93" s="189">
        <f>'Sources and Uses Budget'!$C92</f>
        <v>25000</v>
      </c>
      <c r="D93" s="193">
        <f t="shared" si="1"/>
        <v>0</v>
      </c>
      <c r="E93" s="191"/>
      <c r="F93" s="190"/>
      <c r="G93" s="276"/>
    </row>
    <row r="94" spans="1:7" s="273" customFormat="1">
      <c r="A94" s="195" t="s">
        <v>1836</v>
      </c>
      <c r="B94" s="189">
        <f>'Sources and Uses Budget'!$C93</f>
        <v>153722</v>
      </c>
      <c r="C94" s="189">
        <f>'Sources and Uses Budget'!$C93</f>
        <v>153722</v>
      </c>
      <c r="D94" s="193">
        <f t="shared" si="1"/>
        <v>0</v>
      </c>
      <c r="E94" s="191"/>
      <c r="F94" s="190"/>
      <c r="G94" s="276"/>
    </row>
    <row r="95" spans="1:7" s="273" customFormat="1">
      <c r="A95" s="195" t="s">
        <v>1836</v>
      </c>
      <c r="B95" s="189">
        <f>'Sources and Uses Budget'!$C94</f>
        <v>200000</v>
      </c>
      <c r="C95" s="189">
        <f>'Sources and Uses Budget'!$C94</f>
        <v>200000</v>
      </c>
      <c r="D95" s="193">
        <f t="shared" si="1"/>
        <v>0</v>
      </c>
      <c r="E95" s="191"/>
      <c r="F95" s="190"/>
      <c r="G95" s="276"/>
    </row>
    <row r="96" spans="1:7" s="273" customFormat="1">
      <c r="A96" s="195" t="s">
        <v>1836</v>
      </c>
      <c r="B96" s="189">
        <f>'Sources and Uses Budget'!$C95</f>
        <v>290000</v>
      </c>
      <c r="C96" s="189">
        <f>'Sources and Uses Budget'!$C95</f>
        <v>290000</v>
      </c>
      <c r="D96" s="193">
        <f t="shared" si="1"/>
        <v>0</v>
      </c>
      <c r="E96" s="191"/>
      <c r="F96" s="190"/>
      <c r="G96" s="276"/>
    </row>
    <row r="97" spans="1:7" s="273" customFormat="1">
      <c r="A97" s="194" t="s">
        <v>1891</v>
      </c>
      <c r="B97" s="193">
        <f>SUM(B84:B96)</f>
        <v>2156282</v>
      </c>
      <c r="C97" s="193">
        <f>SUM(C84:C96)</f>
        <v>2156282</v>
      </c>
      <c r="D97" s="193">
        <f t="shared" si="1"/>
        <v>0</v>
      </c>
      <c r="E97" s="191"/>
      <c r="F97" s="190"/>
      <c r="G97" s="276"/>
    </row>
    <row r="98" spans="1:7" s="273" customFormat="1">
      <c r="A98" s="194" t="s">
        <v>1892</v>
      </c>
      <c r="B98" s="193">
        <f>SUM(B64+B71+B78+B82+B97)</f>
        <v>64472361</v>
      </c>
      <c r="C98" s="193">
        <f>SUM(C64+C71+C78+C82+C97)</f>
        <v>64472361</v>
      </c>
      <c r="D98" s="193">
        <f t="shared" si="1"/>
        <v>0</v>
      </c>
      <c r="E98" s="191"/>
      <c r="F98" s="190"/>
      <c r="G98" s="276"/>
    </row>
    <row r="99" spans="1:7" s="273" customFormat="1">
      <c r="A99" s="187" t="s">
        <v>1893</v>
      </c>
      <c r="B99" s="187"/>
      <c r="C99" s="187"/>
      <c r="D99" s="187"/>
      <c r="E99" s="206"/>
      <c r="F99" s="187"/>
      <c r="G99" s="276"/>
    </row>
    <row r="100" spans="1:7" s="273" customFormat="1">
      <c r="A100" s="207" t="s">
        <v>1894</v>
      </c>
      <c r="B100" s="189">
        <f>'Sources and Uses Budget'!$C99</f>
        <v>8813773</v>
      </c>
      <c r="C100" s="189">
        <f>'Sources and Uses Budget'!$C99</f>
        <v>8813773</v>
      </c>
      <c r="D100" s="193">
        <f t="shared" si="1"/>
        <v>0</v>
      </c>
      <c r="E100" s="191"/>
      <c r="F100" s="190"/>
      <c r="G100" s="276"/>
    </row>
    <row r="101" spans="1:7" s="273" customFormat="1">
      <c r="A101" s="207" t="s">
        <v>1895</v>
      </c>
      <c r="B101" s="189">
        <f>'Sources and Uses Budget'!$C100</f>
        <v>0</v>
      </c>
      <c r="C101" s="189">
        <f>'Sources and Uses Budget'!$C100</f>
        <v>0</v>
      </c>
      <c r="D101" s="193">
        <f t="shared" si="1"/>
        <v>0</v>
      </c>
      <c r="E101" s="191"/>
      <c r="F101" s="190"/>
      <c r="G101" s="276"/>
    </row>
    <row r="102" spans="1:7" s="273" customFormat="1">
      <c r="A102" s="207" t="s">
        <v>1896</v>
      </c>
      <c r="B102" s="189">
        <f>'Sources and Uses Budget'!$C101</f>
        <v>0</v>
      </c>
      <c r="C102" s="189">
        <f>'Sources and Uses Budget'!$C101</f>
        <v>0</v>
      </c>
      <c r="D102" s="193">
        <f t="shared" si="1"/>
        <v>0</v>
      </c>
      <c r="E102" s="191"/>
      <c r="F102" s="190"/>
      <c r="G102" s="276"/>
    </row>
    <row r="103" spans="1:7" s="273" customFormat="1" ht="12" customHeight="1">
      <c r="A103" s="207" t="s">
        <v>1897</v>
      </c>
      <c r="B103" s="189">
        <f>'Sources and Uses Budget'!$C102</f>
        <v>0</v>
      </c>
      <c r="C103" s="189">
        <f>'Sources and Uses Budget'!$C102</f>
        <v>0</v>
      </c>
      <c r="D103" s="193">
        <f t="shared" si="1"/>
        <v>0</v>
      </c>
      <c r="E103" s="191"/>
      <c r="F103" s="190"/>
      <c r="G103" s="276"/>
    </row>
    <row r="104" spans="1:7" s="273" customFormat="1">
      <c r="A104" s="936" t="str">
        <f>'Sources and Uses Budget'!A103</f>
        <v>Other: (Specify)</v>
      </c>
      <c r="B104" s="189">
        <f>'Sources and Uses Budget'!$C103</f>
        <v>0</v>
      </c>
      <c r="C104" s="189">
        <f>'Sources and Uses Budget'!$C103</f>
        <v>0</v>
      </c>
      <c r="D104" s="193">
        <f t="shared" si="1"/>
        <v>0</v>
      </c>
      <c r="E104" s="191"/>
      <c r="F104" s="190"/>
      <c r="G104" s="276"/>
    </row>
    <row r="105" spans="1:7" s="273" customFormat="1">
      <c r="A105" s="194" t="s">
        <v>1898</v>
      </c>
      <c r="B105" s="193">
        <f>SUM(B100:B104)</f>
        <v>8813773</v>
      </c>
      <c r="C105" s="193">
        <f>SUM(C100:C104)</f>
        <v>8813773</v>
      </c>
      <c r="D105" s="193">
        <f t="shared" si="1"/>
        <v>0</v>
      </c>
      <c r="E105" s="191"/>
      <c r="F105" s="190"/>
      <c r="G105" s="276"/>
    </row>
    <row r="106" spans="1:7" s="273" customFormat="1">
      <c r="A106" s="194" t="s">
        <v>1899</v>
      </c>
      <c r="B106" s="196">
        <f>SUM(B98+B105)</f>
        <v>73286134</v>
      </c>
      <c r="C106" s="196">
        <f>SUM(C98+C105)</f>
        <v>73286134</v>
      </c>
      <c r="D106" s="193">
        <f t="shared" si="1"/>
        <v>0</v>
      </c>
      <c r="E106" s="191"/>
      <c r="F106" s="190"/>
      <c r="G106" s="276"/>
    </row>
    <row r="107" spans="1:7" s="273" customFormat="1">
      <c r="A107" s="201" t="s">
        <v>2794</v>
      </c>
      <c r="B107" s="202"/>
      <c r="C107" s="203"/>
      <c r="D107" s="205"/>
      <c r="E107" s="188"/>
      <c r="F107" s="200"/>
      <c r="G107" s="276"/>
    </row>
    <row r="108" spans="1:7" s="199" customFormat="1" ht="12" hidden="1" customHeight="1">
      <c r="A108" s="198"/>
    </row>
    <row r="109" spans="1:7" s="199" customFormat="1" ht="12" hidden="1" customHeight="1">
      <c r="A109" s="198"/>
    </row>
    <row r="110" spans="1:7" s="199" customFormat="1" ht="12" hidden="1" customHeight="1">
      <c r="A110" s="198"/>
    </row>
    <row r="111" spans="1:7" s="199" customFormat="1" ht="12" hidden="1" customHeight="1">
      <c r="A111" s="198"/>
    </row>
    <row r="112" spans="1:7" s="199" customFormat="1" ht="12" hidden="1" customHeight="1">
      <c r="A112" s="198"/>
    </row>
    <row r="113" spans="1:1" s="199" customFormat="1" ht="12" hidden="1" customHeight="1">
      <c r="A113" s="198"/>
    </row>
    <row r="114" spans="1:1" s="199" customFormat="1" ht="12" hidden="1" customHeight="1">
      <c r="A114" s="198"/>
    </row>
    <row r="115" spans="1:1" s="199" customFormat="1" ht="12" hidden="1" customHeight="1">
      <c r="A115" s="198"/>
    </row>
    <row r="116" spans="1:1" s="199" customFormat="1" ht="12" hidden="1" customHeight="1">
      <c r="A116" s="198"/>
    </row>
    <row r="117" spans="1:1" s="199" customFormat="1" ht="12" hidden="1" customHeight="1">
      <c r="A117" s="198"/>
    </row>
    <row r="118" spans="1:1" s="199" customFormat="1" ht="12" hidden="1" customHeight="1">
      <c r="A118" s="198"/>
    </row>
    <row r="119" spans="1:1" s="199" customFormat="1" ht="12" hidden="1" customHeight="1">
      <c r="A119" s="198"/>
    </row>
    <row r="120" spans="1:1" s="199" customFormat="1" ht="12" hidden="1" customHeight="1">
      <c r="A120" s="198"/>
    </row>
    <row r="121" spans="1:1" s="199" customFormat="1" ht="12" hidden="1" customHeight="1">
      <c r="A121" s="198"/>
    </row>
    <row r="122" spans="1:1" s="199" customFormat="1" ht="12" hidden="1" customHeight="1">
      <c r="A122" s="198"/>
    </row>
    <row r="123" spans="1:1" s="199" customFormat="1" ht="12" hidden="1" customHeight="1">
      <c r="A123" s="198"/>
    </row>
    <row r="124" spans="1:1" s="199" customFormat="1" ht="12" hidden="1" customHeight="1">
      <c r="A124" s="198"/>
    </row>
    <row r="125" spans="1:1" s="199" customFormat="1" ht="12" hidden="1" customHeight="1">
      <c r="A125" s="198"/>
    </row>
    <row r="126" spans="1:1" s="199" customFormat="1" ht="12" hidden="1" customHeight="1">
      <c r="A126" s="198"/>
    </row>
    <row r="127" spans="1:1" s="199" customFormat="1" ht="12" hidden="1" customHeight="1">
      <c r="A127" s="198"/>
    </row>
    <row r="128" spans="1:1" s="199" customFormat="1" ht="12" hidden="1" customHeight="1">
      <c r="A128" s="198"/>
    </row>
    <row r="129" spans="1:1" s="199" customFormat="1" ht="12" hidden="1" customHeight="1">
      <c r="A129" s="198"/>
    </row>
    <row r="130" spans="1:1" s="199" customFormat="1" ht="12" hidden="1" customHeight="1">
      <c r="A130" s="198"/>
    </row>
    <row r="131" spans="1:1" s="199" customFormat="1" ht="12" hidden="1" customHeight="1">
      <c r="A131" s="198"/>
    </row>
    <row r="132" spans="1:1" s="199" customFormat="1" ht="12" hidden="1" customHeight="1">
      <c r="A132" s="198"/>
    </row>
    <row r="133" spans="1:1" s="199" customFormat="1" ht="12" hidden="1" customHeight="1">
      <c r="A133" s="198"/>
    </row>
    <row r="134" spans="1:1" s="199" customFormat="1" ht="12" hidden="1" customHeight="1">
      <c r="A134" s="198"/>
    </row>
    <row r="135" spans="1:1" s="199" customFormat="1" ht="12" hidden="1" customHeight="1">
      <c r="A135" s="198"/>
    </row>
    <row r="136" spans="1:1" s="199" customFormat="1" ht="12" hidden="1" customHeight="1">
      <c r="A136" s="198"/>
    </row>
    <row r="137" spans="1:1" s="199" customFormat="1" ht="12" hidden="1" customHeight="1">
      <c r="A137" s="198"/>
    </row>
    <row r="138" spans="1:1" s="199" customFormat="1" ht="12" hidden="1" customHeight="1">
      <c r="A138" s="198"/>
    </row>
    <row r="139" spans="1:1" s="199" customFormat="1" ht="12" hidden="1" customHeight="1">
      <c r="A139" s="198"/>
    </row>
    <row r="140" spans="1:1" s="199" customFormat="1" ht="12" hidden="1" customHeight="1">
      <c r="A140" s="198"/>
    </row>
    <row r="141" spans="1:1" s="199" customFormat="1" ht="12" hidden="1" customHeight="1">
      <c r="A141" s="198"/>
    </row>
    <row r="142" spans="1:1" s="199" customFormat="1" ht="12" hidden="1" customHeight="1">
      <c r="A142" s="198"/>
    </row>
    <row r="143" spans="1:1" s="199" customFormat="1" ht="12" hidden="1" customHeight="1">
      <c r="A143" s="198"/>
    </row>
    <row r="144" spans="1:1" s="199" customFormat="1" ht="12" hidden="1" customHeight="1">
      <c r="A144" s="198"/>
    </row>
    <row r="145" spans="1:1" s="199" customFormat="1" ht="12" hidden="1" customHeight="1">
      <c r="A145" s="198"/>
    </row>
    <row r="146" spans="1:1" s="199" customFormat="1" ht="12" hidden="1" customHeight="1">
      <c r="A146" s="198"/>
    </row>
    <row r="147" spans="1:1" s="199" customFormat="1" ht="12" hidden="1" customHeight="1">
      <c r="A147" s="198"/>
    </row>
    <row r="148" spans="1:1" s="199" customFormat="1" ht="12" hidden="1" customHeight="1">
      <c r="A148" s="198"/>
    </row>
    <row r="149" spans="1:1" s="199" customFormat="1" ht="12" hidden="1" customHeight="1">
      <c r="A149" s="198"/>
    </row>
    <row r="150" spans="1:1" s="199" customFormat="1" ht="12" hidden="1" customHeight="1">
      <c r="A150" s="198"/>
    </row>
    <row r="151" spans="1:1" s="199" customFormat="1" ht="12" hidden="1" customHeight="1">
      <c r="A151" s="198"/>
    </row>
    <row r="152" spans="1:1" s="199" customFormat="1" ht="12" hidden="1" customHeight="1">
      <c r="A152" s="198"/>
    </row>
    <row r="153" spans="1:1" s="199" customFormat="1" ht="12" hidden="1" customHeight="1">
      <c r="A153" s="198"/>
    </row>
    <row r="154" spans="1:1" s="199" customFormat="1" ht="12" hidden="1" customHeight="1">
      <c r="A154" s="198"/>
    </row>
    <row r="155" spans="1:1" s="199" customFormat="1" ht="12" hidden="1" customHeight="1">
      <c r="A155" s="198"/>
    </row>
    <row r="156" spans="1:1" s="199" customFormat="1" ht="12" hidden="1" customHeight="1">
      <c r="A156" s="198"/>
    </row>
    <row r="157" spans="1:1" s="199" customFormat="1" ht="12" hidden="1" customHeight="1">
      <c r="A157" s="198"/>
    </row>
    <row r="158" spans="1:1" s="199" customFormat="1" ht="12" hidden="1" customHeight="1">
      <c r="A158" s="198"/>
    </row>
    <row r="159" spans="1:1" s="199" customFormat="1" ht="12" hidden="1" customHeight="1">
      <c r="A159" s="198"/>
    </row>
    <row r="160" spans="1:1" s="199" customFormat="1" ht="12" hidden="1" customHeight="1">
      <c r="A160" s="198"/>
    </row>
    <row r="161" spans="1:1" s="199" customFormat="1" ht="12" hidden="1" customHeight="1">
      <c r="A161" s="198"/>
    </row>
    <row r="162" spans="1:1" s="199" customFormat="1" ht="12" hidden="1" customHeight="1">
      <c r="A162" s="198"/>
    </row>
    <row r="163" spans="1:1" s="199" customFormat="1" ht="12" hidden="1" customHeight="1">
      <c r="A163" s="198"/>
    </row>
    <row r="164" spans="1:1" s="199" customFormat="1" ht="12" hidden="1" customHeight="1">
      <c r="A164" s="198"/>
    </row>
    <row r="165" spans="1:1" s="199" customFormat="1" ht="12" hidden="1" customHeight="1">
      <c r="A165" s="198"/>
    </row>
    <row r="166" spans="1:1" s="199" customFormat="1" ht="12" hidden="1" customHeight="1">
      <c r="A166" s="198"/>
    </row>
    <row r="167" spans="1:1" s="199" customFormat="1" ht="12" hidden="1" customHeight="1">
      <c r="A167" s="198"/>
    </row>
    <row r="168" spans="1:1" s="199" customFormat="1" ht="12" hidden="1" customHeight="1">
      <c r="A168" s="198"/>
    </row>
    <row r="169" spans="1:1" s="199" customFormat="1" ht="12" hidden="1" customHeight="1">
      <c r="A169" s="198"/>
    </row>
    <row r="170" spans="1:1" s="199" customFormat="1" ht="12" hidden="1" customHeight="1">
      <c r="A170" s="198"/>
    </row>
    <row r="171" spans="1:1" s="199" customFormat="1" ht="12" hidden="1" customHeight="1">
      <c r="A171" s="198"/>
    </row>
    <row r="172" spans="1:1" s="199" customFormat="1" ht="12" hidden="1" customHeight="1">
      <c r="A172" s="198"/>
    </row>
    <row r="173" spans="1:1" s="199" customFormat="1" ht="12" hidden="1" customHeight="1">
      <c r="A173" s="198"/>
    </row>
    <row r="174" spans="1:1" s="199" customFormat="1" ht="12" hidden="1" customHeight="1">
      <c r="A174" s="198"/>
    </row>
    <row r="175" spans="1:1" s="199" customFormat="1" ht="12" hidden="1" customHeight="1">
      <c r="A175" s="198"/>
    </row>
    <row r="176" spans="1:1" s="199" customFormat="1" ht="12" hidden="1" customHeight="1">
      <c r="A176" s="198"/>
    </row>
    <row r="177" spans="1:1" s="199" customFormat="1" ht="12" hidden="1" customHeight="1">
      <c r="A177" s="198"/>
    </row>
    <row r="178" spans="1:1" s="199" customFormat="1" ht="12" hidden="1" customHeight="1">
      <c r="A178" s="198"/>
    </row>
    <row r="179" spans="1:1" s="199" customFormat="1" ht="12" hidden="1" customHeight="1">
      <c r="A179" s="198"/>
    </row>
    <row r="180" spans="1:1" s="199" customFormat="1" ht="12" hidden="1" customHeight="1">
      <c r="A180" s="198"/>
    </row>
    <row r="181" spans="1:1" s="199" customFormat="1" ht="12" hidden="1" customHeight="1">
      <c r="A181" s="198"/>
    </row>
    <row r="182" spans="1:1" s="199" customFormat="1" ht="12" hidden="1" customHeight="1">
      <c r="A182" s="198"/>
    </row>
    <row r="183" spans="1:1" s="199" customFormat="1" ht="12" hidden="1" customHeight="1">
      <c r="A183" s="198"/>
    </row>
    <row r="184" spans="1:1" s="199" customFormat="1" ht="12" hidden="1" customHeight="1">
      <c r="A184" s="198"/>
    </row>
    <row r="185" spans="1:1" s="199" customFormat="1" ht="12" hidden="1" customHeight="1">
      <c r="A185" s="198"/>
    </row>
    <row r="186" spans="1:1" s="199" customFormat="1" ht="12" hidden="1" customHeight="1">
      <c r="A186" s="198"/>
    </row>
    <row r="187" spans="1:1" s="199" customFormat="1" ht="12" hidden="1" customHeight="1">
      <c r="A187" s="198"/>
    </row>
    <row r="188" spans="1:1" s="199" customFormat="1" ht="12" hidden="1" customHeight="1">
      <c r="A188" s="198"/>
    </row>
    <row r="189" spans="1:1" s="199" customFormat="1" ht="12" hidden="1" customHeight="1">
      <c r="A189" s="198"/>
    </row>
    <row r="190" spans="1:1" s="199" customFormat="1" ht="12" hidden="1" customHeight="1">
      <c r="A190" s="198"/>
    </row>
    <row r="191" spans="1:1" s="199" customFormat="1" ht="12" hidden="1" customHeight="1">
      <c r="A191" s="198"/>
    </row>
    <row r="192" spans="1:1" s="199" customFormat="1" ht="12" hidden="1" customHeight="1">
      <c r="A192" s="198"/>
    </row>
    <row r="193" spans="1:1" s="199" customFormat="1" ht="12" hidden="1" customHeight="1">
      <c r="A193" s="198"/>
    </row>
    <row r="194" spans="1:1" s="199" customFormat="1" ht="12" hidden="1" customHeight="1">
      <c r="A194" s="198"/>
    </row>
    <row r="195" spans="1:1" s="199" customFormat="1" ht="12" hidden="1" customHeight="1">
      <c r="A195" s="198"/>
    </row>
    <row r="196" spans="1:1" s="199" customFormat="1" ht="12" hidden="1" customHeight="1">
      <c r="A196" s="198"/>
    </row>
    <row r="197" spans="1:1" s="199" customFormat="1" ht="12" hidden="1" customHeight="1">
      <c r="A197" s="198"/>
    </row>
    <row r="198" spans="1:1" s="199" customFormat="1" ht="12" hidden="1" customHeight="1">
      <c r="A198" s="198"/>
    </row>
    <row r="199" spans="1:1" s="199" customFormat="1" ht="12" hidden="1" customHeight="1">
      <c r="A199" s="198"/>
    </row>
    <row r="200" spans="1:1" s="199" customFormat="1" ht="12" hidden="1" customHeight="1">
      <c r="A200" s="198"/>
    </row>
    <row r="201" spans="1:1" s="199" customFormat="1" ht="12" hidden="1" customHeight="1">
      <c r="A201" s="198"/>
    </row>
    <row r="202" spans="1:1" s="199" customFormat="1" ht="12" hidden="1" customHeight="1">
      <c r="A202" s="198"/>
    </row>
    <row r="203" spans="1:1" s="199" customFormat="1" ht="12" hidden="1" customHeight="1">
      <c r="A203" s="198"/>
    </row>
    <row r="204" spans="1:1" s="199" customFormat="1" ht="12" hidden="1" customHeight="1">
      <c r="A204" s="198"/>
    </row>
    <row r="205" spans="1:1" s="199" customFormat="1" ht="12" hidden="1" customHeight="1">
      <c r="A205" s="198"/>
    </row>
    <row r="206" spans="1:1" s="199" customFormat="1" ht="12" hidden="1" customHeight="1">
      <c r="A206" s="198"/>
    </row>
    <row r="207" spans="1:1" s="199" customFormat="1" ht="12" hidden="1" customHeight="1">
      <c r="A207" s="198"/>
    </row>
    <row r="208" spans="1:1" s="199" customFormat="1" ht="12" hidden="1" customHeight="1">
      <c r="A208" s="198"/>
    </row>
    <row r="209" spans="1:1" s="199" customFormat="1" ht="12" hidden="1" customHeight="1">
      <c r="A209" s="198"/>
    </row>
    <row r="210" spans="1:1" s="199" customFormat="1" ht="12" hidden="1" customHeight="1">
      <c r="A210" s="198"/>
    </row>
    <row r="211" spans="1:1" s="199" customFormat="1" ht="12" hidden="1" customHeight="1">
      <c r="A211" s="198"/>
    </row>
    <row r="212" spans="1:1" s="199" customFormat="1" ht="12" hidden="1" customHeight="1">
      <c r="A212" s="198"/>
    </row>
    <row r="213" spans="1:1" s="199" customFormat="1" ht="12" hidden="1" customHeight="1">
      <c r="A213" s="198"/>
    </row>
    <row r="214" spans="1:1" s="199" customFormat="1" ht="12" hidden="1" customHeight="1">
      <c r="A214" s="198"/>
    </row>
    <row r="215" spans="1:1" s="199" customFormat="1" ht="12" hidden="1" customHeight="1">
      <c r="A215" s="198"/>
    </row>
    <row r="216" spans="1:1" s="199" customFormat="1" ht="12" hidden="1" customHeight="1">
      <c r="A216" s="198"/>
    </row>
    <row r="217" spans="1:1" s="199" customFormat="1" ht="12" hidden="1" customHeight="1">
      <c r="A217" s="198"/>
    </row>
    <row r="218" spans="1:1" s="199" customFormat="1" ht="12" hidden="1" customHeight="1">
      <c r="A218" s="198"/>
    </row>
    <row r="219" spans="1:1" s="199" customFormat="1" ht="12" hidden="1" customHeight="1">
      <c r="A219" s="198"/>
    </row>
    <row r="220" spans="1:1" s="199" customFormat="1" ht="12" hidden="1" customHeight="1">
      <c r="A220" s="198"/>
    </row>
    <row r="221" spans="1:1" s="199" customFormat="1" ht="12" hidden="1" customHeight="1">
      <c r="A221" s="198"/>
    </row>
    <row r="222" spans="1:1" s="199" customFormat="1" ht="12" hidden="1" customHeight="1">
      <c r="A222" s="198"/>
    </row>
    <row r="223" spans="1:1" s="199" customFormat="1" ht="12" hidden="1" customHeight="1">
      <c r="A223" s="198"/>
    </row>
    <row r="224" spans="1:1" s="199" customFormat="1" ht="12" hidden="1" customHeight="1">
      <c r="A224" s="198"/>
    </row>
    <row r="225" spans="1:1" s="199" customFormat="1" ht="12" hidden="1" customHeight="1">
      <c r="A225" s="198"/>
    </row>
    <row r="226" spans="1:1" s="199" customFormat="1" ht="12" hidden="1" customHeight="1">
      <c r="A226" s="198"/>
    </row>
    <row r="227" spans="1:1" s="199" customFormat="1" ht="12" hidden="1" customHeight="1">
      <c r="A227" s="198"/>
    </row>
    <row r="228" spans="1:1" s="199" customFormat="1" ht="12" hidden="1" customHeight="1">
      <c r="A228" s="198"/>
    </row>
    <row r="229" spans="1:1" s="199" customFormat="1" ht="12" hidden="1" customHeight="1">
      <c r="A229" s="198"/>
    </row>
    <row r="230" spans="1:1" s="199" customFormat="1" ht="12" hidden="1" customHeight="1">
      <c r="A230" s="198"/>
    </row>
    <row r="231" spans="1:1" s="199" customFormat="1" ht="12" hidden="1" customHeight="1">
      <c r="A231" s="198"/>
    </row>
    <row r="232" spans="1:1" s="199" customFormat="1" ht="12" hidden="1" customHeight="1">
      <c r="A232" s="198"/>
    </row>
    <row r="233" spans="1:1" s="199" customFormat="1" ht="12" hidden="1" customHeight="1">
      <c r="A233" s="198"/>
    </row>
    <row r="234" spans="1:1" s="199" customFormat="1" ht="12" hidden="1" customHeight="1">
      <c r="A234" s="198"/>
    </row>
    <row r="235" spans="1:1" s="199" customFormat="1" ht="12" hidden="1" customHeight="1">
      <c r="A235" s="198"/>
    </row>
    <row r="236" spans="1:1" s="199" customFormat="1" ht="12" hidden="1" customHeight="1">
      <c r="A236" s="198"/>
    </row>
    <row r="237" spans="1:1" s="199" customFormat="1" ht="12" hidden="1" customHeight="1">
      <c r="A237" s="198"/>
    </row>
    <row r="238" spans="1:1" s="199" customFormat="1" ht="12" hidden="1" customHeight="1">
      <c r="A238" s="198"/>
    </row>
    <row r="239" spans="1:1" s="199" customFormat="1" ht="12" hidden="1" customHeight="1">
      <c r="A239" s="198"/>
    </row>
    <row r="240" spans="1:1" s="199" customFormat="1" ht="12" hidden="1" customHeight="1">
      <c r="A240" s="198"/>
    </row>
    <row r="241" spans="1:1" s="199" customFormat="1" ht="12" hidden="1" customHeight="1">
      <c r="A241" s="198"/>
    </row>
    <row r="242" spans="1:1" s="199" customFormat="1" ht="12" hidden="1" customHeight="1">
      <c r="A242" s="198"/>
    </row>
    <row r="243" spans="1:1" s="199" customFormat="1" ht="12" hidden="1" customHeight="1">
      <c r="A243" s="198"/>
    </row>
    <row r="244" spans="1:1" s="199" customFormat="1" ht="12" hidden="1" customHeight="1">
      <c r="A244" s="198"/>
    </row>
    <row r="245" spans="1:1" s="199" customFormat="1" ht="12" hidden="1" customHeight="1">
      <c r="A245" s="198"/>
    </row>
    <row r="246" spans="1:1" s="199" customFormat="1" ht="12" hidden="1" customHeight="1">
      <c r="A246" s="198"/>
    </row>
    <row r="247" spans="1:1" s="199" customFormat="1" ht="12" hidden="1" customHeight="1">
      <c r="A247" s="198"/>
    </row>
    <row r="248" spans="1:1" s="199" customFormat="1" ht="12" hidden="1" customHeight="1">
      <c r="A248" s="198"/>
    </row>
    <row r="249" spans="1:1" s="199" customFormat="1" ht="12" hidden="1" customHeight="1">
      <c r="A249" s="198"/>
    </row>
    <row r="250" spans="1:1" s="199" customFormat="1" ht="12" hidden="1" customHeight="1">
      <c r="A250" s="198"/>
    </row>
    <row r="251" spans="1:1" s="199" customFormat="1" ht="12" hidden="1" customHeight="1">
      <c r="A251" s="198"/>
    </row>
    <row r="252" spans="1:1" s="199" customFormat="1" ht="12" hidden="1" customHeight="1">
      <c r="A252" s="198"/>
    </row>
    <row r="253" spans="1:1" s="199" customFormat="1" ht="12" hidden="1" customHeight="1">
      <c r="A253" s="198"/>
    </row>
    <row r="254" spans="1:1" s="199" customFormat="1" ht="12" hidden="1" customHeight="1">
      <c r="A254" s="198"/>
    </row>
    <row r="255" spans="1:1" s="199" customFormat="1" ht="12" hidden="1" customHeight="1">
      <c r="A255" s="198"/>
    </row>
    <row r="256" spans="1:1" s="199" customFormat="1" ht="12" hidden="1" customHeight="1">
      <c r="A256" s="198"/>
    </row>
    <row r="257" spans="1:1" s="199" customFormat="1" ht="12" hidden="1" customHeight="1">
      <c r="A257" s="198"/>
    </row>
    <row r="258" spans="1:1" s="199" customFormat="1" ht="12" hidden="1" customHeight="1">
      <c r="A258" s="198"/>
    </row>
    <row r="259" spans="1:1" s="199" customFormat="1" ht="12" hidden="1" customHeight="1">
      <c r="A259" s="198"/>
    </row>
    <row r="260" spans="1:1" s="199" customFormat="1" ht="12" hidden="1" customHeight="1">
      <c r="A260" s="198"/>
    </row>
    <row r="261" spans="1:1" s="199" customFormat="1" ht="12" hidden="1" customHeight="1">
      <c r="A261" s="198"/>
    </row>
    <row r="262" spans="1:1" s="199" customFormat="1" ht="12" hidden="1" customHeight="1">
      <c r="A262" s="198"/>
    </row>
    <row r="263" spans="1:1" s="199" customFormat="1" ht="12" hidden="1" customHeight="1">
      <c r="A263" s="198"/>
    </row>
    <row r="264" spans="1:1" s="199" customFormat="1" ht="12" hidden="1" customHeight="1">
      <c r="A264" s="198"/>
    </row>
    <row r="265" spans="1:1" s="199" customFormat="1" ht="12" hidden="1" customHeight="1">
      <c r="A265" s="198"/>
    </row>
    <row r="266" spans="1:1" s="199" customFormat="1" ht="12" hidden="1" customHeight="1">
      <c r="A266" s="198"/>
    </row>
    <row r="267" spans="1:1" s="199" customFormat="1" ht="12" hidden="1" customHeight="1">
      <c r="A267" s="198"/>
    </row>
    <row r="268" spans="1:1" s="199" customFormat="1" ht="12" hidden="1" customHeight="1">
      <c r="A268" s="198"/>
    </row>
    <row r="269" spans="1:1" s="199" customFormat="1" ht="12" hidden="1" customHeight="1">
      <c r="A269" s="198"/>
    </row>
    <row r="270" spans="1:1" s="199" customFormat="1" ht="12" hidden="1" customHeight="1">
      <c r="A270" s="198"/>
    </row>
    <row r="271" spans="1:1" s="199" customFormat="1" ht="12" hidden="1" customHeight="1">
      <c r="A271" s="198"/>
    </row>
    <row r="272" spans="1:1" s="199" customFormat="1" ht="12" hidden="1" customHeight="1">
      <c r="A272" s="198"/>
    </row>
    <row r="273" spans="1:1" s="199" customFormat="1" ht="12" hidden="1" customHeight="1">
      <c r="A273" s="198"/>
    </row>
    <row r="274" spans="1:1" s="199" customFormat="1" ht="12" hidden="1" customHeight="1">
      <c r="A274" s="198"/>
    </row>
    <row r="275" spans="1:1" s="199" customFormat="1" ht="12" hidden="1" customHeight="1">
      <c r="A275" s="198"/>
    </row>
    <row r="276" spans="1:1" s="199" customFormat="1" ht="12" hidden="1" customHeight="1">
      <c r="A276" s="198"/>
    </row>
    <row r="277" spans="1:1" s="199" customFormat="1" ht="12" hidden="1" customHeight="1">
      <c r="A277" s="198"/>
    </row>
    <row r="278" spans="1:1" s="199" customFormat="1" ht="12" hidden="1" customHeight="1">
      <c r="A278" s="198"/>
    </row>
    <row r="279" spans="1:1" s="199" customFormat="1" ht="12" hidden="1" customHeight="1">
      <c r="A279" s="198"/>
    </row>
    <row r="280" spans="1:1" s="199" customFormat="1" ht="12" hidden="1" customHeight="1">
      <c r="A280" s="198"/>
    </row>
    <row r="281" spans="1:1" s="199" customFormat="1" ht="12" hidden="1" customHeight="1">
      <c r="A281" s="198"/>
    </row>
    <row r="282" spans="1:1" s="199" customFormat="1" ht="12" hidden="1" customHeight="1">
      <c r="A282" s="198"/>
    </row>
    <row r="283" spans="1:1" s="199" customFormat="1" ht="12" hidden="1" customHeight="1">
      <c r="A283" s="198"/>
    </row>
    <row r="284" spans="1:1" s="199" customFormat="1" ht="12" hidden="1" customHeight="1">
      <c r="A284" s="198"/>
    </row>
    <row r="285" spans="1:1" s="199" customFormat="1" ht="12" hidden="1" customHeight="1">
      <c r="A285" s="198"/>
    </row>
    <row r="286" spans="1:1" s="199" customFormat="1" ht="12" hidden="1" customHeight="1">
      <c r="A286" s="198"/>
    </row>
    <row r="287" spans="1:1" s="199" customFormat="1" ht="12" hidden="1" customHeight="1">
      <c r="A287" s="198"/>
    </row>
    <row r="288" spans="1:1" s="199" customFormat="1" ht="12" hidden="1" customHeight="1">
      <c r="A288" s="198"/>
    </row>
    <row r="289" spans="1:1" s="199" customFormat="1" ht="12" hidden="1" customHeight="1">
      <c r="A289" s="198"/>
    </row>
    <row r="290" spans="1:1" s="199" customFormat="1" ht="12" hidden="1" customHeight="1">
      <c r="A290" s="198"/>
    </row>
    <row r="291" spans="1:1" s="199" customFormat="1" ht="12" hidden="1" customHeight="1">
      <c r="A291" s="198"/>
    </row>
    <row r="292" spans="1:1" s="199" customFormat="1" ht="12" hidden="1" customHeight="1">
      <c r="A292" s="198"/>
    </row>
    <row r="293" spans="1:1" s="199" customFormat="1" ht="12" hidden="1" customHeight="1">
      <c r="A293" s="198"/>
    </row>
    <row r="294" spans="1:1" s="199" customFormat="1" ht="12" hidden="1" customHeight="1">
      <c r="A294" s="198"/>
    </row>
    <row r="295" spans="1:1" s="199" customFormat="1" ht="12" hidden="1" customHeight="1">
      <c r="A295" s="198"/>
    </row>
    <row r="296" spans="1:1" s="199" customFormat="1" ht="12" hidden="1" customHeight="1">
      <c r="A296" s="198"/>
    </row>
    <row r="297" spans="1:1" s="199" customFormat="1" ht="12" hidden="1" customHeight="1">
      <c r="A297" s="198"/>
    </row>
    <row r="298" spans="1:1" s="199" customFormat="1" ht="12" hidden="1" customHeight="1">
      <c r="A298" s="198"/>
    </row>
    <row r="299" spans="1:1" s="199" customFormat="1" ht="12" hidden="1" customHeight="1">
      <c r="A299" s="198"/>
    </row>
    <row r="300" spans="1:1" s="199" customFormat="1" ht="12" hidden="1" customHeight="1">
      <c r="A300" s="198"/>
    </row>
    <row r="301" spans="1:1" s="199" customFormat="1" ht="12" hidden="1" customHeight="1">
      <c r="A301" s="198"/>
    </row>
    <row r="302" spans="1:1" s="199" customFormat="1" ht="12" hidden="1" customHeight="1">
      <c r="A302" s="198"/>
    </row>
    <row r="303" spans="1:1" s="199" customFormat="1" ht="12" hidden="1" customHeight="1">
      <c r="A303" s="198"/>
    </row>
    <row r="304" spans="1:1" s="199" customFormat="1" ht="12" hidden="1" customHeight="1">
      <c r="A304" s="198"/>
    </row>
    <row r="305" spans="1:1" s="199" customFormat="1" ht="12" hidden="1" customHeight="1">
      <c r="A305" s="198"/>
    </row>
    <row r="306" spans="1:1" s="199" customFormat="1" ht="12" hidden="1" customHeight="1">
      <c r="A306" s="198"/>
    </row>
    <row r="307" spans="1:1" s="199" customFormat="1" ht="12" hidden="1" customHeight="1">
      <c r="A307" s="198"/>
    </row>
    <row r="308" spans="1:1" s="199" customFormat="1" ht="12" hidden="1" customHeight="1">
      <c r="A308" s="198"/>
    </row>
    <row r="309" spans="1:1" s="199" customFormat="1" ht="12" hidden="1" customHeight="1">
      <c r="A309" s="198"/>
    </row>
    <row r="310" spans="1:1" s="199" customFormat="1" ht="12" hidden="1" customHeight="1">
      <c r="A310" s="198"/>
    </row>
    <row r="311" spans="1:1" s="199" customFormat="1" ht="12" hidden="1" customHeight="1">
      <c r="A311" s="198"/>
    </row>
    <row r="312" spans="1:1" s="199" customFormat="1" ht="12" hidden="1" customHeight="1">
      <c r="A312" s="198"/>
    </row>
    <row r="313" spans="1:1" s="199" customFormat="1" ht="12" hidden="1" customHeight="1">
      <c r="A313" s="198"/>
    </row>
    <row r="314" spans="1:1" s="199" customFormat="1" ht="12" hidden="1" customHeight="1">
      <c r="A314" s="198"/>
    </row>
    <row r="315" spans="1:1" s="199" customFormat="1" ht="12" hidden="1" customHeight="1">
      <c r="A315" s="198"/>
    </row>
    <row r="316" spans="1:1" s="199" customFormat="1" ht="12" hidden="1" customHeight="1">
      <c r="A316" s="198"/>
    </row>
    <row r="317" spans="1:1" s="199" customFormat="1" ht="12" hidden="1" customHeight="1">
      <c r="A317" s="198"/>
    </row>
    <row r="318" spans="1:1" s="199" customFormat="1" ht="12" hidden="1" customHeight="1">
      <c r="A318" s="198"/>
    </row>
    <row r="319" spans="1:1" s="199" customFormat="1" ht="12" hidden="1" customHeight="1">
      <c r="A319" s="198"/>
    </row>
    <row r="320" spans="1:1" s="199" customFormat="1" ht="12" hidden="1" customHeight="1">
      <c r="A320" s="198"/>
    </row>
    <row r="321" spans="1:1" s="199" customFormat="1" ht="12" hidden="1" customHeight="1">
      <c r="A321" s="198"/>
    </row>
    <row r="322" spans="1:1" s="199" customFormat="1" ht="12" hidden="1" customHeight="1">
      <c r="A322" s="198"/>
    </row>
    <row r="323" spans="1:1" s="199" customFormat="1" ht="12" hidden="1" customHeight="1">
      <c r="A323" s="198"/>
    </row>
    <row r="324" spans="1:1" s="199" customFormat="1" ht="12" hidden="1" customHeight="1">
      <c r="A324" s="198"/>
    </row>
    <row r="325" spans="1:1" s="199" customFormat="1" ht="12" hidden="1" customHeight="1">
      <c r="A325" s="198"/>
    </row>
    <row r="326" spans="1:1" s="199" customFormat="1" ht="12" hidden="1" customHeight="1">
      <c r="A326" s="198"/>
    </row>
    <row r="327" spans="1:1" s="199" customFormat="1" ht="12" hidden="1" customHeight="1">
      <c r="A327" s="198"/>
    </row>
    <row r="328" spans="1:1" s="199" customFormat="1" ht="12" hidden="1" customHeight="1">
      <c r="A328" s="198"/>
    </row>
    <row r="329" spans="1:1" s="199" customFormat="1" ht="12" hidden="1" customHeight="1">
      <c r="A329" s="198"/>
    </row>
    <row r="330" spans="1:1" s="199" customFormat="1" ht="12" hidden="1" customHeight="1">
      <c r="A330" s="198"/>
    </row>
    <row r="331" spans="1:1" s="199" customFormat="1" ht="12" hidden="1" customHeight="1">
      <c r="A331" s="198"/>
    </row>
    <row r="332" spans="1:1" s="199" customFormat="1" ht="12" hidden="1" customHeight="1">
      <c r="A332" s="198"/>
    </row>
    <row r="333" spans="1:1" s="199" customFormat="1" ht="12" hidden="1" customHeight="1">
      <c r="A333" s="198"/>
    </row>
    <row r="334" spans="1:1" s="199" customFormat="1" ht="12" hidden="1" customHeight="1">
      <c r="A334" s="198"/>
    </row>
    <row r="335" spans="1:1" s="199" customFormat="1" ht="12" hidden="1" customHeight="1">
      <c r="A335" s="198"/>
    </row>
    <row r="336" spans="1:1" s="199" customFormat="1" ht="12" hidden="1" customHeight="1">
      <c r="A336" s="198"/>
    </row>
    <row r="337" spans="1:1" s="199" customFormat="1" ht="12" hidden="1" customHeight="1">
      <c r="A337" s="198"/>
    </row>
    <row r="338" spans="1:1" s="199" customFormat="1" ht="12" hidden="1" customHeight="1">
      <c r="A338" s="198"/>
    </row>
    <row r="339" spans="1:1" s="199" customFormat="1" ht="12" hidden="1" customHeight="1">
      <c r="A339" s="198"/>
    </row>
    <row r="340" spans="1:1" s="199" customFormat="1" ht="12" hidden="1" customHeight="1">
      <c r="A340" s="198"/>
    </row>
    <row r="341" spans="1:1" s="199" customFormat="1" ht="12" hidden="1" customHeight="1">
      <c r="A341" s="198"/>
    </row>
    <row r="342" spans="1:1" s="199" customFormat="1" ht="12" hidden="1" customHeight="1">
      <c r="A342" s="198"/>
    </row>
    <row r="343" spans="1:1" s="199" customFormat="1" ht="12" hidden="1" customHeight="1">
      <c r="A343" s="198"/>
    </row>
    <row r="344" spans="1:1" s="199" customFormat="1" ht="12" hidden="1" customHeight="1">
      <c r="A344" s="198"/>
    </row>
    <row r="345" spans="1:1" s="199" customFormat="1" ht="12" hidden="1" customHeight="1">
      <c r="A345" s="198"/>
    </row>
    <row r="346" spans="1:1" s="199" customFormat="1" ht="12" hidden="1" customHeight="1">
      <c r="A346" s="198"/>
    </row>
    <row r="347" spans="1:1" s="199" customFormat="1" ht="12" hidden="1" customHeight="1">
      <c r="A347" s="198"/>
    </row>
    <row r="348" spans="1:1" s="199" customFormat="1" ht="12" hidden="1" customHeight="1">
      <c r="A348" s="198"/>
    </row>
    <row r="349" spans="1:1" s="199" customFormat="1" ht="12" hidden="1" customHeight="1">
      <c r="A349" s="198"/>
    </row>
    <row r="350" spans="1:1" s="199" customFormat="1" ht="12" hidden="1" customHeight="1">
      <c r="A350" s="198"/>
    </row>
    <row r="351" spans="1:1" s="199" customFormat="1" ht="12" hidden="1" customHeight="1">
      <c r="A351" s="198"/>
    </row>
    <row r="352" spans="1:1" s="199" customFormat="1" ht="12" hidden="1" customHeight="1">
      <c r="A352" s="198"/>
    </row>
    <row r="353" spans="1:1" s="199" customFormat="1" ht="12" hidden="1" customHeight="1">
      <c r="A353" s="198"/>
    </row>
    <row r="354" spans="1:1" s="199" customFormat="1" ht="12" hidden="1" customHeight="1">
      <c r="A354" s="198"/>
    </row>
    <row r="355" spans="1:1" s="199" customFormat="1" ht="12" hidden="1" customHeight="1">
      <c r="A355" s="198"/>
    </row>
    <row r="356" spans="1:1" s="199" customFormat="1" ht="12" hidden="1" customHeight="1">
      <c r="A356" s="198"/>
    </row>
    <row r="357" spans="1:1" s="199" customFormat="1" ht="12" hidden="1" customHeight="1">
      <c r="A357" s="198"/>
    </row>
    <row r="358" spans="1:1" s="199" customFormat="1" ht="12" hidden="1" customHeight="1">
      <c r="A358" s="198"/>
    </row>
    <row r="359" spans="1:1" s="199" customFormat="1" ht="12" hidden="1" customHeight="1">
      <c r="A359" s="198"/>
    </row>
    <row r="360" spans="1:1" s="199" customFormat="1" ht="12" hidden="1" customHeight="1">
      <c r="A360" s="198"/>
    </row>
    <row r="361" spans="1:1" s="199" customFormat="1" ht="12" hidden="1" customHeight="1">
      <c r="A361" s="198"/>
    </row>
    <row r="362" spans="1:1" s="199" customFormat="1" ht="12" hidden="1" customHeight="1">
      <c r="A362" s="198"/>
    </row>
    <row r="363" spans="1:1" s="199" customFormat="1" ht="12" hidden="1" customHeight="1">
      <c r="A363" s="198"/>
    </row>
    <row r="364" spans="1:1" s="199" customFormat="1" ht="12" hidden="1" customHeight="1">
      <c r="A364" s="198"/>
    </row>
    <row r="365" spans="1:1" s="199" customFormat="1" ht="12" hidden="1" customHeight="1">
      <c r="A365" s="198"/>
    </row>
    <row r="366" spans="1:1" s="199" customFormat="1" ht="12" hidden="1" customHeight="1">
      <c r="A366" s="198"/>
    </row>
    <row r="367" spans="1:1" s="199" customFormat="1" ht="12" hidden="1" customHeight="1">
      <c r="A367" s="198"/>
    </row>
    <row r="368" spans="1:1" s="199" customFormat="1" ht="12" hidden="1" customHeight="1">
      <c r="A368" s="198"/>
    </row>
    <row r="369" spans="1:1" s="199" customFormat="1" ht="12" hidden="1" customHeight="1">
      <c r="A369" s="198"/>
    </row>
    <row r="370" spans="1:1" s="199" customFormat="1" ht="12" hidden="1" customHeight="1">
      <c r="A370" s="198"/>
    </row>
    <row r="371" spans="1:1" s="199" customFormat="1" ht="12" hidden="1" customHeight="1">
      <c r="A371" s="198"/>
    </row>
    <row r="372" spans="1:1" s="199" customFormat="1" ht="12" hidden="1" customHeight="1">
      <c r="A372" s="198"/>
    </row>
    <row r="373" spans="1:1" s="199" customFormat="1" ht="12" hidden="1" customHeight="1">
      <c r="A373" s="198"/>
    </row>
    <row r="374" spans="1:1" s="199" customFormat="1" ht="12" hidden="1" customHeight="1">
      <c r="A374" s="198"/>
    </row>
    <row r="375" spans="1:1" s="199" customFormat="1" ht="12" hidden="1" customHeight="1">
      <c r="A375" s="198"/>
    </row>
    <row r="376" spans="1:1" s="199" customFormat="1" ht="12" hidden="1" customHeight="1">
      <c r="A376" s="198"/>
    </row>
    <row r="377" spans="1:1" s="199" customFormat="1" ht="12" hidden="1" customHeight="1">
      <c r="A377" s="198"/>
    </row>
    <row r="378" spans="1:1" s="199" customFormat="1" ht="12" hidden="1" customHeight="1">
      <c r="A378" s="198"/>
    </row>
    <row r="379" spans="1:1" s="199" customFormat="1" ht="12" hidden="1" customHeight="1">
      <c r="A379" s="198"/>
    </row>
    <row r="380" spans="1:1" s="199" customFormat="1" ht="12" hidden="1" customHeight="1">
      <c r="A380" s="198"/>
    </row>
    <row r="381" spans="1:1" s="199" customFormat="1" ht="12" hidden="1" customHeight="1">
      <c r="A381" s="198"/>
    </row>
    <row r="382" spans="1:1" s="199" customFormat="1" ht="12" hidden="1" customHeight="1">
      <c r="A382" s="198"/>
    </row>
    <row r="383" spans="1:1" s="199" customFormat="1" ht="12" hidden="1" customHeight="1">
      <c r="A383" s="198"/>
    </row>
    <row r="384" spans="1:1" s="199" customFormat="1" ht="12" hidden="1" customHeight="1">
      <c r="A384" s="198"/>
    </row>
    <row r="385" spans="1:1" s="199" customFormat="1" ht="12" hidden="1" customHeight="1">
      <c r="A385" s="198"/>
    </row>
    <row r="386" spans="1:1" s="199" customFormat="1" ht="12" hidden="1" customHeight="1">
      <c r="A386" s="198"/>
    </row>
    <row r="387" spans="1:1" s="199" customFormat="1" ht="12" hidden="1" customHeight="1">
      <c r="A387" s="198"/>
    </row>
    <row r="388" spans="1:1" s="199" customFormat="1" ht="12" hidden="1" customHeight="1">
      <c r="A388" s="198"/>
    </row>
    <row r="389" spans="1:1" s="199" customFormat="1" ht="12" hidden="1" customHeight="1">
      <c r="A389" s="198"/>
    </row>
    <row r="390" spans="1:1" s="199" customFormat="1" ht="12" hidden="1" customHeight="1">
      <c r="A390" s="198"/>
    </row>
    <row r="391" spans="1:1" s="199" customFormat="1" ht="12" hidden="1" customHeight="1">
      <c r="A391" s="198"/>
    </row>
    <row r="392" spans="1:1" s="199" customFormat="1" ht="12" hidden="1" customHeight="1">
      <c r="A392" s="198"/>
    </row>
    <row r="393" spans="1:1" s="199" customFormat="1" ht="12" hidden="1" customHeight="1">
      <c r="A393" s="198"/>
    </row>
    <row r="394" spans="1:1" s="199" customFormat="1" ht="12" hidden="1" customHeight="1">
      <c r="A394" s="198"/>
    </row>
    <row r="395" spans="1:1" s="199" customFormat="1" ht="12" hidden="1" customHeight="1">
      <c r="A395" s="198"/>
    </row>
    <row r="396" spans="1:1" s="199" customFormat="1" ht="12" hidden="1" customHeight="1">
      <c r="A396" s="198"/>
    </row>
    <row r="397" spans="1:1" s="199" customFormat="1" ht="12" hidden="1" customHeight="1">
      <c r="A397" s="198"/>
    </row>
    <row r="398" spans="1:1" s="199" customFormat="1" ht="12" hidden="1" customHeight="1">
      <c r="A398" s="198"/>
    </row>
    <row r="399" spans="1:1" s="199" customFormat="1" ht="12" hidden="1" customHeight="1">
      <c r="A399" s="198"/>
    </row>
    <row r="400" spans="1:1" s="199" customFormat="1" ht="12" hidden="1" customHeight="1">
      <c r="A400" s="198"/>
    </row>
    <row r="401" spans="1:1" s="199" customFormat="1" ht="12" hidden="1" customHeight="1">
      <c r="A401" s="198"/>
    </row>
    <row r="402" spans="1:1" s="199" customFormat="1" ht="12" hidden="1" customHeight="1">
      <c r="A402" s="198"/>
    </row>
    <row r="403" spans="1:1" s="199" customFormat="1" ht="12" hidden="1" customHeight="1">
      <c r="A403" s="198"/>
    </row>
    <row r="404" spans="1:1" s="199" customFormat="1" ht="12" hidden="1" customHeight="1">
      <c r="A404" s="198"/>
    </row>
    <row r="405" spans="1:1" s="199" customFormat="1" ht="12" hidden="1" customHeight="1">
      <c r="A405" s="198"/>
    </row>
    <row r="406" spans="1:1" s="199" customFormat="1" ht="12" hidden="1" customHeight="1">
      <c r="A406" s="198"/>
    </row>
    <row r="407" spans="1:1" s="199" customFormat="1" ht="12" hidden="1" customHeight="1">
      <c r="A407" s="198"/>
    </row>
    <row r="408" spans="1:1" s="199" customFormat="1" ht="12" hidden="1" customHeight="1">
      <c r="A408" s="198"/>
    </row>
    <row r="409" spans="1:1" s="199" customFormat="1" ht="12" hidden="1" customHeight="1">
      <c r="A409" s="198"/>
    </row>
    <row r="410" spans="1:1" s="199" customFormat="1" ht="12" hidden="1" customHeight="1">
      <c r="A410" s="198"/>
    </row>
    <row r="411" spans="1:1" s="199" customFormat="1" ht="12" hidden="1" customHeight="1">
      <c r="A411" s="198"/>
    </row>
    <row r="412" spans="1:1" s="199" customFormat="1" ht="12" hidden="1" customHeight="1">
      <c r="A412" s="198"/>
    </row>
    <row r="413" spans="1:1" s="199" customFormat="1" ht="12" hidden="1" customHeight="1">
      <c r="A413" s="198"/>
    </row>
    <row r="414" spans="1:1" s="199" customFormat="1" ht="12" hidden="1" customHeight="1">
      <c r="A414" s="198"/>
    </row>
    <row r="415" spans="1:1" s="199" customFormat="1" ht="12" hidden="1" customHeight="1">
      <c r="A415" s="198"/>
    </row>
    <row r="416" spans="1:1" s="199" customFormat="1" ht="12" hidden="1" customHeight="1">
      <c r="A416" s="198"/>
    </row>
    <row r="417" spans="1:1" s="199" customFormat="1" ht="12" hidden="1" customHeight="1">
      <c r="A417" s="198"/>
    </row>
    <row r="418" spans="1:1" s="199" customFormat="1" ht="12" hidden="1" customHeight="1">
      <c r="A418" s="198"/>
    </row>
    <row r="419" spans="1:1" s="199" customFormat="1" ht="12" hidden="1" customHeight="1">
      <c r="A419" s="198"/>
    </row>
    <row r="420" spans="1:1" s="199" customFormat="1" ht="12" hidden="1" customHeight="1">
      <c r="A420" s="198"/>
    </row>
    <row r="421" spans="1:1" s="199" customFormat="1" ht="12" hidden="1" customHeight="1">
      <c r="A421" s="198"/>
    </row>
    <row r="422" spans="1:1" s="199" customFormat="1" ht="12" hidden="1" customHeight="1">
      <c r="A422" s="198"/>
    </row>
    <row r="423" spans="1:1" s="199" customFormat="1" ht="12" hidden="1" customHeight="1">
      <c r="A423" s="198"/>
    </row>
    <row r="424" spans="1:1" s="199" customFormat="1" ht="12" hidden="1" customHeight="1">
      <c r="A424" s="198"/>
    </row>
    <row r="425" spans="1:1" s="199" customFormat="1" ht="12" hidden="1" customHeight="1">
      <c r="A425" s="198"/>
    </row>
    <row r="426" spans="1:1" s="199" customFormat="1" ht="12" hidden="1" customHeight="1">
      <c r="A426" s="198"/>
    </row>
    <row r="427" spans="1:1" s="199" customFormat="1" ht="12" hidden="1" customHeight="1">
      <c r="A427" s="198"/>
    </row>
    <row r="428" spans="1:1" s="199" customFormat="1" ht="12" hidden="1" customHeight="1">
      <c r="A428" s="198"/>
    </row>
    <row r="429" spans="1:1" s="199" customFormat="1" ht="12" hidden="1" customHeight="1">
      <c r="A429" s="198"/>
    </row>
    <row r="430" spans="1:1" s="199" customFormat="1" ht="12" hidden="1" customHeight="1">
      <c r="A430" s="198"/>
    </row>
    <row r="431" spans="1:1" s="199" customFormat="1" ht="12" hidden="1" customHeight="1">
      <c r="A431" s="198"/>
    </row>
    <row r="432" spans="1:1" s="199" customFormat="1" ht="12" hidden="1" customHeight="1">
      <c r="A432" s="198"/>
    </row>
    <row r="433" spans="1:1" s="199" customFormat="1" ht="12" hidden="1" customHeight="1">
      <c r="A433" s="198"/>
    </row>
    <row r="434" spans="1:1" s="199" customFormat="1" ht="12" hidden="1" customHeight="1">
      <c r="A434" s="198"/>
    </row>
    <row r="435" spans="1:1" s="199" customFormat="1" ht="12" hidden="1" customHeight="1">
      <c r="A435" s="198"/>
    </row>
    <row r="436" spans="1:1" s="199" customFormat="1" ht="12" hidden="1" customHeight="1">
      <c r="A436" s="198"/>
    </row>
    <row r="437" spans="1:1" s="199" customFormat="1" ht="12" hidden="1" customHeight="1">
      <c r="A437" s="198"/>
    </row>
    <row r="438" spans="1:1" s="199" customFormat="1" ht="12" hidden="1" customHeight="1">
      <c r="A438" s="198"/>
    </row>
    <row r="439" spans="1:1" s="199" customFormat="1" ht="12" hidden="1" customHeight="1">
      <c r="A439" s="198"/>
    </row>
    <row r="440" spans="1:1" s="199" customFormat="1" ht="12" hidden="1" customHeight="1">
      <c r="A440" s="198"/>
    </row>
    <row r="441" spans="1:1" s="199" customFormat="1" ht="12" hidden="1" customHeight="1">
      <c r="A441" s="198"/>
    </row>
    <row r="442" spans="1:1" s="199" customFormat="1" ht="12" hidden="1" customHeight="1">
      <c r="A442" s="198"/>
    </row>
    <row r="443" spans="1:1" s="199" customFormat="1" ht="12" hidden="1" customHeight="1">
      <c r="A443" s="198"/>
    </row>
    <row r="444" spans="1:1" s="199" customFormat="1" ht="12" hidden="1" customHeight="1">
      <c r="A444" s="198"/>
    </row>
    <row r="445" spans="1:1" s="199" customFormat="1" ht="12" hidden="1" customHeight="1">
      <c r="A445" s="198"/>
    </row>
    <row r="446" spans="1:1" s="199" customFormat="1" ht="12" hidden="1" customHeight="1">
      <c r="A446" s="198"/>
    </row>
    <row r="447" spans="1:1" s="199" customFormat="1" ht="12" hidden="1" customHeight="1">
      <c r="A447" s="198"/>
    </row>
    <row r="448" spans="1:1" s="199" customFormat="1" ht="12" hidden="1" customHeight="1">
      <c r="A448" s="198"/>
    </row>
    <row r="449" spans="1:1" s="199" customFormat="1" ht="12" hidden="1" customHeight="1">
      <c r="A449" s="198"/>
    </row>
    <row r="450" spans="1:1" s="199" customFormat="1" ht="12" hidden="1" customHeight="1">
      <c r="A450" s="198"/>
    </row>
    <row r="451" spans="1:1" s="199" customFormat="1" ht="12" hidden="1" customHeight="1">
      <c r="A451" s="198"/>
    </row>
    <row r="452" spans="1:1" s="199" customFormat="1" ht="12" hidden="1" customHeight="1">
      <c r="A452" s="198"/>
    </row>
    <row r="453" spans="1:1" s="199" customFormat="1" ht="12" hidden="1" customHeight="1">
      <c r="A453" s="198"/>
    </row>
    <row r="454" spans="1:1" s="199" customFormat="1" ht="12" hidden="1" customHeight="1">
      <c r="A454" s="198"/>
    </row>
    <row r="455" spans="1:1" s="199" customFormat="1" ht="12" hidden="1" customHeight="1">
      <c r="A455" s="198"/>
    </row>
    <row r="456" spans="1:1" s="199" customFormat="1" ht="12" hidden="1" customHeight="1">
      <c r="A456" s="198"/>
    </row>
    <row r="457" spans="1:1" s="199" customFormat="1" ht="12" hidden="1" customHeight="1">
      <c r="A457" s="198"/>
    </row>
    <row r="458" spans="1:1" s="199" customFormat="1" ht="12" hidden="1" customHeight="1">
      <c r="A458" s="198"/>
    </row>
    <row r="459" spans="1:1" s="199" customFormat="1" ht="12" hidden="1" customHeight="1">
      <c r="A459" s="198"/>
    </row>
    <row r="460" spans="1:1" s="199" customFormat="1" ht="12" hidden="1" customHeight="1">
      <c r="A460" s="198"/>
    </row>
    <row r="461" spans="1:1" s="199" customFormat="1" ht="12" hidden="1" customHeight="1">
      <c r="A461" s="198"/>
    </row>
    <row r="462" spans="1:1" s="199" customFormat="1" ht="12" hidden="1" customHeight="1">
      <c r="A462" s="198"/>
    </row>
    <row r="463" spans="1:1" s="199" customFormat="1" ht="12" hidden="1" customHeight="1">
      <c r="A463" s="198"/>
    </row>
    <row r="464" spans="1:1" s="199" customFormat="1" ht="12" hidden="1" customHeight="1">
      <c r="A464" s="198"/>
    </row>
    <row r="465" spans="1:1" s="199" customFormat="1" ht="12" hidden="1" customHeight="1">
      <c r="A465" s="198"/>
    </row>
    <row r="466" spans="1:1" s="199" customFormat="1" ht="12" hidden="1" customHeight="1">
      <c r="A466" s="198"/>
    </row>
    <row r="467" spans="1:1" s="199" customFormat="1" ht="12" hidden="1" customHeight="1">
      <c r="A467" s="198"/>
    </row>
    <row r="468" spans="1:1" s="199" customFormat="1" ht="12" hidden="1" customHeight="1">
      <c r="A468" s="198"/>
    </row>
    <row r="469" spans="1:1" s="199" customFormat="1" ht="12" hidden="1" customHeight="1">
      <c r="A469" s="198"/>
    </row>
    <row r="470" spans="1:1" s="199" customFormat="1" ht="12" hidden="1" customHeight="1">
      <c r="A470" s="198"/>
    </row>
    <row r="471" spans="1:1" s="199" customFormat="1" ht="12" hidden="1" customHeight="1">
      <c r="A471" s="198"/>
    </row>
    <row r="472" spans="1:1" s="199" customFormat="1" ht="12" hidden="1" customHeight="1">
      <c r="A472" s="198"/>
    </row>
    <row r="473" spans="1:1" s="199" customFormat="1" ht="12" hidden="1" customHeight="1">
      <c r="A473" s="198"/>
    </row>
    <row r="474" spans="1:1" s="199" customFormat="1" ht="12" hidden="1" customHeight="1">
      <c r="A474" s="198"/>
    </row>
    <row r="475" spans="1:1" s="199" customFormat="1" ht="12" hidden="1" customHeight="1">
      <c r="A475" s="198"/>
    </row>
    <row r="476" spans="1:1" s="199" customFormat="1" ht="12" hidden="1" customHeight="1">
      <c r="A476" s="198"/>
    </row>
    <row r="477" spans="1:1" s="199" customFormat="1" ht="12" hidden="1" customHeight="1">
      <c r="A477" s="198"/>
    </row>
    <row r="478" spans="1:1" s="199" customFormat="1" ht="12" hidden="1" customHeight="1">
      <c r="A478" s="198"/>
    </row>
    <row r="479" spans="1:1" s="199" customFormat="1" ht="12" hidden="1" customHeight="1">
      <c r="A479" s="198"/>
    </row>
    <row r="480" spans="1:1" s="199" customFormat="1" ht="12" hidden="1" customHeight="1">
      <c r="A480" s="198"/>
    </row>
    <row r="481" spans="1:1" s="199" customFormat="1" ht="12" hidden="1" customHeight="1">
      <c r="A481" s="198"/>
    </row>
    <row r="482" spans="1:1" s="199" customFormat="1" ht="12" hidden="1" customHeight="1">
      <c r="A482" s="198"/>
    </row>
    <row r="483" spans="1:1" s="199" customFormat="1" ht="12" hidden="1" customHeight="1">
      <c r="A483" s="198"/>
    </row>
    <row r="484" spans="1:1" s="199" customFormat="1" ht="12" hidden="1" customHeight="1">
      <c r="A484" s="198"/>
    </row>
    <row r="485" spans="1:1" s="199" customFormat="1" ht="12" hidden="1" customHeight="1">
      <c r="A485" s="198"/>
    </row>
    <row r="486" spans="1:1" s="199" customFormat="1" ht="12" hidden="1" customHeight="1">
      <c r="A486" s="198"/>
    </row>
    <row r="487" spans="1:1" s="199" customFormat="1" ht="12" hidden="1" customHeight="1">
      <c r="A487" s="198"/>
    </row>
    <row r="488" spans="1:1" s="199" customFormat="1" ht="12" hidden="1" customHeight="1">
      <c r="A488" s="198"/>
    </row>
    <row r="489" spans="1:1" s="199" customFormat="1" ht="12" hidden="1" customHeight="1">
      <c r="A489" s="198"/>
    </row>
    <row r="490" spans="1:1" s="199" customFormat="1" ht="12" hidden="1" customHeight="1">
      <c r="A490" s="198"/>
    </row>
    <row r="491" spans="1:1" s="199" customFormat="1" ht="12" hidden="1" customHeight="1">
      <c r="A491" s="198"/>
    </row>
    <row r="492" spans="1:1" s="199" customFormat="1" ht="12" hidden="1" customHeight="1">
      <c r="A492" s="198"/>
    </row>
    <row r="493" spans="1:1" s="199" customFormat="1" ht="12" hidden="1" customHeight="1">
      <c r="A493" s="198"/>
    </row>
    <row r="494" spans="1:1" s="199" customFormat="1" ht="12" hidden="1" customHeight="1">
      <c r="A494" s="198"/>
    </row>
    <row r="495" spans="1:1" s="199" customFormat="1" ht="12" hidden="1" customHeight="1">
      <c r="A495" s="198"/>
    </row>
    <row r="496" spans="1:1" s="199" customFormat="1" ht="12" hidden="1" customHeight="1">
      <c r="A496" s="198"/>
    </row>
    <row r="497" spans="1:1" s="199" customFormat="1" ht="12" hidden="1" customHeight="1">
      <c r="A497" s="198"/>
    </row>
    <row r="498" spans="1:1" s="199" customFormat="1" ht="12" hidden="1" customHeight="1">
      <c r="A498" s="198"/>
    </row>
    <row r="499" spans="1:1" s="199" customFormat="1" ht="12" hidden="1" customHeight="1">
      <c r="A499" s="198"/>
    </row>
    <row r="500" spans="1:1" s="199" customFormat="1" ht="12" hidden="1" customHeight="1">
      <c r="A500" s="198"/>
    </row>
    <row r="501" spans="1:1" s="199" customFormat="1" ht="12" hidden="1" customHeight="1">
      <c r="A501" s="198"/>
    </row>
    <row r="502" spans="1:1" s="199" customFormat="1" ht="12" hidden="1" customHeight="1">
      <c r="A502" s="198"/>
    </row>
    <row r="503" spans="1:1" s="199" customFormat="1" ht="12" hidden="1" customHeight="1">
      <c r="A503" s="198"/>
    </row>
    <row r="504" spans="1:1" s="199" customFormat="1" ht="12" hidden="1" customHeight="1">
      <c r="A504" s="198"/>
    </row>
    <row r="505" spans="1:1" s="199" customFormat="1" ht="12" hidden="1" customHeight="1">
      <c r="A505" s="198"/>
    </row>
    <row r="506" spans="1:1" s="199" customFormat="1" ht="12" hidden="1" customHeight="1">
      <c r="A506" s="198"/>
    </row>
    <row r="507" spans="1:1" s="199" customFormat="1" ht="12" hidden="1" customHeight="1">
      <c r="A507" s="198"/>
    </row>
    <row r="508" spans="1:1" s="199" customFormat="1" ht="12" hidden="1" customHeight="1">
      <c r="A508" s="198"/>
    </row>
    <row r="509" spans="1:1" s="199" customFormat="1" ht="12" hidden="1" customHeight="1">
      <c r="A509" s="198"/>
    </row>
    <row r="510" spans="1:1" s="199" customFormat="1" ht="12" hidden="1" customHeight="1">
      <c r="A510" s="198"/>
    </row>
    <row r="511" spans="1:1" s="199" customFormat="1" ht="12" hidden="1" customHeight="1">
      <c r="A511" s="198"/>
    </row>
    <row r="512" spans="1:1" s="199" customFormat="1" ht="12" hidden="1" customHeight="1">
      <c r="A512" s="198"/>
    </row>
    <row r="513" spans="1:1" s="199" customFormat="1" ht="12" hidden="1" customHeight="1">
      <c r="A513" s="198"/>
    </row>
    <row r="514" spans="1:1" s="199" customFormat="1" ht="12" hidden="1" customHeight="1">
      <c r="A514" s="198"/>
    </row>
    <row r="515" spans="1:1" s="199" customFormat="1" ht="12" hidden="1" customHeight="1">
      <c r="A515" s="198"/>
    </row>
    <row r="516" spans="1:1" s="199" customFormat="1" ht="12" hidden="1" customHeight="1">
      <c r="A516" s="198"/>
    </row>
    <row r="517" spans="1:1" s="199" customFormat="1" ht="12" hidden="1" customHeight="1">
      <c r="A517" s="198"/>
    </row>
    <row r="518" spans="1:1" s="199" customFormat="1" ht="12" hidden="1" customHeight="1">
      <c r="A518" s="198"/>
    </row>
    <row r="519" spans="1:1" s="199" customFormat="1" ht="12" hidden="1" customHeight="1">
      <c r="A519" s="198"/>
    </row>
    <row r="520" spans="1:1" s="199" customFormat="1" ht="12" hidden="1" customHeight="1">
      <c r="A520" s="198"/>
    </row>
    <row r="521" spans="1:1" s="199" customFormat="1" ht="12" hidden="1" customHeight="1">
      <c r="A521" s="198"/>
    </row>
    <row r="522" spans="1:1" s="199" customFormat="1" ht="12" hidden="1" customHeight="1">
      <c r="A522" s="198"/>
    </row>
    <row r="523" spans="1:1" s="199" customFormat="1" ht="12" hidden="1" customHeight="1">
      <c r="A523" s="198"/>
    </row>
    <row r="524" spans="1:1" s="199" customFormat="1" ht="12" hidden="1" customHeight="1">
      <c r="A524" s="198"/>
    </row>
    <row r="525" spans="1:1" s="199" customFormat="1" ht="12" hidden="1" customHeight="1">
      <c r="A525" s="198"/>
    </row>
    <row r="526" spans="1:1" s="199" customFormat="1" ht="12" hidden="1" customHeight="1">
      <c r="A526" s="198"/>
    </row>
    <row r="527" spans="1:1" s="199" customFormat="1" ht="12" hidden="1" customHeight="1">
      <c r="A527" s="198"/>
    </row>
    <row r="528" spans="1:1" s="199" customFormat="1" ht="12" hidden="1" customHeight="1">
      <c r="A528" s="198"/>
    </row>
    <row r="529" spans="1:1" s="199" customFormat="1" ht="12" hidden="1" customHeight="1">
      <c r="A529" s="198"/>
    </row>
    <row r="530" spans="1:1" s="199" customFormat="1" ht="12" hidden="1" customHeight="1">
      <c r="A530" s="198"/>
    </row>
    <row r="531" spans="1:1" s="199" customFormat="1" ht="12" hidden="1" customHeight="1">
      <c r="A531" s="198"/>
    </row>
    <row r="532" spans="1:1" s="199" customFormat="1" ht="12" hidden="1" customHeight="1">
      <c r="A532" s="198"/>
    </row>
    <row r="533" spans="1:1" s="199" customFormat="1" ht="12" hidden="1" customHeight="1">
      <c r="A533" s="198"/>
    </row>
    <row r="534" spans="1:1" s="199" customFormat="1" ht="12" hidden="1" customHeight="1">
      <c r="A534" s="198"/>
    </row>
    <row r="535" spans="1:1" s="199" customFormat="1" ht="12" hidden="1" customHeight="1">
      <c r="A535" s="198"/>
    </row>
    <row r="536" spans="1:1" s="199" customFormat="1" ht="12" hidden="1" customHeight="1">
      <c r="A536" s="198"/>
    </row>
    <row r="537" spans="1:1" s="199" customFormat="1" ht="12" hidden="1" customHeight="1">
      <c r="A537" s="198"/>
    </row>
    <row r="538" spans="1:1" s="199" customFormat="1" ht="12" hidden="1" customHeight="1">
      <c r="A538" s="198"/>
    </row>
    <row r="539" spans="1:1" s="199" customFormat="1" ht="12" hidden="1" customHeight="1">
      <c r="A539" s="198"/>
    </row>
    <row r="540" spans="1:1" s="199" customFormat="1" ht="12" hidden="1" customHeight="1">
      <c r="A540" s="198"/>
    </row>
    <row r="541" spans="1:1" s="199" customFormat="1" ht="12" hidden="1" customHeight="1">
      <c r="A541" s="198"/>
    </row>
    <row r="542" spans="1:1" s="199" customFormat="1" ht="12" hidden="1" customHeight="1">
      <c r="A542" s="198"/>
    </row>
    <row r="543" spans="1:1" s="199" customFormat="1" ht="12" hidden="1" customHeight="1">
      <c r="A543" s="198"/>
    </row>
    <row r="544" spans="1:1" s="199" customFormat="1" ht="12" hidden="1" customHeight="1">
      <c r="A544" s="198"/>
    </row>
    <row r="545" spans="1:1" s="199" customFormat="1" ht="12" hidden="1" customHeight="1">
      <c r="A545" s="198"/>
    </row>
    <row r="546" spans="1:1" s="199" customFormat="1" ht="12" hidden="1" customHeight="1">
      <c r="A546" s="198"/>
    </row>
    <row r="547" spans="1:1" s="199" customFormat="1" ht="12" hidden="1" customHeight="1">
      <c r="A547" s="198"/>
    </row>
    <row r="548" spans="1:1" s="199" customFormat="1" ht="12" hidden="1" customHeight="1">
      <c r="A548" s="198"/>
    </row>
    <row r="549" spans="1:1" s="199" customFormat="1" ht="12" hidden="1" customHeight="1">
      <c r="A549" s="198"/>
    </row>
    <row r="550" spans="1:1" s="199" customFormat="1" ht="12" hidden="1" customHeight="1">
      <c r="A550" s="198"/>
    </row>
    <row r="551" spans="1:1" s="199" customFormat="1" ht="12" hidden="1" customHeight="1">
      <c r="A551" s="198"/>
    </row>
    <row r="552" spans="1:1" s="199" customFormat="1" ht="12" hidden="1" customHeight="1">
      <c r="A552" s="198"/>
    </row>
    <row r="553" spans="1:1" s="199" customFormat="1" ht="12" hidden="1" customHeight="1">
      <c r="A553" s="198"/>
    </row>
    <row r="554" spans="1:1" s="199" customFormat="1" ht="12" hidden="1" customHeight="1">
      <c r="A554" s="198"/>
    </row>
    <row r="555" spans="1:1" s="199" customFormat="1" ht="12" hidden="1" customHeight="1">
      <c r="A555" s="198"/>
    </row>
    <row r="556" spans="1:1" s="199" customFormat="1" ht="12" hidden="1" customHeight="1">
      <c r="A556" s="198"/>
    </row>
    <row r="557" spans="1:1" s="199" customFormat="1" ht="12" hidden="1" customHeight="1">
      <c r="A557" s="198"/>
    </row>
    <row r="558" spans="1:1" s="199" customFormat="1" ht="12" hidden="1" customHeight="1">
      <c r="A558" s="198"/>
    </row>
    <row r="559" spans="1:1" s="199" customFormat="1" ht="12" hidden="1" customHeight="1">
      <c r="A559" s="198"/>
    </row>
    <row r="560" spans="1:1" s="199" customFormat="1" ht="12" hidden="1" customHeight="1">
      <c r="A560" s="198"/>
    </row>
    <row r="561" spans="1:1" s="199" customFormat="1" ht="12" hidden="1" customHeight="1">
      <c r="A561" s="198"/>
    </row>
    <row r="562" spans="1:1" s="199" customFormat="1" ht="12" hidden="1" customHeight="1">
      <c r="A562" s="198"/>
    </row>
    <row r="563" spans="1:1" s="199" customFormat="1" ht="12" hidden="1" customHeight="1">
      <c r="A563" s="198"/>
    </row>
    <row r="564" spans="1:1" s="199" customFormat="1" ht="12" hidden="1" customHeight="1">
      <c r="A564" s="198"/>
    </row>
    <row r="565" spans="1:1" s="199" customFormat="1" ht="12" hidden="1" customHeight="1">
      <c r="A565" s="198"/>
    </row>
    <row r="566" spans="1:1" s="199" customFormat="1" ht="12" hidden="1" customHeight="1">
      <c r="A566" s="198"/>
    </row>
    <row r="567" spans="1:1" s="199" customFormat="1" ht="12" hidden="1" customHeight="1">
      <c r="A567" s="198"/>
    </row>
    <row r="568" spans="1:1" s="199" customFormat="1" ht="12" hidden="1" customHeight="1">
      <c r="A568" s="198"/>
    </row>
    <row r="569" spans="1:1" s="199" customFormat="1" ht="12" hidden="1" customHeight="1">
      <c r="A569" s="198"/>
    </row>
    <row r="570" spans="1:1" s="199" customFormat="1" ht="12" hidden="1" customHeight="1">
      <c r="A570" s="198"/>
    </row>
    <row r="571" spans="1:1" s="199" customFormat="1" ht="12" hidden="1" customHeight="1">
      <c r="A571" s="198"/>
    </row>
    <row r="572" spans="1:1" s="199" customFormat="1" ht="12" hidden="1" customHeight="1">
      <c r="A572" s="198"/>
    </row>
    <row r="573" spans="1:1" s="199" customFormat="1" ht="12" hidden="1" customHeight="1">
      <c r="A573" s="198"/>
    </row>
    <row r="574" spans="1:1" s="199" customFormat="1" ht="12" hidden="1" customHeight="1">
      <c r="A574" s="198"/>
    </row>
    <row r="575" spans="1:1" s="199" customFormat="1" ht="12" hidden="1" customHeight="1">
      <c r="A575" s="198"/>
    </row>
    <row r="576" spans="1:1" s="199" customFormat="1" ht="12" hidden="1" customHeight="1">
      <c r="A576" s="198"/>
    </row>
    <row r="577" spans="1:1" s="199" customFormat="1" ht="12" hidden="1" customHeight="1">
      <c r="A577" s="198"/>
    </row>
    <row r="578" spans="1:1" s="199" customFormat="1" ht="12" hidden="1" customHeight="1">
      <c r="A578" s="198"/>
    </row>
    <row r="579" spans="1:1" s="199" customFormat="1" ht="12" hidden="1" customHeight="1">
      <c r="A579" s="198"/>
    </row>
    <row r="580" spans="1:1" s="199" customFormat="1" ht="12" hidden="1" customHeight="1">
      <c r="A580" s="198"/>
    </row>
    <row r="581" spans="1:1" s="199" customFormat="1" ht="12" hidden="1" customHeight="1">
      <c r="A581" s="198"/>
    </row>
    <row r="582" spans="1:1" s="199" customFormat="1" ht="12" hidden="1" customHeight="1">
      <c r="A582" s="198"/>
    </row>
    <row r="583" spans="1:1" s="199" customFormat="1" ht="12" hidden="1" customHeight="1">
      <c r="A583" s="198"/>
    </row>
    <row r="584" spans="1:1" s="199" customFormat="1" ht="12" hidden="1" customHeight="1">
      <c r="A584" s="198"/>
    </row>
    <row r="585" spans="1:1" s="199" customFormat="1" ht="12" hidden="1" customHeight="1">
      <c r="A585" s="198"/>
    </row>
    <row r="586" spans="1:1" s="199" customFormat="1" ht="12" hidden="1" customHeight="1">
      <c r="A586" s="198"/>
    </row>
    <row r="587" spans="1:1" s="199" customFormat="1" ht="12" hidden="1" customHeight="1">
      <c r="A587" s="198"/>
    </row>
    <row r="588" spans="1:1" s="199" customFormat="1" ht="12" hidden="1" customHeight="1">
      <c r="A588" s="198"/>
    </row>
    <row r="589" spans="1:1" s="199" customFormat="1" ht="12" hidden="1" customHeight="1">
      <c r="A589" s="198"/>
    </row>
    <row r="590" spans="1:1" s="199" customFormat="1" ht="12" hidden="1" customHeight="1">
      <c r="A590" s="198"/>
    </row>
    <row r="591" spans="1:1" s="199" customFormat="1" ht="12" hidden="1" customHeight="1">
      <c r="A591" s="198"/>
    </row>
    <row r="592" spans="1:1" s="199" customFormat="1" ht="12" hidden="1" customHeight="1">
      <c r="A592" s="198"/>
    </row>
    <row r="593" spans="1:1" s="199" customFormat="1" ht="12" hidden="1" customHeight="1">
      <c r="A593" s="198"/>
    </row>
    <row r="594" spans="1:1" s="199" customFormat="1" ht="12" hidden="1" customHeight="1">
      <c r="A594" s="198"/>
    </row>
    <row r="595" spans="1:1" s="199" customFormat="1" ht="12" hidden="1" customHeight="1">
      <c r="A595" s="198"/>
    </row>
    <row r="596" spans="1:1" s="199" customFormat="1" ht="12" hidden="1" customHeight="1">
      <c r="A596" s="198"/>
    </row>
    <row r="597" spans="1:1" s="199" customFormat="1" ht="12" hidden="1" customHeight="1">
      <c r="A597" s="198"/>
    </row>
    <row r="598" spans="1:1" s="199" customFormat="1" ht="12" hidden="1" customHeight="1">
      <c r="A598" s="198"/>
    </row>
    <row r="599" spans="1:1" s="199" customFormat="1" ht="12" hidden="1" customHeight="1">
      <c r="A599" s="198"/>
    </row>
    <row r="600" spans="1:1" s="199" customFormat="1" ht="12" hidden="1" customHeight="1">
      <c r="A600" s="198"/>
    </row>
    <row r="601" spans="1:1" s="199" customFormat="1" ht="12" hidden="1" customHeight="1">
      <c r="A601" s="198"/>
    </row>
    <row r="602" spans="1:1" s="199" customFormat="1" ht="12" hidden="1" customHeight="1">
      <c r="A602" s="198"/>
    </row>
    <row r="603" spans="1:1" s="199" customFormat="1" ht="12" hidden="1" customHeight="1">
      <c r="A603" s="198"/>
    </row>
    <row r="604" spans="1:1" s="199" customFormat="1" ht="12" hidden="1" customHeight="1">
      <c r="A604" s="198"/>
    </row>
    <row r="605" spans="1:1" s="199" customFormat="1" ht="12" hidden="1" customHeight="1">
      <c r="A605" s="198"/>
    </row>
    <row r="606" spans="1:1" s="199" customFormat="1" ht="12" hidden="1" customHeight="1">
      <c r="A606" s="198"/>
    </row>
    <row r="607" spans="1:1" s="199" customFormat="1" ht="12" hidden="1" customHeight="1">
      <c r="A607" s="198"/>
    </row>
    <row r="608" spans="1:1" s="199" customFormat="1" ht="12" hidden="1" customHeight="1">
      <c r="A608" s="198"/>
    </row>
    <row r="609" spans="1:1" s="199" customFormat="1" ht="12" hidden="1" customHeight="1">
      <c r="A609" s="198"/>
    </row>
    <row r="610" spans="1:1" s="199" customFormat="1" ht="12" hidden="1" customHeight="1">
      <c r="A610" s="198"/>
    </row>
    <row r="611" spans="1:1" s="199" customFormat="1" ht="12" hidden="1" customHeight="1">
      <c r="A611" s="198"/>
    </row>
    <row r="612" spans="1:1" s="199" customFormat="1" ht="12" hidden="1" customHeight="1">
      <c r="A612" s="198"/>
    </row>
    <row r="613" spans="1:1" s="199" customFormat="1" ht="12" hidden="1" customHeight="1">
      <c r="A613" s="198"/>
    </row>
    <row r="614" spans="1:1" s="199" customFormat="1" ht="12" hidden="1" customHeight="1">
      <c r="A614" s="198"/>
    </row>
    <row r="615" spans="1:1" s="199" customFormat="1" ht="12" hidden="1" customHeight="1">
      <c r="A615" s="198"/>
    </row>
    <row r="616" spans="1:1" s="199" customFormat="1" ht="12" hidden="1" customHeight="1">
      <c r="A616" s="198"/>
    </row>
    <row r="617" spans="1:1" s="199" customFormat="1" ht="12" hidden="1" customHeight="1">
      <c r="A617" s="198"/>
    </row>
    <row r="618" spans="1:1" s="199" customFormat="1" ht="12" hidden="1" customHeight="1">
      <c r="A618" s="198"/>
    </row>
    <row r="619" spans="1:1" s="199" customFormat="1" ht="12" hidden="1" customHeight="1">
      <c r="A619" s="198"/>
    </row>
    <row r="620" spans="1:1" s="199" customFormat="1" ht="12" hidden="1" customHeight="1">
      <c r="A620" s="198"/>
    </row>
    <row r="621" spans="1:1" s="199" customFormat="1" ht="12" hidden="1" customHeight="1">
      <c r="A621" s="198"/>
    </row>
    <row r="622" spans="1:1" s="199" customFormat="1" ht="12" hidden="1" customHeight="1">
      <c r="A622" s="198"/>
    </row>
    <row r="623" spans="1:1" s="199" customFormat="1" ht="12" hidden="1" customHeight="1">
      <c r="A623" s="198"/>
    </row>
    <row r="624" spans="1:1" s="199" customFormat="1" ht="12" hidden="1" customHeight="1">
      <c r="A624" s="198"/>
    </row>
    <row r="625" spans="1:1" s="199" customFormat="1" ht="12" hidden="1" customHeight="1">
      <c r="A625" s="198"/>
    </row>
    <row r="626" spans="1:1" s="199" customFormat="1" ht="12" hidden="1" customHeight="1">
      <c r="A626" s="198"/>
    </row>
    <row r="627" spans="1:1" s="199" customFormat="1" ht="12" hidden="1" customHeight="1">
      <c r="A627" s="198"/>
    </row>
    <row r="628" spans="1:1" s="199" customFormat="1" ht="12" hidden="1" customHeight="1">
      <c r="A628" s="198"/>
    </row>
    <row r="629" spans="1:1" s="199" customFormat="1" ht="12" hidden="1" customHeight="1">
      <c r="A629" s="198"/>
    </row>
    <row r="630" spans="1:1" s="199" customFormat="1" ht="12" hidden="1" customHeight="1">
      <c r="A630" s="198"/>
    </row>
    <row r="631" spans="1:1" s="199" customFormat="1" ht="12" hidden="1" customHeight="1">
      <c r="A631" s="198"/>
    </row>
    <row r="632" spans="1:1" s="199" customFormat="1" ht="12" hidden="1" customHeight="1">
      <c r="A632" s="198"/>
    </row>
    <row r="633" spans="1:1" s="199" customFormat="1" ht="12" hidden="1" customHeight="1">
      <c r="A633" s="198"/>
    </row>
    <row r="634" spans="1:1" s="199" customFormat="1" ht="12" hidden="1" customHeight="1">
      <c r="A634" s="198"/>
    </row>
    <row r="635" spans="1:1" s="199" customFormat="1" ht="12" hidden="1" customHeight="1">
      <c r="A635" s="198"/>
    </row>
    <row r="636" spans="1:1" s="199" customFormat="1" ht="12" hidden="1" customHeight="1">
      <c r="A636" s="198"/>
    </row>
    <row r="637" spans="1:1" s="199" customFormat="1" ht="12" hidden="1" customHeight="1">
      <c r="A637" s="198"/>
    </row>
    <row r="638" spans="1:1" s="199" customFormat="1" ht="12" hidden="1" customHeight="1">
      <c r="A638" s="198"/>
    </row>
    <row r="639" spans="1:1" s="199" customFormat="1" ht="12" hidden="1" customHeight="1">
      <c r="A639" s="198"/>
    </row>
    <row r="640" spans="1:1" s="199" customFormat="1" ht="12" hidden="1" customHeight="1">
      <c r="A640" s="198"/>
    </row>
    <row r="641" spans="1:1" s="199" customFormat="1" ht="12" hidden="1" customHeight="1">
      <c r="A641" s="198"/>
    </row>
    <row r="642" spans="1:1" s="199" customFormat="1" ht="12" hidden="1" customHeight="1">
      <c r="A642" s="198"/>
    </row>
    <row r="643" spans="1:1" s="199" customFormat="1" ht="12" hidden="1" customHeight="1">
      <c r="A643" s="198"/>
    </row>
    <row r="644" spans="1:1" s="199" customFormat="1" ht="12" hidden="1" customHeight="1">
      <c r="A644" s="198"/>
    </row>
    <row r="645" spans="1:1" s="199" customFormat="1" ht="12" hidden="1" customHeight="1">
      <c r="A645" s="198"/>
    </row>
    <row r="646" spans="1:1" s="199" customFormat="1" ht="12" hidden="1" customHeight="1">
      <c r="A646" s="198"/>
    </row>
    <row r="647" spans="1:1" s="199" customFormat="1" ht="12" hidden="1" customHeight="1">
      <c r="A647" s="198"/>
    </row>
    <row r="648" spans="1:1" s="199" customFormat="1" ht="12" hidden="1" customHeight="1">
      <c r="A648" s="198"/>
    </row>
    <row r="649" spans="1:1" s="199" customFormat="1" ht="12" hidden="1" customHeight="1">
      <c r="A649" s="198"/>
    </row>
    <row r="650" spans="1:1" s="199" customFormat="1" ht="12" hidden="1" customHeight="1">
      <c r="A650" s="198"/>
    </row>
    <row r="651" spans="1:1" s="199" customFormat="1" ht="12" hidden="1" customHeight="1">
      <c r="A651" s="198"/>
    </row>
    <row r="652" spans="1:1" s="199" customFormat="1" ht="12" hidden="1" customHeight="1">
      <c r="A652" s="198"/>
    </row>
    <row r="653" spans="1:1" s="199" customFormat="1" ht="12" hidden="1" customHeight="1">
      <c r="A653" s="198"/>
    </row>
    <row r="654" spans="1:1" s="199" customFormat="1" ht="12" hidden="1" customHeight="1">
      <c r="A654" s="198"/>
    </row>
    <row r="655" spans="1:1" s="199" customFormat="1" ht="12" hidden="1" customHeight="1">
      <c r="A655" s="198"/>
    </row>
    <row r="656" spans="1:1" s="199" customFormat="1" ht="12" hidden="1" customHeight="1">
      <c r="A656" s="198"/>
    </row>
    <row r="657" spans="1:1" s="199" customFormat="1" ht="12" hidden="1" customHeight="1">
      <c r="A657" s="198"/>
    </row>
    <row r="658" spans="1:1" s="199" customFormat="1" ht="12" hidden="1" customHeight="1">
      <c r="A658" s="198"/>
    </row>
    <row r="659" spans="1:1" s="199" customFormat="1" ht="12" hidden="1" customHeight="1">
      <c r="A659" s="198"/>
    </row>
    <row r="660" spans="1:1" s="199" customFormat="1" ht="12" hidden="1" customHeight="1">
      <c r="A660" s="198"/>
    </row>
    <row r="661" spans="1:1" s="199" customFormat="1" ht="12" hidden="1" customHeight="1">
      <c r="A661" s="198"/>
    </row>
    <row r="662" spans="1:1" s="199" customFormat="1" ht="12" hidden="1" customHeight="1">
      <c r="A662" s="198"/>
    </row>
    <row r="663" spans="1:1" s="199" customFormat="1" ht="12" hidden="1" customHeight="1">
      <c r="A663" s="198"/>
    </row>
    <row r="664" spans="1:1" s="199" customFormat="1" ht="12" hidden="1" customHeight="1">
      <c r="A664" s="198"/>
    </row>
    <row r="665" spans="1:1" s="199" customFormat="1" ht="12" hidden="1" customHeight="1">
      <c r="A665" s="198"/>
    </row>
    <row r="666" spans="1:1" s="199" customFormat="1" ht="12" hidden="1" customHeight="1">
      <c r="A666" s="198"/>
    </row>
    <row r="667" spans="1:1" s="199" customFormat="1" ht="12" hidden="1" customHeight="1">
      <c r="A667" s="198"/>
    </row>
    <row r="668" spans="1:1" s="199" customFormat="1" ht="12" hidden="1" customHeight="1">
      <c r="A668" s="198"/>
    </row>
    <row r="669" spans="1:1" s="199" customFormat="1" ht="12" hidden="1" customHeight="1">
      <c r="A669" s="198"/>
    </row>
    <row r="670" spans="1:1" s="199" customFormat="1" ht="12" hidden="1" customHeight="1">
      <c r="A670" s="198"/>
    </row>
    <row r="671" spans="1:1" s="199" customFormat="1" ht="12" hidden="1" customHeight="1">
      <c r="A671" s="198"/>
    </row>
    <row r="672" spans="1:1" s="199" customFormat="1" ht="12" hidden="1" customHeight="1">
      <c r="A672" s="198"/>
    </row>
    <row r="673" spans="1:1" s="199" customFormat="1" ht="12" hidden="1" customHeight="1">
      <c r="A673" s="198"/>
    </row>
    <row r="674" spans="1:1" s="199" customFormat="1" ht="12" hidden="1" customHeight="1">
      <c r="A674" s="198"/>
    </row>
    <row r="675" spans="1:1" s="199" customFormat="1" ht="12" hidden="1" customHeight="1">
      <c r="A675" s="198"/>
    </row>
    <row r="676" spans="1:1" s="199" customFormat="1" ht="12" hidden="1" customHeight="1">
      <c r="A676" s="198"/>
    </row>
    <row r="677" spans="1:1" s="199" customFormat="1" ht="12" hidden="1" customHeight="1">
      <c r="A677" s="198"/>
    </row>
    <row r="678" spans="1:1" s="199" customFormat="1" ht="12" hidden="1" customHeight="1">
      <c r="A678" s="198"/>
    </row>
    <row r="679" spans="1:1" s="199" customFormat="1" ht="12" hidden="1" customHeight="1">
      <c r="A679" s="198"/>
    </row>
    <row r="680" spans="1:1" s="199" customFormat="1" ht="12" hidden="1" customHeight="1">
      <c r="A680" s="198"/>
    </row>
    <row r="681" spans="1:1" s="199" customFormat="1" ht="12" hidden="1" customHeight="1">
      <c r="A681" s="198"/>
    </row>
    <row r="682" spans="1:1" s="199" customFormat="1" ht="12" hidden="1" customHeight="1">
      <c r="A682" s="198"/>
    </row>
    <row r="683" spans="1:1" s="199" customFormat="1" ht="12" hidden="1" customHeight="1">
      <c r="A683" s="198"/>
    </row>
    <row r="684" spans="1:1" s="199" customFormat="1" ht="12" hidden="1" customHeight="1">
      <c r="A684" s="198"/>
    </row>
    <row r="685" spans="1:1" s="199" customFormat="1" ht="12" hidden="1" customHeight="1">
      <c r="A685" s="198"/>
    </row>
    <row r="686" spans="1:1" s="199" customFormat="1" ht="12" hidden="1" customHeight="1">
      <c r="A686" s="198"/>
    </row>
    <row r="687" spans="1:1" s="199" customFormat="1" ht="12" hidden="1" customHeight="1">
      <c r="A687" s="198"/>
    </row>
    <row r="688" spans="1:1" s="199" customFormat="1" ht="12" hidden="1" customHeight="1">
      <c r="A688" s="198"/>
    </row>
    <row r="689" spans="1:1" s="199" customFormat="1" ht="12" hidden="1" customHeight="1">
      <c r="A689" s="198"/>
    </row>
    <row r="690" spans="1:1" s="199" customFormat="1" ht="12" hidden="1" customHeight="1">
      <c r="A690" s="198"/>
    </row>
    <row r="691" spans="1:1" s="199" customFormat="1" ht="12" hidden="1" customHeight="1">
      <c r="A691" s="198"/>
    </row>
    <row r="692" spans="1:1" s="199" customFormat="1" ht="12" hidden="1" customHeight="1">
      <c r="A692" s="198"/>
    </row>
    <row r="693" spans="1:1" s="199" customFormat="1" ht="12" hidden="1" customHeight="1">
      <c r="A693" s="198"/>
    </row>
    <row r="694" spans="1:1" s="199" customFormat="1" ht="12" hidden="1" customHeight="1">
      <c r="A694" s="198"/>
    </row>
    <row r="695" spans="1:1" s="199" customFormat="1" ht="12" hidden="1" customHeight="1">
      <c r="A695" s="198"/>
    </row>
    <row r="696" spans="1:1" s="199" customFormat="1" ht="12" hidden="1" customHeight="1">
      <c r="A696" s="198"/>
    </row>
    <row r="697" spans="1:1" s="199" customFormat="1" ht="12" hidden="1" customHeight="1">
      <c r="A697" s="198"/>
    </row>
    <row r="698" spans="1:1" s="199" customFormat="1" ht="12" hidden="1" customHeight="1">
      <c r="A698" s="198"/>
    </row>
    <row r="699" spans="1:1" s="199" customFormat="1" ht="12" hidden="1" customHeight="1">
      <c r="A699" s="198"/>
    </row>
    <row r="700" spans="1:1" s="199" customFormat="1" ht="12" hidden="1" customHeight="1">
      <c r="A700" s="198"/>
    </row>
    <row r="701" spans="1:1" s="199" customFormat="1" ht="12" hidden="1" customHeight="1">
      <c r="A701" s="198"/>
    </row>
    <row r="702" spans="1:1" s="199" customFormat="1" ht="12" hidden="1" customHeight="1">
      <c r="A702" s="198"/>
    </row>
    <row r="703" spans="1:1" s="199" customFormat="1" ht="12" hidden="1" customHeight="1">
      <c r="A703" s="198"/>
    </row>
    <row r="704" spans="1:1" s="199" customFormat="1" ht="12" hidden="1" customHeight="1">
      <c r="A704" s="198"/>
    </row>
    <row r="705" spans="1:1" s="199" customFormat="1" ht="12" hidden="1" customHeight="1">
      <c r="A705" s="198"/>
    </row>
    <row r="706" spans="1:1" s="199" customFormat="1" ht="12" hidden="1" customHeight="1">
      <c r="A706" s="198"/>
    </row>
    <row r="707" spans="1:1" s="199" customFormat="1" ht="12" hidden="1" customHeight="1">
      <c r="A707" s="198"/>
    </row>
    <row r="708" spans="1:1" s="199" customFormat="1" ht="12" hidden="1" customHeight="1">
      <c r="A708" s="198"/>
    </row>
    <row r="709" spans="1:1" s="199" customFormat="1" ht="12" hidden="1" customHeight="1">
      <c r="A709" s="198"/>
    </row>
    <row r="710" spans="1:1" s="199" customFormat="1" ht="12" hidden="1" customHeight="1">
      <c r="A710" s="198"/>
    </row>
    <row r="711" spans="1:1" s="199" customFormat="1" ht="12" hidden="1" customHeight="1">
      <c r="A711" s="198"/>
    </row>
    <row r="712" spans="1:1" s="199" customFormat="1" ht="12" hidden="1" customHeight="1">
      <c r="A712" s="198"/>
    </row>
    <row r="713" spans="1:1" s="199" customFormat="1" ht="12" hidden="1" customHeight="1">
      <c r="A713" s="198"/>
    </row>
    <row r="714" spans="1:1" s="199" customFormat="1" ht="12" hidden="1" customHeight="1">
      <c r="A714" s="198"/>
    </row>
    <row r="715" spans="1:1" s="199" customFormat="1" ht="12" hidden="1" customHeight="1">
      <c r="A715" s="198"/>
    </row>
    <row r="716" spans="1:1" s="199" customFormat="1" ht="12" hidden="1" customHeight="1">
      <c r="A716" s="198"/>
    </row>
    <row r="717" spans="1:1" s="199" customFormat="1" ht="12" hidden="1" customHeight="1">
      <c r="A717" s="198"/>
    </row>
    <row r="718" spans="1:1" s="199" customFormat="1" ht="12" hidden="1" customHeight="1">
      <c r="A718" s="198"/>
    </row>
    <row r="719" spans="1:1" s="199" customFormat="1" ht="12" hidden="1" customHeight="1">
      <c r="A719" s="198"/>
    </row>
    <row r="720" spans="1:1" s="199" customFormat="1" ht="12" hidden="1" customHeight="1">
      <c r="A720" s="198"/>
    </row>
    <row r="721" spans="1:1" s="199" customFormat="1" ht="12" hidden="1" customHeight="1">
      <c r="A721" s="198"/>
    </row>
    <row r="722" spans="1:1" s="199" customFormat="1" ht="12" hidden="1" customHeight="1">
      <c r="A722" s="198"/>
    </row>
    <row r="723" spans="1:1" s="199" customFormat="1" ht="12" hidden="1" customHeight="1">
      <c r="A723" s="198"/>
    </row>
    <row r="724" spans="1:1" s="199" customFormat="1" ht="12" hidden="1" customHeight="1">
      <c r="A724" s="198"/>
    </row>
    <row r="725" spans="1:1" s="199" customFormat="1" ht="12" hidden="1" customHeight="1">
      <c r="A725" s="198"/>
    </row>
    <row r="726" spans="1:1" s="199" customFormat="1" ht="12" hidden="1" customHeight="1">
      <c r="A726" s="198"/>
    </row>
    <row r="727" spans="1:1" s="199" customFormat="1" ht="12" hidden="1" customHeight="1">
      <c r="A727" s="198"/>
    </row>
    <row r="728" spans="1:1" s="199" customFormat="1" ht="12" hidden="1" customHeight="1">
      <c r="A728" s="198"/>
    </row>
    <row r="729" spans="1:1" s="199" customFormat="1" ht="12" hidden="1" customHeight="1">
      <c r="A729" s="198"/>
    </row>
    <row r="730" spans="1:1" s="199" customFormat="1" ht="12" hidden="1" customHeight="1">
      <c r="A730" s="198"/>
    </row>
    <row r="731" spans="1:1" s="199" customFormat="1" ht="12" hidden="1" customHeight="1">
      <c r="A731" s="198"/>
    </row>
    <row r="732" spans="1:1" s="199" customFormat="1" ht="12" hidden="1" customHeight="1">
      <c r="A732" s="198"/>
    </row>
    <row r="733" spans="1:1" s="199" customFormat="1" ht="12" hidden="1" customHeight="1">
      <c r="A733" s="198"/>
    </row>
    <row r="734" spans="1:1" s="199" customFormat="1" ht="12" hidden="1" customHeight="1">
      <c r="A734" s="198"/>
    </row>
    <row r="735" spans="1:1" s="199" customFormat="1" ht="12" hidden="1" customHeight="1">
      <c r="A735" s="198"/>
    </row>
    <row r="736" spans="1:1" s="199" customFormat="1" ht="12" hidden="1" customHeight="1">
      <c r="A736" s="198"/>
    </row>
    <row r="737" spans="1:1" s="199" customFormat="1" ht="12" hidden="1" customHeight="1">
      <c r="A737" s="198"/>
    </row>
    <row r="738" spans="1:1" s="199" customFormat="1" ht="12" hidden="1" customHeight="1">
      <c r="A738" s="198"/>
    </row>
    <row r="739" spans="1:1" s="199" customFormat="1" ht="12" hidden="1" customHeight="1">
      <c r="A739" s="198"/>
    </row>
    <row r="740" spans="1:1" s="199" customFormat="1" ht="12" hidden="1" customHeight="1">
      <c r="A740" s="198"/>
    </row>
    <row r="741" spans="1:1" s="199" customFormat="1" ht="12" hidden="1" customHeight="1">
      <c r="A741" s="198"/>
    </row>
    <row r="742" spans="1:1" s="199" customFormat="1" ht="12" hidden="1" customHeight="1">
      <c r="A742" s="198"/>
    </row>
    <row r="743" spans="1:1" s="199" customFormat="1" ht="12" hidden="1" customHeight="1">
      <c r="A743" s="198"/>
    </row>
    <row r="744" spans="1:1" s="199" customFormat="1" ht="12" hidden="1" customHeight="1">
      <c r="A744" s="198"/>
    </row>
    <row r="745" spans="1:1" s="199" customFormat="1" ht="12" hidden="1" customHeight="1">
      <c r="A745" s="198"/>
    </row>
    <row r="746" spans="1:1" s="199" customFormat="1" ht="12" hidden="1" customHeight="1">
      <c r="A746" s="198"/>
    </row>
    <row r="747" spans="1:1" s="199" customFormat="1" ht="12" hidden="1" customHeight="1">
      <c r="A747" s="198"/>
    </row>
    <row r="748" spans="1:1" s="199" customFormat="1" ht="12" hidden="1" customHeight="1">
      <c r="A748" s="198"/>
    </row>
    <row r="749" spans="1:1" s="199" customFormat="1" ht="12" hidden="1" customHeight="1">
      <c r="A749" s="198"/>
    </row>
    <row r="750" spans="1:1" s="199" customFormat="1" ht="12" hidden="1" customHeight="1">
      <c r="A750" s="198"/>
    </row>
    <row r="751" spans="1:1" s="199" customFormat="1" ht="12" hidden="1" customHeight="1">
      <c r="A751" s="198"/>
    </row>
    <row r="752" spans="1:1" s="199" customFormat="1" ht="12" hidden="1" customHeight="1">
      <c r="A752" s="198"/>
    </row>
    <row r="753" spans="1:1" s="199" customFormat="1" ht="12" hidden="1" customHeight="1">
      <c r="A753" s="198"/>
    </row>
    <row r="754" spans="1:1" s="199" customFormat="1" ht="12" hidden="1" customHeight="1">
      <c r="A754" s="198"/>
    </row>
    <row r="755" spans="1:1" s="199" customFormat="1" ht="12" hidden="1" customHeight="1">
      <c r="A755" s="198"/>
    </row>
    <row r="756" spans="1:1" s="199" customFormat="1" ht="12" hidden="1" customHeight="1">
      <c r="A756" s="198"/>
    </row>
    <row r="757" spans="1:1" s="199" customFormat="1" ht="12" hidden="1" customHeight="1">
      <c r="A757" s="198"/>
    </row>
    <row r="758" spans="1:1" s="199" customFormat="1" ht="12" hidden="1" customHeight="1">
      <c r="A758" s="198"/>
    </row>
    <row r="759" spans="1:1" s="199" customFormat="1" ht="12" hidden="1" customHeight="1">
      <c r="A759" s="198"/>
    </row>
    <row r="760" spans="1:1" s="199" customFormat="1" ht="12" hidden="1" customHeight="1">
      <c r="A760" s="198"/>
    </row>
    <row r="761" spans="1:1" s="199" customFormat="1" ht="12" hidden="1" customHeight="1">
      <c r="A761" s="198"/>
    </row>
    <row r="762" spans="1:1" s="199" customFormat="1" ht="12" hidden="1" customHeight="1">
      <c r="A762" s="198"/>
    </row>
    <row r="763" spans="1:1" s="199" customFormat="1" ht="12" hidden="1" customHeight="1">
      <c r="A763" s="198"/>
    </row>
    <row r="764" spans="1:1" s="199" customFormat="1" ht="12" hidden="1" customHeight="1">
      <c r="A764" s="198"/>
    </row>
    <row r="765" spans="1:1" s="199" customFormat="1" ht="12" hidden="1" customHeight="1">
      <c r="A765" s="198"/>
    </row>
    <row r="766" spans="1:1" s="199" customFormat="1" ht="12" hidden="1" customHeight="1">
      <c r="A766" s="198"/>
    </row>
    <row r="767" spans="1:1" s="199" customFormat="1" ht="12" hidden="1" customHeight="1">
      <c r="A767" s="198"/>
    </row>
    <row r="768" spans="1:1" s="199" customFormat="1" ht="12" hidden="1" customHeight="1">
      <c r="A768" s="198"/>
    </row>
    <row r="769" spans="1:1" s="199" customFormat="1" ht="12" hidden="1" customHeight="1">
      <c r="A769" s="198"/>
    </row>
    <row r="770" spans="1:1" s="199" customFormat="1" ht="12" hidden="1" customHeight="1">
      <c r="A770" s="198"/>
    </row>
    <row r="771" spans="1:1" s="199" customFormat="1" ht="12" hidden="1" customHeight="1">
      <c r="A771" s="198"/>
    </row>
    <row r="772" spans="1:1" s="199" customFormat="1" ht="12" hidden="1" customHeight="1">
      <c r="A772" s="198"/>
    </row>
    <row r="773" spans="1:1" s="199" customFormat="1" ht="12" hidden="1" customHeight="1">
      <c r="A773" s="198"/>
    </row>
    <row r="774" spans="1:1" s="199" customFormat="1" ht="12" hidden="1" customHeight="1">
      <c r="A774" s="198"/>
    </row>
    <row r="775" spans="1:1" s="199" customFormat="1" ht="12" hidden="1" customHeight="1">
      <c r="A775" s="198"/>
    </row>
    <row r="776" spans="1:1" s="199" customFormat="1" ht="12" hidden="1" customHeight="1">
      <c r="A776" s="198"/>
    </row>
    <row r="777" spans="1:1" s="199" customFormat="1" ht="12" hidden="1" customHeight="1">
      <c r="A777" s="198"/>
    </row>
    <row r="778" spans="1:1" s="199" customFormat="1" ht="12" hidden="1" customHeight="1">
      <c r="A778" s="198"/>
    </row>
    <row r="779" spans="1:1" s="199" customFormat="1" ht="12" hidden="1" customHeight="1">
      <c r="A779" s="198"/>
    </row>
    <row r="780" spans="1:1" s="199" customFormat="1" ht="12" hidden="1" customHeight="1">
      <c r="A780" s="198"/>
    </row>
    <row r="781" spans="1:1" s="199" customFormat="1" ht="12" hidden="1" customHeight="1">
      <c r="A781" s="198"/>
    </row>
    <row r="782" spans="1:1" s="199" customFormat="1" ht="12" hidden="1" customHeight="1">
      <c r="A782" s="198"/>
    </row>
    <row r="783" spans="1:1" s="199" customFormat="1" ht="12" hidden="1" customHeight="1">
      <c r="A783" s="198"/>
    </row>
    <row r="784" spans="1:1" s="199" customFormat="1" ht="12" hidden="1" customHeight="1">
      <c r="A784" s="198"/>
    </row>
    <row r="785" spans="1:1" s="199" customFormat="1" ht="12" hidden="1" customHeight="1">
      <c r="A785" s="198"/>
    </row>
    <row r="786" spans="1:1" s="199" customFormat="1" ht="12" hidden="1" customHeight="1">
      <c r="A786" s="198"/>
    </row>
    <row r="787" spans="1:1" s="199" customFormat="1" ht="12" hidden="1" customHeight="1">
      <c r="A787" s="198"/>
    </row>
    <row r="788" spans="1:1" s="199" customFormat="1" ht="12" hidden="1" customHeight="1">
      <c r="A788" s="198"/>
    </row>
    <row r="789" spans="1:1" s="199" customFormat="1" ht="12" hidden="1" customHeight="1">
      <c r="A789" s="198"/>
    </row>
    <row r="790" spans="1:1" s="199" customFormat="1" ht="12" hidden="1" customHeight="1">
      <c r="A790" s="198"/>
    </row>
    <row r="791" spans="1:1" s="199" customFormat="1" ht="12" hidden="1" customHeight="1">
      <c r="A791" s="198"/>
    </row>
    <row r="792" spans="1:1" s="199" customFormat="1" ht="12" hidden="1" customHeight="1">
      <c r="A792" s="198"/>
    </row>
    <row r="793" spans="1:1" s="199" customFormat="1" ht="12" hidden="1" customHeight="1">
      <c r="A793" s="198"/>
    </row>
    <row r="794" spans="1:1" s="199" customFormat="1" ht="12" hidden="1" customHeight="1">
      <c r="A794" s="198"/>
    </row>
    <row r="795" spans="1:1" s="199" customFormat="1" ht="12" hidden="1" customHeight="1">
      <c r="A795" s="198"/>
    </row>
    <row r="796" spans="1:1" s="199" customFormat="1" ht="12" hidden="1" customHeight="1">
      <c r="A796" s="198"/>
    </row>
    <row r="797" spans="1:1" s="199" customFormat="1" ht="12" hidden="1" customHeight="1">
      <c r="A797" s="198"/>
    </row>
    <row r="798" spans="1:1" s="199" customFormat="1" ht="12" hidden="1" customHeight="1">
      <c r="A798" s="198"/>
    </row>
    <row r="799" spans="1:1" s="199" customFormat="1" ht="12" hidden="1" customHeight="1">
      <c r="A799" s="198"/>
    </row>
    <row r="800" spans="1:1" s="199" customFormat="1" ht="12" hidden="1" customHeight="1">
      <c r="A800" s="198"/>
    </row>
    <row r="801" spans="1:1" s="199" customFormat="1" ht="12" hidden="1" customHeight="1">
      <c r="A801" s="198"/>
    </row>
    <row r="802" spans="1:1" s="199" customFormat="1" ht="12" hidden="1" customHeight="1">
      <c r="A802" s="198"/>
    </row>
    <row r="803" spans="1:1" s="199" customFormat="1" ht="12" hidden="1" customHeight="1">
      <c r="A803" s="198"/>
    </row>
    <row r="804" spans="1:1" s="199" customFormat="1" ht="12" hidden="1" customHeight="1">
      <c r="A804" s="198"/>
    </row>
    <row r="805" spans="1:1" s="199" customFormat="1" ht="12" hidden="1" customHeight="1">
      <c r="A805" s="198"/>
    </row>
    <row r="806" spans="1:1" s="199" customFormat="1" ht="12" hidden="1" customHeight="1">
      <c r="A806" s="198"/>
    </row>
    <row r="807" spans="1:1" s="199" customFormat="1" ht="12" hidden="1" customHeight="1">
      <c r="A807" s="198"/>
    </row>
    <row r="808" spans="1:1" s="199" customFormat="1" ht="12" hidden="1" customHeight="1">
      <c r="A808" s="198"/>
    </row>
    <row r="809" spans="1:1" s="199" customFormat="1" ht="12" hidden="1" customHeight="1">
      <c r="A809" s="198"/>
    </row>
    <row r="810" spans="1:1" s="199" customFormat="1" ht="12" hidden="1" customHeight="1">
      <c r="A810" s="198"/>
    </row>
    <row r="811" spans="1:1" s="199" customFormat="1" ht="12" hidden="1" customHeight="1">
      <c r="A811" s="198"/>
    </row>
    <row r="812" spans="1:1" s="199" customFormat="1" ht="12" hidden="1" customHeight="1">
      <c r="A812" s="198"/>
    </row>
    <row r="813" spans="1:1" s="199" customFormat="1" ht="12" hidden="1" customHeight="1">
      <c r="A813" s="198"/>
    </row>
    <row r="814" spans="1:1" s="199" customFormat="1" ht="12" hidden="1" customHeight="1">
      <c r="A814" s="198"/>
    </row>
    <row r="815" spans="1:1" s="199" customFormat="1" ht="12" hidden="1" customHeight="1">
      <c r="A815" s="198"/>
    </row>
    <row r="816" spans="1:1" s="199" customFormat="1" ht="12" hidden="1" customHeight="1">
      <c r="A816" s="198"/>
    </row>
    <row r="817" spans="1:1" s="199" customFormat="1" ht="12" hidden="1" customHeight="1">
      <c r="A817" s="198"/>
    </row>
    <row r="818" spans="1:1" s="199" customFormat="1" ht="12" hidden="1" customHeight="1">
      <c r="A818" s="198"/>
    </row>
    <row r="819" spans="1:1" s="199" customFormat="1" ht="12" hidden="1" customHeight="1">
      <c r="A819" s="198"/>
    </row>
    <row r="820" spans="1:1" s="199" customFormat="1" ht="12" hidden="1" customHeight="1">
      <c r="A820" s="198"/>
    </row>
    <row r="821" spans="1:1" s="199" customFormat="1" ht="12" hidden="1" customHeight="1">
      <c r="A821" s="198"/>
    </row>
    <row r="822" spans="1:1" s="199" customFormat="1" ht="12" hidden="1" customHeight="1">
      <c r="A822" s="198"/>
    </row>
    <row r="823" spans="1:1" s="199" customFormat="1" ht="12" hidden="1" customHeight="1">
      <c r="A823" s="198"/>
    </row>
    <row r="824" spans="1:1" s="199" customFormat="1" ht="12" hidden="1" customHeight="1">
      <c r="A824" s="198"/>
    </row>
    <row r="825" spans="1:1" s="199" customFormat="1" ht="12" hidden="1" customHeight="1">
      <c r="A825" s="198"/>
    </row>
    <row r="826" spans="1:1" s="199" customFormat="1" ht="12" hidden="1" customHeight="1">
      <c r="A826" s="198"/>
    </row>
    <row r="827" spans="1:1" s="199" customFormat="1" ht="12" hidden="1" customHeight="1">
      <c r="A827" s="198"/>
    </row>
    <row r="828" spans="1:1" s="199" customFormat="1" ht="12" hidden="1" customHeight="1">
      <c r="A828" s="198"/>
    </row>
    <row r="829" spans="1:1" s="199" customFormat="1" ht="12" hidden="1" customHeight="1">
      <c r="A829" s="198"/>
    </row>
    <row r="830" spans="1:1" s="199" customFormat="1" ht="12" hidden="1" customHeight="1">
      <c r="A830" s="198"/>
    </row>
    <row r="831" spans="1:1" s="199" customFormat="1" ht="12" hidden="1" customHeight="1">
      <c r="A831" s="198"/>
    </row>
    <row r="832" spans="1:1" s="199" customFormat="1" ht="12" hidden="1" customHeight="1">
      <c r="A832" s="198"/>
    </row>
    <row r="833" spans="1:1" s="199" customFormat="1" ht="12" hidden="1" customHeight="1">
      <c r="A833" s="198"/>
    </row>
    <row r="834" spans="1:1" s="199" customFormat="1" ht="12" hidden="1" customHeight="1">
      <c r="A834" s="198"/>
    </row>
    <row r="835" spans="1:1" s="199" customFormat="1" ht="12" hidden="1" customHeight="1">
      <c r="A835" s="198"/>
    </row>
    <row r="836" spans="1:1" s="199" customFormat="1" ht="12" hidden="1" customHeight="1">
      <c r="A836" s="198"/>
    </row>
    <row r="837" spans="1:1" s="199" customFormat="1" ht="12" hidden="1" customHeight="1">
      <c r="A837" s="198"/>
    </row>
    <row r="838" spans="1:1" s="199" customFormat="1" ht="12" hidden="1" customHeight="1">
      <c r="A838" s="198"/>
    </row>
    <row r="839" spans="1:1" s="199" customFormat="1" ht="12" hidden="1" customHeight="1">
      <c r="A839" s="198"/>
    </row>
    <row r="840" spans="1:1" s="199" customFormat="1" ht="12" hidden="1" customHeight="1">
      <c r="A840" s="198"/>
    </row>
    <row r="841" spans="1:1" s="199" customFormat="1" ht="12" hidden="1" customHeight="1">
      <c r="A841" s="198"/>
    </row>
    <row r="842" spans="1:1" s="199" customFormat="1" ht="12" hidden="1" customHeight="1">
      <c r="A842" s="198"/>
    </row>
    <row r="843" spans="1:1" s="199" customFormat="1" ht="12" hidden="1" customHeight="1">
      <c r="A843" s="198"/>
    </row>
    <row r="844" spans="1:1" s="199" customFormat="1" ht="12" hidden="1" customHeight="1">
      <c r="A844" s="198"/>
    </row>
    <row r="845" spans="1:1" s="199" customFormat="1" ht="12" hidden="1" customHeight="1">
      <c r="A845" s="198"/>
    </row>
    <row r="846" spans="1:1" s="199" customFormat="1" ht="12" hidden="1" customHeight="1">
      <c r="A846" s="198"/>
    </row>
    <row r="847" spans="1:1" s="199" customFormat="1" ht="12" hidden="1" customHeight="1">
      <c r="A847" s="198"/>
    </row>
    <row r="848" spans="1:1" s="199" customFormat="1" ht="12" hidden="1" customHeight="1">
      <c r="A848" s="198"/>
    </row>
    <row r="849" spans="1:1" s="199" customFormat="1" ht="12" hidden="1" customHeight="1">
      <c r="A849" s="198"/>
    </row>
    <row r="850" spans="1:1" s="199" customFormat="1" ht="12" hidden="1" customHeight="1">
      <c r="A850" s="198"/>
    </row>
    <row r="851" spans="1:1" s="199" customFormat="1" ht="12" hidden="1" customHeight="1">
      <c r="A851" s="198"/>
    </row>
    <row r="852" spans="1:1" s="199" customFormat="1" ht="12" hidden="1" customHeight="1">
      <c r="A852" s="198"/>
    </row>
    <row r="853" spans="1:1" s="199" customFormat="1" ht="12" hidden="1" customHeight="1">
      <c r="A853" s="198"/>
    </row>
    <row r="854" spans="1:1" s="199" customFormat="1" ht="12" hidden="1" customHeight="1">
      <c r="A854" s="198"/>
    </row>
    <row r="855" spans="1:1" s="199" customFormat="1" ht="12" hidden="1" customHeight="1">
      <c r="A855" s="198"/>
    </row>
    <row r="856" spans="1:1" s="199" customFormat="1" ht="12" hidden="1" customHeight="1">
      <c r="A856" s="198"/>
    </row>
    <row r="857" spans="1:1" s="199" customFormat="1" ht="12" hidden="1" customHeight="1">
      <c r="A857" s="198"/>
    </row>
    <row r="858" spans="1:1" s="199" customFormat="1" ht="12" hidden="1" customHeight="1">
      <c r="A858" s="198"/>
    </row>
    <row r="859" spans="1:1" s="199" customFormat="1" ht="12" hidden="1" customHeight="1">
      <c r="A859" s="198"/>
    </row>
    <row r="860" spans="1:1" s="199" customFormat="1" ht="12" hidden="1" customHeight="1">
      <c r="A860" s="198"/>
    </row>
    <row r="861" spans="1:1" s="199" customFormat="1" ht="12" hidden="1" customHeight="1">
      <c r="A861" s="198"/>
    </row>
    <row r="862" spans="1:1" s="199" customFormat="1" ht="12" hidden="1" customHeight="1">
      <c r="A862" s="198"/>
    </row>
    <row r="863" spans="1:1" s="199" customFormat="1" ht="12" hidden="1" customHeight="1">
      <c r="A863" s="198"/>
    </row>
    <row r="864" spans="1:1" s="199" customFormat="1" ht="12" hidden="1" customHeight="1">
      <c r="A864" s="198"/>
    </row>
    <row r="865" spans="1:1" s="199" customFormat="1" ht="12" hidden="1" customHeight="1">
      <c r="A865" s="198"/>
    </row>
    <row r="866" spans="1:1" s="199" customFormat="1" ht="12" hidden="1" customHeight="1">
      <c r="A866" s="198"/>
    </row>
    <row r="867" spans="1:1" s="199" customFormat="1" ht="12" hidden="1" customHeight="1">
      <c r="A867" s="198"/>
    </row>
    <row r="868" spans="1:1" s="199" customFormat="1" ht="12" hidden="1" customHeight="1">
      <c r="A868" s="198"/>
    </row>
    <row r="869" spans="1:1" s="199" customFormat="1" ht="12" hidden="1" customHeight="1">
      <c r="A869" s="198"/>
    </row>
    <row r="870" spans="1:1" s="199" customFormat="1" ht="12" hidden="1" customHeight="1">
      <c r="A870" s="198"/>
    </row>
    <row r="871" spans="1:1" s="199" customFormat="1" ht="12" hidden="1" customHeight="1">
      <c r="A871" s="198"/>
    </row>
    <row r="872" spans="1:1" s="199" customFormat="1" ht="12" hidden="1" customHeight="1">
      <c r="A872" s="198"/>
    </row>
    <row r="873" spans="1:1" s="199" customFormat="1" ht="12" hidden="1" customHeight="1">
      <c r="A873" s="198"/>
    </row>
    <row r="874" spans="1:1" s="199" customFormat="1" ht="12" hidden="1" customHeight="1">
      <c r="A874" s="198"/>
    </row>
    <row r="875" spans="1:1" s="199" customFormat="1" ht="12" hidden="1" customHeight="1">
      <c r="A875" s="198"/>
    </row>
    <row r="876" spans="1:1" s="199" customFormat="1" ht="12" hidden="1" customHeight="1">
      <c r="A876" s="198"/>
    </row>
    <row r="877" spans="1:1" s="199" customFormat="1" ht="12" hidden="1" customHeight="1">
      <c r="A877" s="198"/>
    </row>
    <row r="878" spans="1:1" s="199" customFormat="1" ht="12" hidden="1" customHeight="1">
      <c r="A878" s="198"/>
    </row>
    <row r="879" spans="1:1" s="199" customFormat="1" ht="12" hidden="1" customHeight="1">
      <c r="A879" s="198"/>
    </row>
    <row r="880" spans="1:1" s="199" customFormat="1" ht="12" hidden="1" customHeight="1">
      <c r="A880" s="198"/>
    </row>
    <row r="881" spans="1:1" s="199" customFormat="1" ht="12" hidden="1" customHeight="1">
      <c r="A881" s="198"/>
    </row>
    <row r="882" spans="1:1" s="199" customFormat="1" ht="12" hidden="1" customHeight="1">
      <c r="A882" s="198"/>
    </row>
    <row r="883" spans="1:1" s="199" customFormat="1" ht="12" hidden="1" customHeight="1">
      <c r="A883" s="198"/>
    </row>
    <row r="884" spans="1:1" s="199" customFormat="1" ht="12" hidden="1" customHeight="1">
      <c r="A884" s="198"/>
    </row>
    <row r="885" spans="1:1" s="199" customFormat="1" ht="12" hidden="1" customHeight="1">
      <c r="A885" s="198"/>
    </row>
    <row r="886" spans="1:1" s="199" customFormat="1" ht="12" hidden="1" customHeight="1">
      <c r="A886" s="198"/>
    </row>
    <row r="887" spans="1:1" s="199" customFormat="1" ht="12" hidden="1" customHeight="1">
      <c r="A887" s="198"/>
    </row>
    <row r="888" spans="1:1" s="199" customFormat="1" ht="12" hidden="1" customHeight="1">
      <c r="A888" s="198"/>
    </row>
    <row r="889" spans="1:1" s="199" customFormat="1" ht="12" hidden="1" customHeight="1">
      <c r="A889" s="198"/>
    </row>
    <row r="890" spans="1:1" s="199" customFormat="1" ht="12" hidden="1" customHeight="1">
      <c r="A890" s="198"/>
    </row>
    <row r="891" spans="1:1" s="199" customFormat="1" ht="12" hidden="1" customHeight="1">
      <c r="A891" s="198"/>
    </row>
    <row r="892" spans="1:1" s="199" customFormat="1" ht="12" hidden="1" customHeight="1">
      <c r="A892" s="198"/>
    </row>
    <row r="893" spans="1:1" s="199" customFormat="1" ht="12" hidden="1" customHeight="1">
      <c r="A893" s="198"/>
    </row>
    <row r="894" spans="1:1" s="199" customFormat="1" ht="12" hidden="1" customHeight="1">
      <c r="A894" s="198"/>
    </row>
    <row r="895" spans="1:1" s="199" customFormat="1" ht="12" hidden="1" customHeight="1">
      <c r="A895" s="198"/>
    </row>
    <row r="896" spans="1:1" s="199" customFormat="1" ht="12" hidden="1" customHeight="1">
      <c r="A896" s="198"/>
    </row>
    <row r="897" spans="1:1" s="199" customFormat="1" ht="12" hidden="1" customHeight="1">
      <c r="A897" s="198"/>
    </row>
    <row r="898" spans="1:1" s="199" customFormat="1" ht="12" hidden="1" customHeight="1">
      <c r="A898" s="198"/>
    </row>
    <row r="899" spans="1:1" s="199" customFormat="1" ht="12" hidden="1" customHeight="1">
      <c r="A899" s="198"/>
    </row>
    <row r="900" spans="1:1" s="199" customFormat="1" ht="12" hidden="1" customHeight="1">
      <c r="A900" s="198"/>
    </row>
    <row r="901" spans="1:1" s="199" customFormat="1" ht="12" hidden="1" customHeight="1">
      <c r="A901" s="198"/>
    </row>
    <row r="902" spans="1:1" s="199" customFormat="1" ht="12" hidden="1" customHeight="1">
      <c r="A902" s="198"/>
    </row>
    <row r="903" spans="1:1" s="199" customFormat="1" ht="12" hidden="1" customHeight="1">
      <c r="A903" s="198"/>
    </row>
    <row r="904" spans="1:1" s="199" customFormat="1" ht="12" hidden="1" customHeight="1">
      <c r="A904" s="198"/>
    </row>
    <row r="905" spans="1:1" s="199" customFormat="1" ht="12" hidden="1" customHeight="1">
      <c r="A905" s="198"/>
    </row>
    <row r="906" spans="1:1" s="199" customFormat="1" ht="12" hidden="1" customHeight="1">
      <c r="A906" s="198"/>
    </row>
    <row r="907" spans="1:1" s="199" customFormat="1" ht="12" hidden="1" customHeight="1">
      <c r="A907" s="198"/>
    </row>
    <row r="908" spans="1:1" s="199" customFormat="1" ht="12" hidden="1" customHeight="1">
      <c r="A908" s="198"/>
    </row>
    <row r="909" spans="1:1" s="199" customFormat="1" ht="12" hidden="1" customHeight="1">
      <c r="A909" s="198"/>
    </row>
    <row r="910" spans="1:1" s="199" customFormat="1" ht="12" hidden="1" customHeight="1">
      <c r="A910" s="198"/>
    </row>
    <row r="911" spans="1:1" s="199" customFormat="1" ht="12" hidden="1" customHeight="1">
      <c r="A911" s="198"/>
    </row>
    <row r="912" spans="1:1" s="199" customFormat="1" ht="12" hidden="1" customHeight="1">
      <c r="A912" s="198"/>
    </row>
    <row r="913" spans="1:1" s="199" customFormat="1" ht="12" hidden="1" customHeight="1">
      <c r="A913" s="198"/>
    </row>
    <row r="914" spans="1:1" s="199" customFormat="1" ht="12" hidden="1" customHeight="1">
      <c r="A914" s="198"/>
    </row>
    <row r="915" spans="1:1" s="199" customFormat="1" ht="12" hidden="1" customHeight="1">
      <c r="A915" s="198"/>
    </row>
    <row r="916" spans="1:1" s="199" customFormat="1" ht="12" hidden="1" customHeight="1">
      <c r="A916" s="198"/>
    </row>
    <row r="917" spans="1:1" s="199" customFormat="1" ht="12" hidden="1" customHeight="1">
      <c r="A917" s="198"/>
    </row>
    <row r="918" spans="1:1" s="199" customFormat="1" ht="12" hidden="1" customHeight="1">
      <c r="A918" s="198"/>
    </row>
    <row r="919" spans="1:1" s="199" customFormat="1" ht="12" hidden="1" customHeight="1">
      <c r="A919" s="198"/>
    </row>
    <row r="920" spans="1:1" s="199" customFormat="1" ht="12" hidden="1" customHeight="1">
      <c r="A920" s="198"/>
    </row>
    <row r="921" spans="1:1" s="199" customFormat="1" ht="12" hidden="1" customHeight="1">
      <c r="A921" s="198"/>
    </row>
    <row r="922" spans="1:1" s="199" customFormat="1" ht="12" hidden="1" customHeight="1">
      <c r="A922" s="198"/>
    </row>
    <row r="923" spans="1:1" s="199" customFormat="1" ht="12" hidden="1" customHeight="1">
      <c r="A923" s="198"/>
    </row>
    <row r="924" spans="1:1" s="199" customFormat="1" ht="12" hidden="1" customHeight="1">
      <c r="A924" s="198"/>
    </row>
    <row r="925" spans="1:1" s="199" customFormat="1" ht="12" hidden="1" customHeight="1">
      <c r="A925" s="198"/>
    </row>
    <row r="926" spans="1:1" s="199" customFormat="1" ht="12" hidden="1" customHeight="1">
      <c r="A926" s="198"/>
    </row>
    <row r="927" spans="1:1" s="199" customFormat="1" ht="12" hidden="1" customHeight="1">
      <c r="A927" s="198"/>
    </row>
    <row r="928" spans="1:1" s="199" customFormat="1" ht="12" hidden="1" customHeight="1">
      <c r="A928" s="198"/>
    </row>
    <row r="929" spans="1:1" s="199" customFormat="1" ht="12" hidden="1" customHeight="1">
      <c r="A929" s="198"/>
    </row>
    <row r="930" spans="1:1" s="199" customFormat="1" ht="12" hidden="1" customHeight="1">
      <c r="A930" s="198"/>
    </row>
    <row r="931" spans="1:1" s="199" customFormat="1" ht="12" hidden="1" customHeight="1">
      <c r="A931" s="198"/>
    </row>
    <row r="932" spans="1:1" s="199" customFormat="1" ht="12" hidden="1" customHeight="1">
      <c r="A932" s="198"/>
    </row>
    <row r="933" spans="1:1" s="199" customFormat="1" ht="12" hidden="1" customHeight="1">
      <c r="A933" s="198"/>
    </row>
    <row r="934" spans="1:1" s="199" customFormat="1" ht="12" hidden="1" customHeight="1">
      <c r="A934" s="198"/>
    </row>
    <row r="935" spans="1:1" s="199" customFormat="1" ht="12" hidden="1" customHeight="1">
      <c r="A935" s="198"/>
    </row>
    <row r="936" spans="1:1" s="199" customFormat="1" ht="12" hidden="1" customHeight="1">
      <c r="A936" s="198"/>
    </row>
    <row r="937" spans="1:1" s="199" customFormat="1" ht="12" hidden="1" customHeight="1">
      <c r="A937" s="198"/>
    </row>
    <row r="938" spans="1:1" s="199" customFormat="1" ht="12" hidden="1" customHeight="1">
      <c r="A938" s="198"/>
    </row>
    <row r="939" spans="1:1" s="199" customFormat="1" ht="12" hidden="1" customHeight="1">
      <c r="A939" s="198"/>
    </row>
    <row r="940" spans="1:1" s="199" customFormat="1" ht="12" hidden="1" customHeight="1">
      <c r="A940" s="198"/>
    </row>
    <row r="941" spans="1:1" s="199" customFormat="1" ht="12" hidden="1" customHeight="1">
      <c r="A941" s="198"/>
    </row>
    <row r="942" spans="1:1" s="199" customFormat="1" ht="12" hidden="1" customHeight="1">
      <c r="A942" s="198"/>
    </row>
    <row r="943" spans="1:1" s="199" customFormat="1" ht="12" hidden="1" customHeight="1">
      <c r="A943" s="198"/>
    </row>
    <row r="944" spans="1:1" s="199" customFormat="1" ht="12" hidden="1" customHeight="1">
      <c r="A944" s="198"/>
    </row>
    <row r="945" spans="1:1" s="199" customFormat="1" ht="12" hidden="1" customHeight="1">
      <c r="A945" s="198"/>
    </row>
    <row r="946" spans="1:1" s="199" customFormat="1" ht="12" hidden="1" customHeight="1">
      <c r="A946" s="198"/>
    </row>
    <row r="947" spans="1:1" s="199" customFormat="1" ht="12" hidden="1" customHeight="1">
      <c r="A947" s="198"/>
    </row>
    <row r="948" spans="1:1" s="199" customFormat="1" ht="12" hidden="1" customHeight="1">
      <c r="A948" s="198"/>
    </row>
    <row r="949" spans="1:1" s="199" customFormat="1" ht="12" hidden="1" customHeight="1">
      <c r="A949" s="198"/>
    </row>
    <row r="950" spans="1:1" s="199" customFormat="1" ht="12" hidden="1" customHeight="1">
      <c r="A950" s="198"/>
    </row>
    <row r="951" spans="1:1" s="199" customFormat="1" ht="12" hidden="1" customHeight="1">
      <c r="A951" s="198"/>
    </row>
    <row r="952" spans="1:1" s="199" customFormat="1" ht="12" hidden="1" customHeight="1">
      <c r="A952" s="198"/>
    </row>
    <row r="953" spans="1:1" s="199" customFormat="1" ht="12" hidden="1" customHeight="1">
      <c r="A953" s="198"/>
    </row>
    <row r="954" spans="1:1" s="199" customFormat="1" ht="12" hidden="1" customHeight="1">
      <c r="A954" s="198"/>
    </row>
    <row r="955" spans="1:1" s="199" customFormat="1" ht="12" hidden="1" customHeight="1">
      <c r="A955" s="198"/>
    </row>
    <row r="956" spans="1:1" s="199" customFormat="1" ht="12" hidden="1" customHeight="1">
      <c r="A956" s="198"/>
    </row>
    <row r="957" spans="1:1" s="199" customFormat="1" ht="12" hidden="1" customHeight="1">
      <c r="A957" s="198"/>
    </row>
    <row r="958" spans="1:1" s="199" customFormat="1" ht="12" hidden="1" customHeight="1">
      <c r="A958" s="198"/>
    </row>
    <row r="959" spans="1:1" s="199" customFormat="1" ht="12" hidden="1" customHeight="1">
      <c r="A959" s="198"/>
    </row>
    <row r="960" spans="1:1" s="199" customFormat="1" ht="12" hidden="1" customHeight="1">
      <c r="A960" s="198"/>
    </row>
    <row r="961" spans="1:1" s="199" customFormat="1" ht="12" hidden="1" customHeight="1">
      <c r="A961" s="198"/>
    </row>
    <row r="962" spans="1:1" s="199" customFormat="1" ht="12" hidden="1" customHeight="1">
      <c r="A962" s="198"/>
    </row>
    <row r="963" spans="1:1" s="199" customFormat="1" ht="12" hidden="1" customHeight="1">
      <c r="A963" s="198"/>
    </row>
    <row r="964" spans="1:1" s="199" customFormat="1" ht="12" hidden="1" customHeight="1">
      <c r="A964" s="198"/>
    </row>
    <row r="965" spans="1:1" s="199" customFormat="1" ht="12" hidden="1" customHeight="1">
      <c r="A965" s="198"/>
    </row>
    <row r="966" spans="1:1" s="199" customFormat="1" ht="12" hidden="1" customHeight="1">
      <c r="A966" s="198"/>
    </row>
    <row r="967" spans="1:1" s="199" customFormat="1" ht="12" hidden="1" customHeight="1">
      <c r="A967" s="198"/>
    </row>
    <row r="968" spans="1:1" s="199" customFormat="1" ht="12" hidden="1" customHeight="1">
      <c r="A968" s="198"/>
    </row>
    <row r="969" spans="1:1" s="199" customFormat="1" ht="12" hidden="1" customHeight="1">
      <c r="A969" s="198"/>
    </row>
    <row r="970" spans="1:1" s="199" customFormat="1" ht="12" hidden="1" customHeight="1">
      <c r="A970" s="198"/>
    </row>
    <row r="971" spans="1:1" s="199" customFormat="1" ht="12" hidden="1" customHeight="1">
      <c r="A971" s="198"/>
    </row>
    <row r="972" spans="1:1" s="199" customFormat="1" ht="12" hidden="1" customHeight="1">
      <c r="A972" s="198"/>
    </row>
    <row r="973" spans="1:1" s="199" customFormat="1" ht="12" hidden="1" customHeight="1">
      <c r="A973" s="198"/>
    </row>
    <row r="974" spans="1:1" s="199" customFormat="1" ht="12" hidden="1" customHeight="1">
      <c r="A974" s="198"/>
    </row>
    <row r="975" spans="1:1" s="199" customFormat="1" ht="12" hidden="1" customHeight="1">
      <c r="A975" s="198"/>
    </row>
    <row r="976" spans="1:1" s="199" customFormat="1" ht="12" hidden="1" customHeight="1">
      <c r="A976" s="198"/>
    </row>
    <row r="977" spans="1:1" s="199" customFormat="1" ht="12" hidden="1" customHeight="1">
      <c r="A977" s="198"/>
    </row>
    <row r="978" spans="1:1" s="199" customFormat="1" ht="12" hidden="1" customHeight="1">
      <c r="A978" s="198"/>
    </row>
    <row r="979" spans="1:1" s="199" customFormat="1" ht="12" hidden="1" customHeight="1">
      <c r="A979" s="198"/>
    </row>
    <row r="980" spans="1:1" s="199" customFormat="1" ht="12" hidden="1" customHeight="1">
      <c r="A980" s="198"/>
    </row>
    <row r="981" spans="1:1" s="199" customFormat="1" ht="12" hidden="1" customHeight="1">
      <c r="A981" s="198"/>
    </row>
    <row r="982" spans="1:1" s="199" customFormat="1" ht="12" hidden="1" customHeight="1">
      <c r="A982" s="198"/>
    </row>
    <row r="983" spans="1:1" s="199" customFormat="1" ht="12" hidden="1" customHeight="1">
      <c r="A983" s="198"/>
    </row>
    <row r="984" spans="1:1" s="199" customFormat="1" ht="12" hidden="1" customHeight="1">
      <c r="A984" s="198"/>
    </row>
    <row r="985" spans="1:1" s="199" customFormat="1" ht="12" hidden="1" customHeight="1">
      <c r="A985" s="198"/>
    </row>
    <row r="986" spans="1:1" s="199" customFormat="1" ht="12" hidden="1" customHeight="1">
      <c r="A986" s="198"/>
    </row>
    <row r="987" spans="1:1" s="199" customFormat="1" ht="12" hidden="1" customHeight="1">
      <c r="A987" s="198"/>
    </row>
    <row r="988" spans="1:1" s="199" customFormat="1" ht="12" hidden="1" customHeight="1">
      <c r="A988" s="198"/>
    </row>
    <row r="989" spans="1:1" s="199" customFormat="1" ht="12" hidden="1" customHeight="1">
      <c r="A989" s="198"/>
    </row>
    <row r="990" spans="1:1" s="199" customFormat="1" ht="12" hidden="1" customHeight="1">
      <c r="A990" s="198"/>
    </row>
    <row r="991" spans="1:1" s="199" customFormat="1" ht="12" hidden="1" customHeight="1">
      <c r="A991" s="198"/>
    </row>
    <row r="992" spans="1:1" s="199" customFormat="1" ht="12" hidden="1" customHeight="1">
      <c r="A992" s="198"/>
    </row>
    <row r="993" spans="1:1" s="199" customFormat="1" ht="12" hidden="1" customHeight="1">
      <c r="A993" s="198"/>
    </row>
    <row r="994" spans="1:1" s="199" customFormat="1" ht="12" hidden="1" customHeight="1">
      <c r="A994" s="198"/>
    </row>
    <row r="995" spans="1:1" s="199" customFormat="1" ht="12" hidden="1" customHeight="1">
      <c r="A995" s="198"/>
    </row>
    <row r="996" spans="1:1" s="199" customFormat="1" ht="12" hidden="1" customHeight="1">
      <c r="A996" s="198"/>
    </row>
    <row r="997" spans="1:1" s="199" customFormat="1" ht="12" hidden="1" customHeight="1">
      <c r="A997" s="198"/>
    </row>
    <row r="998" spans="1:1" s="199" customFormat="1" ht="12" hidden="1" customHeight="1">
      <c r="A998" s="198"/>
    </row>
    <row r="999" spans="1:1" s="199" customFormat="1" ht="12" hidden="1" customHeight="1">
      <c r="A999" s="198"/>
    </row>
    <row r="1000" spans="1:1" s="199" customFormat="1" ht="12" hidden="1" customHeight="1">
      <c r="A1000" s="198"/>
    </row>
    <row r="1001" spans="1:1" s="199" customFormat="1" ht="12" hidden="1" customHeight="1">
      <c r="A1001" s="198"/>
    </row>
    <row r="1002" spans="1:1" s="199" customFormat="1" ht="12" hidden="1" customHeight="1">
      <c r="A1002" s="198"/>
    </row>
    <row r="1003" spans="1:1" s="199" customFormat="1" ht="12" hidden="1" customHeight="1">
      <c r="A1003" s="198"/>
    </row>
    <row r="1004" spans="1:1" s="199" customFormat="1" ht="12" hidden="1" customHeight="1">
      <c r="A1004" s="198"/>
    </row>
    <row r="1005" spans="1:1" s="199" customFormat="1" ht="12" hidden="1" customHeight="1">
      <c r="A1005" s="198"/>
    </row>
    <row r="1006" spans="1:1" s="199" customFormat="1" ht="12" hidden="1" customHeight="1">
      <c r="A1006" s="198"/>
    </row>
    <row r="1007" spans="1:1" s="199" customFormat="1" ht="12" hidden="1" customHeight="1">
      <c r="A1007" s="198"/>
    </row>
    <row r="1008" spans="1:1" s="199" customFormat="1" ht="12" hidden="1" customHeight="1">
      <c r="A1008" s="198"/>
    </row>
    <row r="1009" spans="1:1" s="199" customFormat="1" ht="12" hidden="1" customHeight="1">
      <c r="A1009" s="198"/>
    </row>
    <row r="1010" spans="1:1" s="199" customFormat="1" ht="12" hidden="1" customHeight="1">
      <c r="A1010" s="198"/>
    </row>
    <row r="1011" spans="1:1" s="199" customFormat="1" ht="12" hidden="1" customHeight="1">
      <c r="A1011" s="198"/>
    </row>
    <row r="1012" spans="1:1" s="199" customFormat="1" ht="12" hidden="1" customHeight="1">
      <c r="A1012" s="198"/>
    </row>
    <row r="1013" spans="1:1" s="199" customFormat="1" ht="12" hidden="1" customHeight="1">
      <c r="A1013" s="198"/>
    </row>
    <row r="1014" spans="1:1" s="199" customFormat="1" ht="12" hidden="1" customHeight="1">
      <c r="A1014" s="198"/>
    </row>
    <row r="1015" spans="1:1" s="199" customFormat="1" ht="12" hidden="1" customHeight="1">
      <c r="A1015" s="198"/>
    </row>
    <row r="1016" spans="1:1" s="199" customFormat="1" ht="12" hidden="1" customHeight="1">
      <c r="A1016" s="198"/>
    </row>
    <row r="1017" spans="1:1" s="199" customFormat="1" ht="12" hidden="1" customHeight="1">
      <c r="A1017" s="198"/>
    </row>
    <row r="1018" spans="1:1" s="199" customFormat="1" ht="12" hidden="1" customHeight="1">
      <c r="A1018" s="198"/>
    </row>
    <row r="1019" spans="1:1" s="199" customFormat="1" ht="12" hidden="1" customHeight="1">
      <c r="A1019" s="198"/>
    </row>
    <row r="1020" spans="1:1" s="199" customFormat="1" ht="12" hidden="1" customHeight="1">
      <c r="A1020" s="198"/>
    </row>
    <row r="1021" spans="1:1" s="199" customFormat="1" ht="12" hidden="1" customHeight="1">
      <c r="A1021" s="198"/>
    </row>
    <row r="1022" spans="1:1" s="199" customFormat="1" ht="12" hidden="1" customHeight="1">
      <c r="A1022" s="198"/>
    </row>
    <row r="1023" spans="1:1" s="199" customFormat="1" ht="12" hidden="1" customHeight="1">
      <c r="A1023" s="198"/>
    </row>
    <row r="1024" spans="1:1" s="199" customFormat="1" ht="12" hidden="1" customHeight="1">
      <c r="A1024" s="198"/>
    </row>
    <row r="1025" spans="1:1" s="199" customFormat="1" ht="12" hidden="1" customHeight="1">
      <c r="A1025" s="198"/>
    </row>
    <row r="1026" spans="1:1" s="199" customFormat="1" ht="12" hidden="1" customHeight="1">
      <c r="A1026" s="198"/>
    </row>
    <row r="1027" spans="1:1" s="199" customFormat="1" ht="12" hidden="1" customHeight="1">
      <c r="A1027" s="198"/>
    </row>
    <row r="1028" spans="1:1" s="199" customFormat="1" ht="12" hidden="1" customHeight="1">
      <c r="A1028" s="198"/>
    </row>
    <row r="1029" spans="1:1" s="199" customFormat="1" ht="12" hidden="1" customHeight="1">
      <c r="A1029" s="198"/>
    </row>
    <row r="1030" spans="1:1" s="199" customFormat="1" ht="12" hidden="1" customHeight="1">
      <c r="A1030" s="198"/>
    </row>
    <row r="1031" spans="1:1" s="199" customFormat="1" ht="12" hidden="1" customHeight="1">
      <c r="A1031" s="198"/>
    </row>
    <row r="1032" spans="1:1" s="199" customFormat="1" ht="12" hidden="1" customHeight="1">
      <c r="A1032" s="198"/>
    </row>
    <row r="1033" spans="1:1" s="199" customFormat="1" ht="12" hidden="1" customHeight="1">
      <c r="A1033" s="198"/>
    </row>
    <row r="1034" spans="1:1" s="199" customFormat="1" ht="12" hidden="1" customHeight="1">
      <c r="A1034" s="198"/>
    </row>
    <row r="1035" spans="1:1" s="199" customFormat="1" ht="12" hidden="1" customHeight="1">
      <c r="A1035" s="198"/>
    </row>
    <row r="1036" spans="1:1" s="199" customFormat="1" ht="12" hidden="1" customHeight="1">
      <c r="A1036" s="198"/>
    </row>
    <row r="1037" spans="1:1" s="199" customFormat="1" ht="12" hidden="1" customHeight="1">
      <c r="A1037" s="198"/>
    </row>
    <row r="1038" spans="1:1" s="199" customFormat="1" ht="12" hidden="1" customHeight="1">
      <c r="A1038" s="198"/>
    </row>
    <row r="1039" spans="1:1" s="199" customFormat="1" ht="12" hidden="1" customHeight="1">
      <c r="A1039" s="198"/>
    </row>
    <row r="1040" spans="1:1" s="199" customFormat="1" ht="12" hidden="1" customHeight="1">
      <c r="A1040" s="198"/>
    </row>
    <row r="1041" spans="1:1" s="199" customFormat="1" ht="12" hidden="1" customHeight="1">
      <c r="A1041" s="198"/>
    </row>
    <row r="1042" spans="1:1" s="199" customFormat="1" ht="12" hidden="1" customHeight="1">
      <c r="A1042" s="198"/>
    </row>
    <row r="1043" spans="1:1" s="199" customFormat="1" ht="12" hidden="1" customHeight="1">
      <c r="A1043" s="198"/>
    </row>
    <row r="1044" spans="1:1" s="199" customFormat="1" ht="12" hidden="1" customHeight="1">
      <c r="A1044" s="198"/>
    </row>
    <row r="1045" spans="1:1" s="199" customFormat="1" ht="12" hidden="1" customHeight="1">
      <c r="A1045" s="198"/>
    </row>
    <row r="1046" spans="1:1" s="199" customFormat="1" ht="12" hidden="1" customHeight="1">
      <c r="A1046" s="198"/>
    </row>
    <row r="1047" spans="1:1" s="199" customFormat="1" ht="12" hidden="1" customHeight="1">
      <c r="A1047" s="198"/>
    </row>
    <row r="1048" spans="1:1" s="199" customFormat="1" ht="12" hidden="1" customHeight="1">
      <c r="A1048" s="198"/>
    </row>
    <row r="1049" spans="1:1" s="199" customFormat="1" ht="12" hidden="1" customHeight="1">
      <c r="A1049" s="198"/>
    </row>
    <row r="1050" spans="1:1" s="199" customFormat="1" ht="12" hidden="1" customHeight="1">
      <c r="A1050" s="198"/>
    </row>
    <row r="1051" spans="1:1" s="199" customFormat="1" ht="12" hidden="1" customHeight="1">
      <c r="A1051" s="198"/>
    </row>
    <row r="1052" spans="1:1" s="199" customFormat="1" ht="12" hidden="1" customHeight="1">
      <c r="A1052" s="198"/>
    </row>
    <row r="1053" spans="1:1" s="199" customFormat="1" ht="12" hidden="1" customHeight="1">
      <c r="A1053" s="198"/>
    </row>
    <row r="1054" spans="1:1" s="199" customFormat="1" ht="12" hidden="1" customHeight="1">
      <c r="A1054" s="198"/>
    </row>
    <row r="1055" spans="1:1" s="199" customFormat="1" ht="12" hidden="1" customHeight="1">
      <c r="A1055" s="198"/>
    </row>
    <row r="1056" spans="1:1" s="199" customFormat="1" ht="12" hidden="1" customHeight="1">
      <c r="A1056" s="198"/>
    </row>
    <row r="1057" spans="1:1" s="199" customFormat="1" ht="12" hidden="1" customHeight="1">
      <c r="A1057" s="198"/>
    </row>
    <row r="1058" spans="1:1" s="199" customFormat="1" ht="12" hidden="1" customHeight="1">
      <c r="A1058" s="198"/>
    </row>
    <row r="1059" spans="1:1" s="199" customFormat="1" ht="12" hidden="1" customHeight="1">
      <c r="A1059" s="198"/>
    </row>
    <row r="1060" spans="1:1" s="199" customFormat="1" ht="12" hidden="1" customHeight="1">
      <c r="A1060" s="198"/>
    </row>
    <row r="1061" spans="1:1" s="199" customFormat="1" ht="12" hidden="1" customHeight="1">
      <c r="A1061" s="198"/>
    </row>
    <row r="1062" spans="1:1" s="199" customFormat="1" ht="12" hidden="1" customHeight="1">
      <c r="A1062" s="198"/>
    </row>
    <row r="1063" spans="1:1" s="199" customFormat="1" ht="12" hidden="1" customHeight="1">
      <c r="A1063" s="198"/>
    </row>
    <row r="1064" spans="1:1" s="199" customFormat="1" ht="12" hidden="1" customHeight="1">
      <c r="A1064" s="198"/>
    </row>
    <row r="1065" spans="1:1" s="199" customFormat="1" ht="12" hidden="1" customHeight="1">
      <c r="A1065" s="198"/>
    </row>
    <row r="1066" spans="1:1" s="199" customFormat="1" ht="12" hidden="1" customHeight="1">
      <c r="A1066" s="198"/>
    </row>
    <row r="1067" spans="1:1" s="199" customFormat="1" ht="12" hidden="1" customHeight="1">
      <c r="A1067" s="198"/>
    </row>
    <row r="1068" spans="1:1" s="199" customFormat="1" ht="12" hidden="1" customHeight="1">
      <c r="A1068" s="198"/>
    </row>
    <row r="1069" spans="1:1" s="199" customFormat="1" ht="12" hidden="1" customHeight="1">
      <c r="A1069" s="198"/>
    </row>
    <row r="1070" spans="1:1" s="199" customFormat="1" ht="12" hidden="1" customHeight="1">
      <c r="A1070" s="198"/>
    </row>
    <row r="1071" spans="1:1" s="199" customFormat="1" ht="12" hidden="1" customHeight="1">
      <c r="A1071" s="198"/>
    </row>
    <row r="1072" spans="1:1" s="199" customFormat="1" ht="12" hidden="1" customHeight="1">
      <c r="A1072" s="198"/>
    </row>
    <row r="1073" spans="1:1" s="199" customFormat="1" ht="12" hidden="1" customHeight="1">
      <c r="A1073" s="198"/>
    </row>
    <row r="1074" spans="1:1" s="199" customFormat="1" ht="12" hidden="1" customHeight="1">
      <c r="A1074" s="198"/>
    </row>
    <row r="1075" spans="1:1" s="199" customFormat="1" ht="12" hidden="1" customHeight="1">
      <c r="A1075" s="198"/>
    </row>
    <row r="1076" spans="1:1" s="199" customFormat="1" ht="12" hidden="1" customHeight="1">
      <c r="A1076" s="198"/>
    </row>
    <row r="1077" spans="1:1" s="199" customFormat="1" ht="12" hidden="1" customHeight="1">
      <c r="A1077" s="198"/>
    </row>
    <row r="1078" spans="1:1" s="199" customFormat="1" ht="12" hidden="1" customHeight="1">
      <c r="A1078" s="198"/>
    </row>
    <row r="1079" spans="1:1" s="199" customFormat="1" ht="12" hidden="1" customHeight="1">
      <c r="A1079" s="198"/>
    </row>
    <row r="1080" spans="1:1" s="199" customFormat="1" ht="12" hidden="1" customHeight="1">
      <c r="A1080" s="198"/>
    </row>
    <row r="1081" spans="1:1" s="199" customFormat="1" ht="12" hidden="1" customHeight="1">
      <c r="A1081" s="198"/>
    </row>
    <row r="1082" spans="1:1" s="199" customFormat="1" ht="12" hidden="1" customHeight="1">
      <c r="A1082" s="198"/>
    </row>
    <row r="1083" spans="1:1" s="199" customFormat="1" ht="12" hidden="1" customHeight="1">
      <c r="A1083" s="198"/>
    </row>
    <row r="1084" spans="1:1" s="199" customFormat="1" ht="12" hidden="1" customHeight="1">
      <c r="A1084" s="198"/>
    </row>
    <row r="1085" spans="1:1" s="199" customFormat="1" ht="12" hidden="1" customHeight="1">
      <c r="A1085" s="198"/>
    </row>
    <row r="1086" spans="1:1" s="199" customFormat="1" ht="12" hidden="1" customHeight="1">
      <c r="A1086" s="198"/>
    </row>
    <row r="1087" spans="1:1" s="199" customFormat="1" ht="12" hidden="1" customHeight="1">
      <c r="A1087" s="198"/>
    </row>
    <row r="1088" spans="1:1" s="199" customFormat="1" ht="12" hidden="1" customHeight="1">
      <c r="A1088" s="198"/>
    </row>
    <row r="1089" spans="1:1" s="199" customFormat="1" ht="12" hidden="1" customHeight="1">
      <c r="A1089" s="198"/>
    </row>
    <row r="1090" spans="1:1" s="199" customFormat="1" ht="12" hidden="1" customHeight="1">
      <c r="A1090" s="198"/>
    </row>
    <row r="1091" spans="1:1" s="199" customFormat="1" ht="12" hidden="1" customHeight="1">
      <c r="A1091" s="198"/>
    </row>
    <row r="1092" spans="1:1" s="199" customFormat="1" ht="12" hidden="1" customHeight="1">
      <c r="A1092" s="198"/>
    </row>
    <row r="1093" spans="1:1" s="199" customFormat="1" ht="12" hidden="1" customHeight="1">
      <c r="A1093" s="198"/>
    </row>
    <row r="1094" spans="1:1" s="199" customFormat="1" ht="12" hidden="1" customHeight="1">
      <c r="A1094" s="198"/>
    </row>
    <row r="1095" spans="1:1" s="199" customFormat="1" ht="12" hidden="1" customHeight="1">
      <c r="A1095" s="198"/>
    </row>
    <row r="1096" spans="1:1" s="199" customFormat="1" ht="12" hidden="1" customHeight="1">
      <c r="A1096" s="198"/>
    </row>
    <row r="1097" spans="1:1" s="199" customFormat="1" ht="12" hidden="1" customHeight="1">
      <c r="A1097" s="198"/>
    </row>
    <row r="1098" spans="1:1" s="199" customFormat="1" ht="12" hidden="1" customHeight="1">
      <c r="A1098" s="198"/>
    </row>
    <row r="1099" spans="1:1" s="199" customFormat="1" ht="12" hidden="1" customHeight="1">
      <c r="A1099" s="198"/>
    </row>
    <row r="1100" spans="1:1" s="199" customFormat="1" ht="12" hidden="1" customHeight="1">
      <c r="A1100" s="198"/>
    </row>
    <row r="1101" spans="1:1" s="199" customFormat="1" ht="12" hidden="1" customHeight="1">
      <c r="A1101" s="198"/>
    </row>
    <row r="1102" spans="1:1" s="199" customFormat="1" ht="12" hidden="1" customHeight="1">
      <c r="A1102" s="198"/>
    </row>
    <row r="1103" spans="1:1" s="199" customFormat="1" ht="12" hidden="1" customHeight="1">
      <c r="A1103" s="198"/>
    </row>
    <row r="1104" spans="1:1" s="199" customFormat="1" ht="12" hidden="1" customHeight="1">
      <c r="A1104" s="198"/>
    </row>
    <row r="1105" spans="1:1" s="199" customFormat="1" ht="12" hidden="1" customHeight="1">
      <c r="A1105" s="198"/>
    </row>
    <row r="1106" spans="1:1" s="199" customFormat="1" ht="12" hidden="1" customHeight="1">
      <c r="A1106" s="198"/>
    </row>
    <row r="1107" spans="1:1" s="199" customFormat="1" ht="12" hidden="1" customHeight="1">
      <c r="A1107" s="198"/>
    </row>
    <row r="1108" spans="1:1" s="199" customFormat="1" ht="12" hidden="1" customHeight="1">
      <c r="A1108" s="198"/>
    </row>
    <row r="1109" spans="1:1" s="199" customFormat="1" ht="12" hidden="1" customHeight="1">
      <c r="A1109" s="198"/>
    </row>
    <row r="1110" spans="1:1" s="199" customFormat="1" ht="12" hidden="1" customHeight="1">
      <c r="A1110" s="198"/>
    </row>
    <row r="1111" spans="1:1" s="199" customFormat="1" ht="12" hidden="1" customHeight="1">
      <c r="A1111" s="198"/>
    </row>
    <row r="1112" spans="1:1" s="199" customFormat="1" ht="12" hidden="1" customHeight="1">
      <c r="A1112" s="198"/>
    </row>
    <row r="1113" spans="1:1" s="199" customFormat="1" ht="12" hidden="1" customHeight="1">
      <c r="A1113" s="198"/>
    </row>
    <row r="1114" spans="1:1" s="199" customFormat="1" ht="12" hidden="1" customHeight="1">
      <c r="A1114" s="198"/>
    </row>
    <row r="1115" spans="1:1" s="199" customFormat="1" ht="12" hidden="1" customHeight="1">
      <c r="A1115" s="198"/>
    </row>
    <row r="1116" spans="1:1" s="199" customFormat="1" ht="12" hidden="1" customHeight="1">
      <c r="A1116" s="198"/>
    </row>
    <row r="1117" spans="1:1" s="199" customFormat="1" ht="12" hidden="1" customHeight="1">
      <c r="A1117" s="198"/>
    </row>
    <row r="1118" spans="1:1" s="199" customFormat="1" ht="12" hidden="1" customHeight="1">
      <c r="A1118" s="198"/>
    </row>
    <row r="1119" spans="1:1" s="199" customFormat="1" ht="12" hidden="1" customHeight="1">
      <c r="A1119" s="198"/>
    </row>
    <row r="1120" spans="1:1" s="199" customFormat="1" ht="12" hidden="1" customHeight="1">
      <c r="A1120" s="198"/>
    </row>
    <row r="1121" spans="1:1" s="199" customFormat="1" ht="12" hidden="1" customHeight="1">
      <c r="A1121" s="198"/>
    </row>
    <row r="1122" spans="1:1" s="199" customFormat="1" ht="12" hidden="1" customHeight="1">
      <c r="A1122" s="198"/>
    </row>
    <row r="1123" spans="1:1" s="199" customFormat="1" ht="12" hidden="1" customHeight="1">
      <c r="A1123" s="198"/>
    </row>
    <row r="1124" spans="1:1" s="199" customFormat="1" ht="12" hidden="1" customHeight="1">
      <c r="A1124" s="198"/>
    </row>
    <row r="1125" spans="1:1" s="199" customFormat="1" ht="12" hidden="1" customHeight="1">
      <c r="A1125" s="198"/>
    </row>
    <row r="1126" spans="1:1" s="199" customFormat="1" ht="12" hidden="1" customHeight="1">
      <c r="A1126" s="198"/>
    </row>
    <row r="1127" spans="1:1" s="199" customFormat="1" ht="12" hidden="1" customHeight="1">
      <c r="A1127" s="198"/>
    </row>
    <row r="1128" spans="1:1" s="199" customFormat="1" ht="12" hidden="1" customHeight="1">
      <c r="A1128" s="198"/>
    </row>
    <row r="1129" spans="1:1" s="199" customFormat="1" ht="12" hidden="1" customHeight="1">
      <c r="A1129" s="198"/>
    </row>
    <row r="1130" spans="1:1" s="199" customFormat="1" ht="12" hidden="1" customHeight="1">
      <c r="A1130" s="198"/>
    </row>
    <row r="1131" spans="1:1" s="199" customFormat="1" ht="12" hidden="1" customHeight="1">
      <c r="A1131" s="198"/>
    </row>
    <row r="1132" spans="1:1" s="199" customFormat="1" ht="12" hidden="1" customHeight="1">
      <c r="A1132" s="198"/>
    </row>
    <row r="1133" spans="1:1" s="199" customFormat="1" ht="12" hidden="1" customHeight="1">
      <c r="A1133" s="198"/>
    </row>
    <row r="1134" spans="1:1" s="199" customFormat="1" ht="12" hidden="1" customHeight="1">
      <c r="A1134" s="198"/>
    </row>
    <row r="1135" spans="1:1" s="199" customFormat="1" ht="12" hidden="1" customHeight="1">
      <c r="A1135" s="198"/>
    </row>
    <row r="1136" spans="1:1" s="199" customFormat="1" ht="12" hidden="1" customHeight="1">
      <c r="A1136" s="198"/>
    </row>
    <row r="1137" spans="1:1" s="199" customFormat="1" ht="12" hidden="1" customHeight="1">
      <c r="A1137" s="198"/>
    </row>
    <row r="1138" spans="1:1" s="199" customFormat="1" ht="12" hidden="1" customHeight="1">
      <c r="A1138" s="198"/>
    </row>
    <row r="1139" spans="1:1" s="199" customFormat="1" ht="12" hidden="1" customHeight="1">
      <c r="A1139" s="198"/>
    </row>
    <row r="1140" spans="1:1" s="199" customFormat="1" ht="12" hidden="1" customHeight="1">
      <c r="A1140" s="198"/>
    </row>
    <row r="1141" spans="1:1" s="199" customFormat="1" ht="12" hidden="1" customHeight="1">
      <c r="A1141" s="198"/>
    </row>
    <row r="1142" spans="1:1" s="199" customFormat="1" ht="12" hidden="1" customHeight="1">
      <c r="A1142" s="198"/>
    </row>
    <row r="1143" spans="1:1" s="199" customFormat="1" ht="12" hidden="1" customHeight="1">
      <c r="A1143" s="198"/>
    </row>
    <row r="1144" spans="1:1" s="199" customFormat="1" ht="12" hidden="1" customHeight="1">
      <c r="A1144" s="198"/>
    </row>
    <row r="1145" spans="1:1" s="199" customFormat="1" ht="12" hidden="1" customHeight="1">
      <c r="A1145" s="198"/>
    </row>
    <row r="1146" spans="1:1" s="199" customFormat="1" ht="12" hidden="1" customHeight="1">
      <c r="A1146" s="198"/>
    </row>
    <row r="1147" spans="1:1" s="199" customFormat="1" ht="12" hidden="1" customHeight="1">
      <c r="A1147" s="198"/>
    </row>
    <row r="1148" spans="1:1" s="199" customFormat="1" ht="12" hidden="1" customHeight="1">
      <c r="A1148" s="198"/>
    </row>
    <row r="1149" spans="1:1" s="199" customFormat="1" ht="12" hidden="1" customHeight="1">
      <c r="A1149" s="198"/>
    </row>
    <row r="1150" spans="1:1" s="199" customFormat="1" ht="12" hidden="1" customHeight="1">
      <c r="A1150" s="198"/>
    </row>
    <row r="1151" spans="1:1" s="199" customFormat="1" ht="12" hidden="1" customHeight="1">
      <c r="A1151" s="198"/>
    </row>
    <row r="1152" spans="1:1" s="199" customFormat="1" ht="12" hidden="1" customHeight="1">
      <c r="A1152" s="198"/>
    </row>
    <row r="1153" spans="1:1" s="199" customFormat="1" ht="12" hidden="1" customHeight="1">
      <c r="A1153" s="198"/>
    </row>
    <row r="1154" spans="1:1" s="199" customFormat="1" ht="12" hidden="1" customHeight="1">
      <c r="A1154" s="198"/>
    </row>
    <row r="1155" spans="1:1" s="199" customFormat="1" ht="12" hidden="1" customHeight="1">
      <c r="A1155" s="198"/>
    </row>
    <row r="1156" spans="1:1" s="199" customFormat="1" ht="12" hidden="1" customHeight="1">
      <c r="A1156" s="198"/>
    </row>
    <row r="1157" spans="1:1" s="199" customFormat="1" ht="12" hidden="1" customHeight="1">
      <c r="A1157" s="198"/>
    </row>
    <row r="1158" spans="1:1" s="199" customFormat="1" ht="12" hidden="1" customHeight="1">
      <c r="A1158" s="198"/>
    </row>
    <row r="1159" spans="1:1" s="199" customFormat="1" ht="12" hidden="1" customHeight="1">
      <c r="A1159" s="198"/>
    </row>
    <row r="1160" spans="1:1" s="199" customFormat="1" ht="12" hidden="1" customHeight="1">
      <c r="A1160" s="198"/>
    </row>
    <row r="1161" spans="1:1" s="199" customFormat="1" ht="12" hidden="1" customHeight="1">
      <c r="A1161" s="198"/>
    </row>
    <row r="1162" spans="1:1" s="199" customFormat="1" ht="12" hidden="1" customHeight="1">
      <c r="A1162" s="198"/>
    </row>
    <row r="1163" spans="1:1" s="199" customFormat="1" ht="12" hidden="1" customHeight="1">
      <c r="A1163" s="198"/>
    </row>
    <row r="1164" spans="1:1" s="199" customFormat="1" ht="12" hidden="1" customHeight="1">
      <c r="A1164" s="198"/>
    </row>
    <row r="1165" spans="1:1" s="199" customFormat="1" ht="12" hidden="1" customHeight="1">
      <c r="A1165" s="198"/>
    </row>
    <row r="1166" spans="1:1" s="199" customFormat="1" ht="12" hidden="1" customHeight="1">
      <c r="A1166" s="198"/>
    </row>
    <row r="1167" spans="1:1" s="199" customFormat="1" ht="12" hidden="1" customHeight="1">
      <c r="A1167" s="198"/>
    </row>
    <row r="1168" spans="1:1" s="199" customFormat="1" ht="12" hidden="1" customHeight="1">
      <c r="A1168" s="198"/>
    </row>
    <row r="1169" spans="1:1" s="199" customFormat="1" ht="12" hidden="1" customHeight="1">
      <c r="A1169" s="198"/>
    </row>
    <row r="1170" spans="1:1" s="199" customFormat="1" ht="12" hidden="1" customHeight="1">
      <c r="A1170" s="198"/>
    </row>
    <row r="1171" spans="1:1" s="199" customFormat="1" ht="12" hidden="1" customHeight="1">
      <c r="A1171" s="198"/>
    </row>
    <row r="1172" spans="1:1" s="199" customFormat="1" ht="12" hidden="1" customHeight="1">
      <c r="A1172" s="198"/>
    </row>
    <row r="1173" spans="1:1" s="199" customFormat="1" ht="12" hidden="1" customHeight="1">
      <c r="A1173" s="198"/>
    </row>
    <row r="1174" spans="1:1" s="199" customFormat="1" ht="12" hidden="1" customHeight="1">
      <c r="A1174" s="198"/>
    </row>
    <row r="1175" spans="1:1" s="199" customFormat="1" ht="12" hidden="1" customHeight="1">
      <c r="A1175" s="198"/>
    </row>
    <row r="1176" spans="1:1" s="199" customFormat="1" ht="12" hidden="1" customHeight="1">
      <c r="A1176" s="198"/>
    </row>
    <row r="1177" spans="1:1" s="199" customFormat="1" ht="12" hidden="1" customHeight="1">
      <c r="A1177" s="198"/>
    </row>
    <row r="1178" spans="1:1" s="199" customFormat="1" ht="12" hidden="1" customHeight="1">
      <c r="A1178" s="198"/>
    </row>
    <row r="1179" spans="1:1" s="199" customFormat="1" ht="12" hidden="1" customHeight="1">
      <c r="A1179" s="198"/>
    </row>
    <row r="1180" spans="1:1" s="199" customFormat="1" ht="12" hidden="1" customHeight="1">
      <c r="A1180" s="198"/>
    </row>
    <row r="1181" spans="1:1" s="199" customFormat="1" ht="12" hidden="1" customHeight="1">
      <c r="A1181" s="198"/>
    </row>
    <row r="1182" spans="1:1" s="199" customFormat="1" ht="12" hidden="1" customHeight="1">
      <c r="A1182" s="198"/>
    </row>
    <row r="1183" spans="1:1" s="199" customFormat="1" ht="12" hidden="1" customHeight="1">
      <c r="A1183" s="198"/>
    </row>
    <row r="1184" spans="1:1" s="199" customFormat="1" ht="12" hidden="1" customHeight="1">
      <c r="A1184" s="198"/>
    </row>
    <row r="1185" spans="1:1" s="199" customFormat="1" ht="12" hidden="1" customHeight="1">
      <c r="A1185" s="198"/>
    </row>
    <row r="1186" spans="1:1" s="199" customFormat="1" ht="12" hidden="1" customHeight="1">
      <c r="A1186" s="198"/>
    </row>
    <row r="1187" spans="1:1" s="199" customFormat="1" ht="12" hidden="1" customHeight="1">
      <c r="A1187" s="198"/>
    </row>
    <row r="1188" spans="1:1" s="199" customFormat="1" ht="12" hidden="1" customHeight="1">
      <c r="A1188" s="198"/>
    </row>
    <row r="1189" spans="1:1" s="199" customFormat="1" ht="12" hidden="1" customHeight="1">
      <c r="A1189" s="198"/>
    </row>
    <row r="1190" spans="1:1" s="199" customFormat="1" ht="12" hidden="1" customHeight="1">
      <c r="A1190" s="198"/>
    </row>
    <row r="1191" spans="1:1" s="199" customFormat="1" ht="12" hidden="1" customHeight="1">
      <c r="A1191" s="198"/>
    </row>
    <row r="1192" spans="1:1" s="199" customFormat="1" ht="12" hidden="1" customHeight="1">
      <c r="A1192" s="198"/>
    </row>
    <row r="1193" spans="1:1" s="199" customFormat="1" ht="12" hidden="1" customHeight="1">
      <c r="A1193" s="198"/>
    </row>
    <row r="1194" spans="1:1" s="199" customFormat="1" ht="12" hidden="1" customHeight="1">
      <c r="A1194" s="198"/>
    </row>
    <row r="1195" spans="1:1" s="199" customFormat="1" ht="12" hidden="1" customHeight="1">
      <c r="A1195" s="198"/>
    </row>
    <row r="1196" spans="1:1" s="199" customFormat="1" ht="12" hidden="1" customHeight="1">
      <c r="A1196" s="198"/>
    </row>
    <row r="1197" spans="1:1" s="199" customFormat="1" ht="12" hidden="1" customHeight="1">
      <c r="A1197" s="198"/>
    </row>
    <row r="1198" spans="1:1" s="199" customFormat="1" ht="12" hidden="1" customHeight="1">
      <c r="A1198" s="198"/>
    </row>
    <row r="1199" spans="1:1" s="199" customFormat="1" ht="12" hidden="1" customHeight="1">
      <c r="A1199" s="198"/>
    </row>
    <row r="1200" spans="1:1" s="199" customFormat="1" ht="12" hidden="1" customHeight="1">
      <c r="A1200" s="198"/>
    </row>
    <row r="1201" spans="1:1" s="199" customFormat="1" ht="12" hidden="1" customHeight="1">
      <c r="A1201" s="198"/>
    </row>
    <row r="1202" spans="1:1" s="199" customFormat="1" ht="12" hidden="1" customHeight="1">
      <c r="A1202" s="198"/>
    </row>
    <row r="1203" spans="1:1" s="199" customFormat="1" ht="12" hidden="1" customHeight="1">
      <c r="A1203" s="198"/>
    </row>
    <row r="1204" spans="1:1" s="199" customFormat="1" ht="12" hidden="1" customHeight="1">
      <c r="A1204" s="198"/>
    </row>
    <row r="1205" spans="1:1" s="199" customFormat="1" ht="12" hidden="1" customHeight="1">
      <c r="A1205" s="198"/>
    </row>
    <row r="1206" spans="1:1" s="199" customFormat="1" ht="12" hidden="1" customHeight="1">
      <c r="A1206" s="198"/>
    </row>
    <row r="1207" spans="1:1" s="199" customFormat="1" ht="12" hidden="1" customHeight="1">
      <c r="A1207" s="198"/>
    </row>
    <row r="1208" spans="1:1" s="199" customFormat="1" ht="12" hidden="1" customHeight="1">
      <c r="A1208" s="198"/>
    </row>
    <row r="1209" spans="1:1" s="199" customFormat="1" ht="12" hidden="1" customHeight="1">
      <c r="A1209" s="198"/>
    </row>
    <row r="1210" spans="1:1" s="199" customFormat="1" ht="12" hidden="1" customHeight="1">
      <c r="A1210" s="198"/>
    </row>
    <row r="1211" spans="1:1" s="199" customFormat="1" ht="12" hidden="1" customHeight="1">
      <c r="A1211" s="198"/>
    </row>
    <row r="1212" spans="1:1" s="199" customFormat="1" ht="12" hidden="1" customHeight="1">
      <c r="A1212" s="198"/>
    </row>
    <row r="1213" spans="1:1" s="199" customFormat="1" ht="12" hidden="1" customHeight="1">
      <c r="A1213" s="198"/>
    </row>
    <row r="1214" spans="1:1" s="199" customFormat="1" ht="12" hidden="1" customHeight="1">
      <c r="A1214" s="198"/>
    </row>
    <row r="1215" spans="1:1" s="199" customFormat="1" ht="12" hidden="1" customHeight="1">
      <c r="A1215" s="198"/>
    </row>
    <row r="1216" spans="1:1" s="199" customFormat="1" ht="12" hidden="1" customHeight="1">
      <c r="A1216" s="198"/>
    </row>
    <row r="1217" spans="1:1" s="199" customFormat="1" ht="12" hidden="1" customHeight="1">
      <c r="A1217" s="198"/>
    </row>
    <row r="1218" spans="1:1" s="199" customFormat="1" ht="12" hidden="1" customHeight="1">
      <c r="A1218" s="198"/>
    </row>
    <row r="1219" spans="1:1" s="199" customFormat="1" ht="12" hidden="1" customHeight="1">
      <c r="A1219" s="198"/>
    </row>
    <row r="1220" spans="1:1" s="199" customFormat="1" ht="12" hidden="1" customHeight="1">
      <c r="A1220" s="198"/>
    </row>
    <row r="1221" spans="1:1" s="199" customFormat="1" ht="12" hidden="1" customHeight="1">
      <c r="A1221" s="198"/>
    </row>
    <row r="1222" spans="1:1" s="199" customFormat="1" ht="12" hidden="1" customHeight="1">
      <c r="A1222" s="198"/>
    </row>
    <row r="1223" spans="1:1" s="199" customFormat="1" ht="12" hidden="1" customHeight="1">
      <c r="A1223" s="198"/>
    </row>
    <row r="1224" spans="1:1" s="199" customFormat="1" ht="12" hidden="1" customHeight="1">
      <c r="A1224" s="198"/>
    </row>
    <row r="1225" spans="1:1" s="199" customFormat="1" ht="12" hidden="1" customHeight="1">
      <c r="A1225" s="198"/>
    </row>
    <row r="1226" spans="1:1" s="199" customFormat="1" ht="12" hidden="1" customHeight="1">
      <c r="A1226" s="198"/>
    </row>
    <row r="1227" spans="1:1" s="199" customFormat="1" ht="12" hidden="1" customHeight="1">
      <c r="A1227" s="198"/>
    </row>
    <row r="1228" spans="1:1" s="199" customFormat="1" ht="12" hidden="1" customHeight="1">
      <c r="A1228" s="198"/>
    </row>
    <row r="1229" spans="1:1" s="199" customFormat="1" ht="12" hidden="1" customHeight="1">
      <c r="A1229" s="198"/>
    </row>
    <row r="1230" spans="1:1" s="199" customFormat="1" ht="12" hidden="1" customHeight="1">
      <c r="A1230" s="198"/>
    </row>
    <row r="1231" spans="1:1" s="199" customFormat="1" ht="12" hidden="1" customHeight="1">
      <c r="A1231" s="198"/>
    </row>
    <row r="1232" spans="1:1" s="199" customFormat="1" ht="12" hidden="1" customHeight="1">
      <c r="A1232" s="198"/>
    </row>
    <row r="1233" spans="1:1" s="199" customFormat="1" ht="12" hidden="1" customHeight="1">
      <c r="A1233" s="198"/>
    </row>
    <row r="1234" spans="1:1" s="199" customFormat="1" ht="12" hidden="1" customHeight="1">
      <c r="A1234" s="198"/>
    </row>
    <row r="1235" spans="1:1" s="199" customFormat="1" ht="12" hidden="1" customHeight="1">
      <c r="A1235" s="198"/>
    </row>
    <row r="1236" spans="1:1" s="199" customFormat="1" ht="12" hidden="1" customHeight="1">
      <c r="A1236" s="198"/>
    </row>
    <row r="1237" spans="1:1" s="199" customFormat="1" ht="12" hidden="1" customHeight="1">
      <c r="A1237" s="198"/>
    </row>
    <row r="1238" spans="1:1" s="199" customFormat="1" ht="12" hidden="1" customHeight="1">
      <c r="A1238" s="198"/>
    </row>
    <row r="1239" spans="1:1" s="199" customFormat="1" ht="12" hidden="1" customHeight="1">
      <c r="A1239" s="198"/>
    </row>
    <row r="1240" spans="1:1" s="199" customFormat="1" ht="12" hidden="1" customHeight="1">
      <c r="A1240" s="198"/>
    </row>
    <row r="1241" spans="1:1" s="199" customFormat="1" ht="12" hidden="1" customHeight="1">
      <c r="A1241" s="198"/>
    </row>
    <row r="1242" spans="1:1" s="199" customFormat="1" ht="12" hidden="1" customHeight="1">
      <c r="A1242" s="198"/>
    </row>
    <row r="1243" spans="1:1" s="199" customFormat="1" ht="12" hidden="1" customHeight="1">
      <c r="A1243" s="198"/>
    </row>
    <row r="1244" spans="1:1" s="199" customFormat="1" ht="12" hidden="1" customHeight="1">
      <c r="A1244" s="198"/>
    </row>
    <row r="1245" spans="1:1" s="199" customFormat="1" ht="12" hidden="1" customHeight="1">
      <c r="A1245" s="198"/>
    </row>
    <row r="1246" spans="1:1" s="199" customFormat="1" ht="12" hidden="1" customHeight="1">
      <c r="A1246" s="198"/>
    </row>
    <row r="1247" spans="1:1" s="199" customFormat="1" ht="12" hidden="1" customHeight="1">
      <c r="A1247" s="198"/>
    </row>
    <row r="1248" spans="1:1" s="199" customFormat="1" ht="12" hidden="1" customHeight="1">
      <c r="A1248" s="198"/>
    </row>
    <row r="1249" spans="1:1" s="199" customFormat="1" ht="12" hidden="1" customHeight="1">
      <c r="A1249" s="198"/>
    </row>
    <row r="1250" spans="1:1" s="199" customFormat="1" ht="12" hidden="1" customHeight="1">
      <c r="A1250" s="198"/>
    </row>
    <row r="1251" spans="1:1" s="199" customFormat="1" ht="12" hidden="1" customHeight="1">
      <c r="A1251" s="198"/>
    </row>
    <row r="1252" spans="1:1" s="199" customFormat="1" ht="12" hidden="1" customHeight="1">
      <c r="A1252" s="198"/>
    </row>
    <row r="1253" spans="1:1" s="199" customFormat="1" ht="12" hidden="1" customHeight="1">
      <c r="A1253" s="198"/>
    </row>
    <row r="1254" spans="1:1" s="199" customFormat="1" ht="12" hidden="1" customHeight="1">
      <c r="A1254" s="198"/>
    </row>
    <row r="1255" spans="1:1" s="199" customFormat="1" ht="12" hidden="1" customHeight="1">
      <c r="A1255" s="198"/>
    </row>
    <row r="1256" spans="1:1" s="199" customFormat="1" ht="12" hidden="1" customHeight="1">
      <c r="A1256" s="198"/>
    </row>
    <row r="1257" spans="1:1" s="199" customFormat="1" ht="12" hidden="1" customHeight="1">
      <c r="A1257" s="198"/>
    </row>
    <row r="1258" spans="1:1" s="199" customFormat="1" ht="12" hidden="1" customHeight="1">
      <c r="A1258" s="198"/>
    </row>
    <row r="1259" spans="1:1" s="199" customFormat="1" ht="12" hidden="1" customHeight="1">
      <c r="A1259" s="198"/>
    </row>
    <row r="1260" spans="1:1" s="199" customFormat="1" ht="12" hidden="1" customHeight="1">
      <c r="A1260" s="198"/>
    </row>
    <row r="1261" spans="1:1" s="199" customFormat="1" ht="12" hidden="1" customHeight="1">
      <c r="A1261" s="198"/>
    </row>
    <row r="1262" spans="1:1" s="199" customFormat="1" ht="12" hidden="1" customHeight="1">
      <c r="A1262" s="198"/>
    </row>
    <row r="1263" spans="1:1" s="199" customFormat="1" ht="12" hidden="1" customHeight="1">
      <c r="A1263" s="198"/>
    </row>
    <row r="1264" spans="1:1" s="199" customFormat="1" ht="12" hidden="1" customHeight="1">
      <c r="A1264" s="198"/>
    </row>
    <row r="1265" spans="1:1" s="199" customFormat="1" ht="12" hidden="1" customHeight="1">
      <c r="A1265" s="198"/>
    </row>
    <row r="1266" spans="1:1" s="199" customFormat="1" ht="12" hidden="1" customHeight="1">
      <c r="A1266" s="198"/>
    </row>
    <row r="1267" spans="1:1" s="199" customFormat="1" ht="12" hidden="1" customHeight="1">
      <c r="A1267" s="198"/>
    </row>
    <row r="1268" spans="1:1" s="199" customFormat="1" ht="12" hidden="1" customHeight="1">
      <c r="A1268" s="198"/>
    </row>
    <row r="1269" spans="1:1" s="199" customFormat="1" ht="12" hidden="1" customHeight="1">
      <c r="A1269" s="198"/>
    </row>
    <row r="1270" spans="1:1" s="199" customFormat="1" ht="12" hidden="1" customHeight="1">
      <c r="A1270" s="198"/>
    </row>
    <row r="1271" spans="1:1" s="199" customFormat="1" ht="12" hidden="1" customHeight="1">
      <c r="A1271" s="198"/>
    </row>
    <row r="1272" spans="1:1" s="199" customFormat="1" ht="12" hidden="1" customHeight="1">
      <c r="A1272" s="198"/>
    </row>
    <row r="1273" spans="1:1" s="199" customFormat="1" ht="12" hidden="1" customHeight="1">
      <c r="A1273" s="198"/>
    </row>
    <row r="1274" spans="1:1" s="199" customFormat="1" ht="12" hidden="1" customHeight="1">
      <c r="A1274" s="198"/>
    </row>
    <row r="1275" spans="1:1" s="199" customFormat="1" ht="12" hidden="1" customHeight="1">
      <c r="A1275" s="198"/>
    </row>
    <row r="1276" spans="1:1" s="199" customFormat="1" ht="12" hidden="1" customHeight="1">
      <c r="A1276" s="198"/>
    </row>
    <row r="1277" spans="1:1" s="199" customFormat="1" ht="12" hidden="1" customHeight="1">
      <c r="A1277" s="198"/>
    </row>
    <row r="1278" spans="1:1" s="199" customFormat="1" ht="12" hidden="1" customHeight="1">
      <c r="A1278" s="198"/>
    </row>
    <row r="1279" spans="1:1" s="199" customFormat="1" ht="12" hidden="1" customHeight="1">
      <c r="A1279" s="198"/>
    </row>
    <row r="1280" spans="1:1" s="199" customFormat="1" ht="12" hidden="1" customHeight="1">
      <c r="A1280" s="198"/>
    </row>
    <row r="1281" spans="1:1" s="199" customFormat="1" ht="12" hidden="1" customHeight="1">
      <c r="A1281" s="198"/>
    </row>
    <row r="1282" spans="1:1" s="199" customFormat="1" ht="12" hidden="1" customHeight="1">
      <c r="A1282" s="198"/>
    </row>
    <row r="1283" spans="1:1" s="199" customFormat="1" ht="12" hidden="1" customHeight="1">
      <c r="A1283" s="198"/>
    </row>
    <row r="1284" spans="1:1" s="199" customFormat="1" ht="12" hidden="1" customHeight="1">
      <c r="A1284" s="198"/>
    </row>
    <row r="1285" spans="1:1" s="199" customFormat="1" ht="12" hidden="1" customHeight="1">
      <c r="A1285" s="198"/>
    </row>
    <row r="1286" spans="1:1" s="199" customFormat="1" ht="12" hidden="1" customHeight="1">
      <c r="A1286" s="198"/>
    </row>
    <row r="1287" spans="1:1" s="199" customFormat="1" ht="12" hidden="1" customHeight="1">
      <c r="A1287" s="198"/>
    </row>
    <row r="1288" spans="1:1" s="199" customFormat="1" ht="12" hidden="1" customHeight="1">
      <c r="A1288" s="198"/>
    </row>
    <row r="1289" spans="1:1" s="199" customFormat="1" ht="12" hidden="1" customHeight="1">
      <c r="A1289" s="198"/>
    </row>
    <row r="1290" spans="1:1" s="199" customFormat="1" ht="12" hidden="1" customHeight="1">
      <c r="A1290" s="198"/>
    </row>
    <row r="1291" spans="1:1" s="199" customFormat="1" ht="12" hidden="1" customHeight="1">
      <c r="A1291" s="198"/>
    </row>
    <row r="1292" spans="1:1" s="199" customFormat="1" ht="12" hidden="1" customHeight="1">
      <c r="A1292" s="198"/>
    </row>
    <row r="1293" spans="1:1" s="199" customFormat="1" ht="12" hidden="1" customHeight="1">
      <c r="A1293" s="198"/>
    </row>
    <row r="1294" spans="1:1" s="199" customFormat="1" ht="12" hidden="1" customHeight="1">
      <c r="A1294" s="198"/>
    </row>
    <row r="1295" spans="1:1" s="199" customFormat="1" ht="12" hidden="1" customHeight="1">
      <c r="A1295" s="198"/>
    </row>
    <row r="1296" spans="1:1" s="199" customFormat="1" ht="12" hidden="1" customHeight="1">
      <c r="A1296" s="198"/>
    </row>
    <row r="1297" spans="1:1" s="199" customFormat="1" ht="12" hidden="1" customHeight="1">
      <c r="A1297" s="198"/>
    </row>
    <row r="1298" spans="1:1" s="199" customFormat="1" ht="12" hidden="1" customHeight="1">
      <c r="A1298" s="198"/>
    </row>
    <row r="1299" spans="1:1" s="199" customFormat="1" ht="12" hidden="1" customHeight="1">
      <c r="A1299" s="198"/>
    </row>
    <row r="1300" spans="1:1" s="199" customFormat="1" ht="12" hidden="1" customHeight="1">
      <c r="A1300" s="198"/>
    </row>
    <row r="1301" spans="1:1" s="199" customFormat="1" ht="12" hidden="1" customHeight="1">
      <c r="A1301" s="198"/>
    </row>
    <row r="1302" spans="1:1" s="199" customFormat="1" ht="12" hidden="1" customHeight="1">
      <c r="A1302" s="198"/>
    </row>
    <row r="1303" spans="1:1" s="199" customFormat="1" ht="12" hidden="1" customHeight="1">
      <c r="A1303" s="198"/>
    </row>
    <row r="1304" spans="1:1" s="199" customFormat="1" ht="12" hidden="1" customHeight="1">
      <c r="A1304" s="198"/>
    </row>
    <row r="1305" spans="1:1" s="199" customFormat="1" ht="12" hidden="1" customHeight="1">
      <c r="A1305" s="198"/>
    </row>
    <row r="1306" spans="1:1" s="199" customFormat="1" ht="12" hidden="1" customHeight="1">
      <c r="A1306" s="198"/>
    </row>
    <row r="1307" spans="1:1" s="199" customFormat="1" ht="12" hidden="1" customHeight="1">
      <c r="A1307" s="198"/>
    </row>
    <row r="1308" spans="1:1" s="199" customFormat="1" ht="12" hidden="1" customHeight="1">
      <c r="A1308" s="198"/>
    </row>
    <row r="1309" spans="1:1" s="199" customFormat="1" ht="12" hidden="1" customHeight="1">
      <c r="A1309" s="198"/>
    </row>
    <row r="1310" spans="1:1" s="199" customFormat="1" ht="12" hidden="1" customHeight="1">
      <c r="A1310" s="198"/>
    </row>
    <row r="1311" spans="1:1" s="199" customFormat="1" ht="12" hidden="1" customHeight="1">
      <c r="A1311" s="198"/>
    </row>
    <row r="1312" spans="1:1" s="199" customFormat="1" ht="12" hidden="1" customHeight="1">
      <c r="A1312" s="198"/>
    </row>
    <row r="1313" spans="1:1" s="199" customFormat="1" ht="12" hidden="1" customHeight="1">
      <c r="A1313" s="198"/>
    </row>
    <row r="1314" spans="1:1" s="199" customFormat="1" ht="12" hidden="1" customHeight="1">
      <c r="A1314" s="198"/>
    </row>
    <row r="1315" spans="1:1" s="199" customFormat="1" ht="12" hidden="1" customHeight="1">
      <c r="A1315" s="198"/>
    </row>
    <row r="1316" spans="1:1" s="199" customFormat="1" ht="12" hidden="1" customHeight="1">
      <c r="A1316" s="198"/>
    </row>
    <row r="1317" spans="1:1" s="199" customFormat="1" ht="12" hidden="1" customHeight="1">
      <c r="A1317" s="198"/>
    </row>
    <row r="1318" spans="1:1" s="199" customFormat="1" ht="12" hidden="1" customHeight="1">
      <c r="A1318" s="198"/>
    </row>
    <row r="1319" spans="1:1" s="199" customFormat="1" ht="12" hidden="1" customHeight="1">
      <c r="A1319" s="198"/>
    </row>
    <row r="1320" spans="1:1" s="199" customFormat="1" ht="12" hidden="1" customHeight="1">
      <c r="A1320" s="198"/>
    </row>
    <row r="1321" spans="1:1" s="199" customFormat="1" ht="12" hidden="1" customHeight="1">
      <c r="A1321" s="198"/>
    </row>
    <row r="1322" spans="1:1" s="199" customFormat="1" ht="12" hidden="1" customHeight="1">
      <c r="A1322" s="198"/>
    </row>
    <row r="1323" spans="1:1" s="199" customFormat="1" ht="12" hidden="1" customHeight="1">
      <c r="A1323" s="198"/>
    </row>
    <row r="1324" spans="1:1" s="199" customFormat="1" ht="12" hidden="1" customHeight="1">
      <c r="A1324" s="198"/>
    </row>
    <row r="1325" spans="1:1" s="199" customFormat="1" ht="12" hidden="1" customHeight="1">
      <c r="A1325" s="198"/>
    </row>
    <row r="1326" spans="1:1" s="199" customFormat="1" ht="12" hidden="1" customHeight="1">
      <c r="A1326" s="198"/>
    </row>
    <row r="1327" spans="1:1" s="199" customFormat="1" ht="12" hidden="1" customHeight="1">
      <c r="A1327" s="198"/>
    </row>
    <row r="1328" spans="1:1" s="199" customFormat="1" ht="12" hidden="1" customHeight="1">
      <c r="A1328" s="198"/>
    </row>
    <row r="1329" spans="1:1" s="199" customFormat="1" ht="12" hidden="1" customHeight="1">
      <c r="A1329" s="198"/>
    </row>
    <row r="1330" spans="1:1" s="199" customFormat="1" ht="12" hidden="1" customHeight="1">
      <c r="A1330" s="198"/>
    </row>
    <row r="1331" spans="1:1" s="199" customFormat="1" ht="12" hidden="1" customHeight="1">
      <c r="A1331" s="198"/>
    </row>
    <row r="1332" spans="1:1" s="199" customFormat="1" ht="12" hidden="1" customHeight="1">
      <c r="A1332" s="198"/>
    </row>
    <row r="1333" spans="1:1" s="199" customFormat="1" ht="12" hidden="1" customHeight="1">
      <c r="A1333" s="198"/>
    </row>
    <row r="1334" spans="1:1" s="199" customFormat="1" ht="12" hidden="1" customHeight="1">
      <c r="A1334" s="198"/>
    </row>
    <row r="1335" spans="1:1" s="199" customFormat="1" ht="12" hidden="1" customHeight="1">
      <c r="A1335" s="198"/>
    </row>
    <row r="1336" spans="1:1" s="199" customFormat="1" ht="12" hidden="1" customHeight="1">
      <c r="A1336" s="198"/>
    </row>
    <row r="1337" spans="1:1" s="199" customFormat="1" ht="12" hidden="1" customHeight="1">
      <c r="A1337" s="198"/>
    </row>
    <row r="1338" spans="1:1" s="199" customFormat="1" ht="12" hidden="1" customHeight="1">
      <c r="A1338" s="198"/>
    </row>
    <row r="1339" spans="1:1" s="199" customFormat="1" ht="12" hidden="1" customHeight="1">
      <c r="A1339" s="198"/>
    </row>
    <row r="1340" spans="1:1" s="199" customFormat="1" ht="12" hidden="1" customHeight="1">
      <c r="A1340" s="198"/>
    </row>
    <row r="1341" spans="1:1" s="199" customFormat="1" ht="12" hidden="1" customHeight="1">
      <c r="A1341" s="198"/>
    </row>
    <row r="1342" spans="1:1" s="199" customFormat="1" ht="12" hidden="1" customHeight="1">
      <c r="A1342" s="198"/>
    </row>
    <row r="1343" spans="1:1" s="199" customFormat="1" ht="12" hidden="1" customHeight="1">
      <c r="A1343" s="198"/>
    </row>
    <row r="1344" spans="1:1" s="199" customFormat="1" ht="12" hidden="1" customHeight="1">
      <c r="A1344" s="198"/>
    </row>
    <row r="1345" spans="1:1" s="199" customFormat="1" ht="12" hidden="1" customHeight="1">
      <c r="A1345" s="198"/>
    </row>
    <row r="1346" spans="1:1" s="199" customFormat="1" ht="12" hidden="1" customHeight="1">
      <c r="A1346" s="198"/>
    </row>
    <row r="1347" spans="1:1" s="199" customFormat="1" ht="12" hidden="1" customHeight="1">
      <c r="A1347" s="198"/>
    </row>
    <row r="1348" spans="1:1" s="199" customFormat="1" ht="12" hidden="1" customHeight="1">
      <c r="A1348" s="198"/>
    </row>
    <row r="1349" spans="1:1" s="199" customFormat="1" ht="12" hidden="1" customHeight="1">
      <c r="A1349" s="198"/>
    </row>
    <row r="1350" spans="1:1" s="199" customFormat="1" ht="12" hidden="1" customHeight="1">
      <c r="A1350" s="198"/>
    </row>
    <row r="1351" spans="1:1" s="199" customFormat="1" ht="12" hidden="1" customHeight="1">
      <c r="A1351" s="198"/>
    </row>
    <row r="1352" spans="1:1" s="199" customFormat="1" ht="12" hidden="1" customHeight="1">
      <c r="A1352" s="198"/>
    </row>
    <row r="1353" spans="1:1" s="199" customFormat="1" ht="12" hidden="1" customHeight="1">
      <c r="A1353" s="198"/>
    </row>
    <row r="1354" spans="1:1" s="199" customFormat="1" ht="12" hidden="1" customHeight="1">
      <c r="A1354" s="198"/>
    </row>
    <row r="1355" spans="1:1" s="199" customFormat="1" ht="12" hidden="1" customHeight="1">
      <c r="A1355" s="198"/>
    </row>
    <row r="1356" spans="1:1" s="199" customFormat="1" ht="12" hidden="1" customHeight="1">
      <c r="A1356" s="198"/>
    </row>
    <row r="1357" spans="1:1" s="199" customFormat="1" ht="12" hidden="1" customHeight="1">
      <c r="A1357" s="198"/>
    </row>
    <row r="1358" spans="1:1" s="199" customFormat="1" ht="12" hidden="1" customHeight="1">
      <c r="A1358" s="198"/>
    </row>
    <row r="1359" spans="1:1" s="199" customFormat="1" ht="12" hidden="1" customHeight="1">
      <c r="A1359" s="198"/>
    </row>
    <row r="1360" spans="1:1" s="199" customFormat="1" ht="12" hidden="1" customHeight="1">
      <c r="A1360" s="198"/>
    </row>
    <row r="1361" spans="1:1" s="199" customFormat="1" ht="12" hidden="1" customHeight="1">
      <c r="A1361" s="198"/>
    </row>
    <row r="1362" spans="1:1" s="199" customFormat="1" ht="12" hidden="1" customHeight="1">
      <c r="A1362" s="198"/>
    </row>
    <row r="1363" spans="1:1" s="199" customFormat="1" ht="12" hidden="1" customHeight="1">
      <c r="A1363" s="198"/>
    </row>
    <row r="1364" spans="1:1" s="199" customFormat="1" ht="12" hidden="1" customHeight="1">
      <c r="A1364" s="198"/>
    </row>
    <row r="1365" spans="1:1" s="199" customFormat="1" ht="12" hidden="1" customHeight="1">
      <c r="A1365" s="198"/>
    </row>
    <row r="1366" spans="1:1" s="199" customFormat="1" ht="12" hidden="1" customHeight="1">
      <c r="A1366" s="198"/>
    </row>
    <row r="1367" spans="1:1" s="199" customFormat="1" ht="12" hidden="1" customHeight="1">
      <c r="A1367" s="198"/>
    </row>
    <row r="1368" spans="1:1" s="199" customFormat="1" ht="12" hidden="1" customHeight="1">
      <c r="A1368" s="198"/>
    </row>
    <row r="1369" spans="1:1" s="199" customFormat="1" ht="12" hidden="1" customHeight="1">
      <c r="A1369" s="198"/>
    </row>
    <row r="1370" spans="1:1" s="199" customFormat="1" ht="12" hidden="1" customHeight="1">
      <c r="A1370" s="198"/>
    </row>
    <row r="1371" spans="1:1" s="199" customFormat="1" ht="12" hidden="1" customHeight="1">
      <c r="A1371" s="198"/>
    </row>
    <row r="1372" spans="1:1" s="199" customFormat="1" ht="12" hidden="1" customHeight="1">
      <c r="A1372" s="198"/>
    </row>
    <row r="1373" spans="1:1" s="199" customFormat="1" ht="12" hidden="1" customHeight="1">
      <c r="A1373" s="198"/>
    </row>
    <row r="1374" spans="1:1" s="199" customFormat="1" ht="12" hidden="1" customHeight="1">
      <c r="A1374" s="198"/>
    </row>
    <row r="1375" spans="1:1" s="199" customFormat="1" ht="12" hidden="1" customHeight="1">
      <c r="A1375" s="198"/>
    </row>
    <row r="1376" spans="1:1" s="199" customFormat="1" ht="12" hidden="1" customHeight="1">
      <c r="A1376" s="198"/>
    </row>
    <row r="1377" spans="1:1" s="199" customFormat="1" ht="12" hidden="1" customHeight="1">
      <c r="A1377" s="198"/>
    </row>
    <row r="1378" spans="1:1" s="199" customFormat="1" ht="12" hidden="1" customHeight="1">
      <c r="A1378" s="198"/>
    </row>
    <row r="1379" spans="1:1" s="199" customFormat="1" ht="12" hidden="1" customHeight="1">
      <c r="A1379" s="198"/>
    </row>
    <row r="1380" spans="1:1" s="199" customFormat="1" ht="12" hidden="1" customHeight="1">
      <c r="A1380" s="198"/>
    </row>
    <row r="1381" spans="1:1" s="199" customFormat="1" ht="12" hidden="1" customHeight="1">
      <c r="A1381" s="198"/>
    </row>
    <row r="1382" spans="1:1" s="199" customFormat="1" ht="12" hidden="1" customHeight="1">
      <c r="A1382" s="198"/>
    </row>
    <row r="1383" spans="1:1" s="199" customFormat="1" ht="12" hidden="1" customHeight="1">
      <c r="A1383" s="198"/>
    </row>
    <row r="1384" spans="1:1" s="199" customFormat="1" ht="12" hidden="1" customHeight="1">
      <c r="A1384" s="198"/>
    </row>
    <row r="1385" spans="1:1" s="199" customFormat="1" ht="12" hidden="1" customHeight="1">
      <c r="A1385" s="198"/>
    </row>
    <row r="1386" spans="1:1" s="199" customFormat="1" ht="12" hidden="1" customHeight="1">
      <c r="A1386" s="198"/>
    </row>
    <row r="1387" spans="1:1" s="199" customFormat="1" ht="12" hidden="1" customHeight="1">
      <c r="A1387" s="198"/>
    </row>
    <row r="1388" spans="1:1" s="199" customFormat="1" ht="12" hidden="1" customHeight="1">
      <c r="A1388" s="198"/>
    </row>
    <row r="1389" spans="1:1" s="199" customFormat="1" ht="12" hidden="1" customHeight="1">
      <c r="A1389" s="198"/>
    </row>
    <row r="1390" spans="1:1" s="199" customFormat="1" ht="12" hidden="1" customHeight="1">
      <c r="A1390" s="198"/>
    </row>
    <row r="1391" spans="1:1" s="199" customFormat="1" ht="12" hidden="1" customHeight="1">
      <c r="A1391" s="198"/>
    </row>
    <row r="1392" spans="1:1" s="199" customFormat="1" ht="12" hidden="1" customHeight="1">
      <c r="A1392" s="198"/>
    </row>
    <row r="1393" spans="1:1" s="199" customFormat="1" ht="12" hidden="1" customHeight="1">
      <c r="A1393" s="198"/>
    </row>
    <row r="1394" spans="1:1" s="199" customFormat="1" ht="12" hidden="1" customHeight="1">
      <c r="A1394" s="198"/>
    </row>
    <row r="1395" spans="1:1" s="199" customFormat="1" ht="12" hidden="1" customHeight="1">
      <c r="A1395" s="198"/>
    </row>
    <row r="1396" spans="1:1" s="199" customFormat="1" ht="12" hidden="1" customHeight="1">
      <c r="A1396" s="198"/>
    </row>
    <row r="1397" spans="1:1" s="199" customFormat="1" ht="12" hidden="1" customHeight="1">
      <c r="A1397" s="198"/>
    </row>
    <row r="1398" spans="1:1" s="199" customFormat="1" ht="12" hidden="1" customHeight="1">
      <c r="A1398" s="198"/>
    </row>
    <row r="1399" spans="1:1" s="199" customFormat="1" ht="12" hidden="1" customHeight="1">
      <c r="A1399" s="198"/>
    </row>
    <row r="1400" spans="1:1" s="199" customFormat="1" ht="12" hidden="1" customHeight="1">
      <c r="A1400" s="198"/>
    </row>
    <row r="1401" spans="1:1" s="199" customFormat="1" ht="12" hidden="1" customHeight="1">
      <c r="A1401" s="198"/>
    </row>
    <row r="1402" spans="1:1" s="199" customFormat="1" ht="12" hidden="1" customHeight="1">
      <c r="A1402" s="198"/>
    </row>
    <row r="1403" spans="1:1" s="199" customFormat="1" ht="12" hidden="1" customHeight="1">
      <c r="A1403" s="198"/>
    </row>
    <row r="1404" spans="1:1" s="199" customFormat="1" ht="12" hidden="1" customHeight="1">
      <c r="A1404" s="198"/>
    </row>
    <row r="1405" spans="1:1" s="199" customFormat="1" ht="12" hidden="1" customHeight="1">
      <c r="A1405" s="198"/>
    </row>
    <row r="1406" spans="1:1" s="199" customFormat="1" ht="12" hidden="1" customHeight="1">
      <c r="A1406" s="198"/>
    </row>
    <row r="1407" spans="1:1" s="199" customFormat="1" ht="12" hidden="1" customHeight="1">
      <c r="A1407" s="198"/>
    </row>
    <row r="1408" spans="1:1" s="199" customFormat="1" ht="12" hidden="1" customHeight="1">
      <c r="A1408" s="198"/>
    </row>
    <row r="1409" spans="1:1" s="199" customFormat="1" ht="12" hidden="1" customHeight="1">
      <c r="A1409" s="198"/>
    </row>
    <row r="1410" spans="1:1" s="199" customFormat="1" ht="12" hidden="1" customHeight="1">
      <c r="A1410" s="198"/>
    </row>
    <row r="1411" spans="1:1" s="199" customFormat="1" ht="12" hidden="1" customHeight="1">
      <c r="A1411" s="198"/>
    </row>
    <row r="1412" spans="1:1" s="199" customFormat="1" ht="12" hidden="1" customHeight="1">
      <c r="A1412" s="198"/>
    </row>
    <row r="1413" spans="1:1" s="199" customFormat="1" ht="12" hidden="1" customHeight="1">
      <c r="A1413" s="198"/>
    </row>
    <row r="1414" spans="1:1" s="199" customFormat="1" ht="12" hidden="1" customHeight="1">
      <c r="A1414" s="198"/>
    </row>
    <row r="1415" spans="1:1" s="199" customFormat="1" ht="12" hidden="1" customHeight="1">
      <c r="A1415" s="198"/>
    </row>
    <row r="1416" spans="1:1" s="199" customFormat="1" ht="12" hidden="1" customHeight="1">
      <c r="A1416" s="198"/>
    </row>
    <row r="1417" spans="1:1" s="199" customFormat="1" ht="12" hidden="1" customHeight="1">
      <c r="A1417" s="198"/>
    </row>
    <row r="1418" spans="1:1" s="199" customFormat="1" ht="12" hidden="1" customHeight="1">
      <c r="A1418" s="198"/>
    </row>
    <row r="1419" spans="1:1" s="199" customFormat="1" ht="12" hidden="1" customHeight="1">
      <c r="A1419" s="198"/>
    </row>
    <row r="1420" spans="1:1" s="199" customFormat="1" ht="12" hidden="1" customHeight="1">
      <c r="A1420" s="198"/>
    </row>
    <row r="1421" spans="1:1" s="199" customFormat="1" ht="12" hidden="1" customHeight="1">
      <c r="A1421" s="198"/>
    </row>
    <row r="1422" spans="1:1" s="199" customFormat="1" ht="12" hidden="1" customHeight="1">
      <c r="A1422" s="198"/>
    </row>
    <row r="1423" spans="1:1" s="199" customFormat="1" ht="12" hidden="1" customHeight="1">
      <c r="A1423" s="198"/>
    </row>
    <row r="1424" spans="1:1" s="199" customFormat="1" ht="12" hidden="1" customHeight="1">
      <c r="A1424" s="198"/>
    </row>
    <row r="1425" spans="1:1" s="199" customFormat="1" ht="12" hidden="1" customHeight="1">
      <c r="A1425" s="198"/>
    </row>
    <row r="1426" spans="1:1" s="199" customFormat="1" ht="12" hidden="1" customHeight="1">
      <c r="A1426" s="198"/>
    </row>
    <row r="1427" spans="1:1" s="199" customFormat="1" ht="12" hidden="1" customHeight="1">
      <c r="A1427" s="198"/>
    </row>
    <row r="1428" spans="1:1" s="199" customFormat="1" ht="12" hidden="1" customHeight="1">
      <c r="A1428" s="198"/>
    </row>
    <row r="1429" spans="1:1" s="199" customFormat="1" ht="12" hidden="1" customHeight="1">
      <c r="A1429" s="198"/>
    </row>
    <row r="1430" spans="1:1" s="199" customFormat="1" ht="12" hidden="1" customHeight="1">
      <c r="A1430" s="198"/>
    </row>
    <row r="1431" spans="1:1" s="199" customFormat="1" ht="12" hidden="1" customHeight="1">
      <c r="A1431" s="198"/>
    </row>
    <row r="1432" spans="1:1" s="199" customFormat="1" ht="12" hidden="1" customHeight="1">
      <c r="A1432" s="198"/>
    </row>
    <row r="1433" spans="1:1" s="199" customFormat="1" ht="12" hidden="1" customHeight="1">
      <c r="A1433" s="198"/>
    </row>
    <row r="1434" spans="1:1" s="199" customFormat="1" ht="12" hidden="1" customHeight="1">
      <c r="A1434" s="198"/>
    </row>
    <row r="1435" spans="1:1" s="199" customFormat="1" ht="12" hidden="1" customHeight="1">
      <c r="A1435" s="198"/>
    </row>
    <row r="1436" spans="1:1" s="199" customFormat="1" ht="12" hidden="1" customHeight="1">
      <c r="A1436" s="198"/>
    </row>
    <row r="1437" spans="1:1" s="199" customFormat="1" ht="12" hidden="1" customHeight="1">
      <c r="A1437" s="198"/>
    </row>
    <row r="1438" spans="1:1" s="199" customFormat="1" ht="12" hidden="1" customHeight="1">
      <c r="A1438" s="198"/>
    </row>
    <row r="1439" spans="1:1" s="199" customFormat="1" ht="12" hidden="1" customHeight="1">
      <c r="A1439" s="198"/>
    </row>
    <row r="1440" spans="1:1" s="199" customFormat="1" ht="12" hidden="1" customHeight="1">
      <c r="A1440" s="198"/>
    </row>
    <row r="1441" spans="1:1" s="199" customFormat="1" ht="12" hidden="1" customHeight="1">
      <c r="A1441" s="198"/>
    </row>
    <row r="1442" spans="1:1" s="199" customFormat="1" ht="12" hidden="1" customHeight="1">
      <c r="A1442" s="198"/>
    </row>
    <row r="1443" spans="1:1" s="199" customFormat="1" ht="12" hidden="1" customHeight="1">
      <c r="A1443" s="198"/>
    </row>
    <row r="1444" spans="1:1" s="199" customFormat="1" ht="12" hidden="1" customHeight="1">
      <c r="A1444" s="198"/>
    </row>
    <row r="1445" spans="1:1" s="199" customFormat="1" ht="12" hidden="1" customHeight="1">
      <c r="A1445" s="198"/>
    </row>
    <row r="1446" spans="1:1" s="199" customFormat="1" ht="12" hidden="1" customHeight="1">
      <c r="A1446" s="198"/>
    </row>
    <row r="1447" spans="1:1" s="199" customFormat="1" ht="12" hidden="1" customHeight="1">
      <c r="A1447" s="198"/>
    </row>
    <row r="1448" spans="1:1" s="199" customFormat="1" ht="12" hidden="1" customHeight="1">
      <c r="A1448" s="198"/>
    </row>
    <row r="1449" spans="1:1" s="199" customFormat="1" ht="12" hidden="1" customHeight="1">
      <c r="A1449" s="198"/>
    </row>
    <row r="1450" spans="1:1" s="199" customFormat="1" ht="12" hidden="1" customHeight="1">
      <c r="A1450" s="198"/>
    </row>
    <row r="1451" spans="1:1" s="199" customFormat="1" ht="12" hidden="1" customHeight="1">
      <c r="A1451" s="198"/>
    </row>
    <row r="1452" spans="1:1" s="199" customFormat="1" ht="12" hidden="1" customHeight="1">
      <c r="A1452" s="198"/>
    </row>
    <row r="1453" spans="1:1" s="199" customFormat="1" ht="12" hidden="1" customHeight="1">
      <c r="A1453" s="198"/>
    </row>
    <row r="1454" spans="1:1" s="199" customFormat="1" ht="12" hidden="1" customHeight="1">
      <c r="A1454" s="198"/>
    </row>
    <row r="1455" spans="1:1" s="199" customFormat="1" ht="12" hidden="1" customHeight="1">
      <c r="A1455" s="198"/>
    </row>
    <row r="1456" spans="1:1" s="199" customFormat="1" ht="12" hidden="1" customHeight="1">
      <c r="A1456" s="198"/>
    </row>
    <row r="1457" spans="1:1" s="199" customFormat="1" ht="12" hidden="1" customHeight="1">
      <c r="A1457" s="198"/>
    </row>
    <row r="1458" spans="1:1" s="199" customFormat="1" ht="12" hidden="1" customHeight="1">
      <c r="A1458" s="198"/>
    </row>
    <row r="1459" spans="1:1" s="199" customFormat="1" ht="12" hidden="1" customHeight="1">
      <c r="A1459" s="198"/>
    </row>
    <row r="1460" spans="1:1" s="199" customFormat="1" ht="12" hidden="1" customHeight="1">
      <c r="A1460" s="198"/>
    </row>
    <row r="1461" spans="1:1" s="199" customFormat="1" ht="12" hidden="1" customHeight="1">
      <c r="A1461" s="198"/>
    </row>
    <row r="1462" spans="1:1" s="199" customFormat="1" ht="12" hidden="1" customHeight="1">
      <c r="A1462" s="198"/>
    </row>
    <row r="1463" spans="1:1" s="199" customFormat="1" ht="12" hidden="1" customHeight="1">
      <c r="A1463" s="198"/>
    </row>
    <row r="1464" spans="1:1" s="199" customFormat="1" ht="12" hidden="1" customHeight="1">
      <c r="A1464" s="198"/>
    </row>
    <row r="1465" spans="1:1" s="199" customFormat="1" ht="12" hidden="1" customHeight="1">
      <c r="A1465" s="198"/>
    </row>
    <row r="1466" spans="1:1" s="199" customFormat="1" ht="12" hidden="1" customHeight="1">
      <c r="A1466" s="198"/>
    </row>
    <row r="1467" spans="1:1" s="199" customFormat="1" ht="12" hidden="1" customHeight="1">
      <c r="A1467" s="198"/>
    </row>
    <row r="1468" spans="1:1" s="199" customFormat="1" ht="12" hidden="1" customHeight="1">
      <c r="A1468" s="198"/>
    </row>
    <row r="1469" spans="1:1" s="199" customFormat="1" ht="12" hidden="1" customHeight="1">
      <c r="A1469" s="198"/>
    </row>
    <row r="1470" spans="1:1" s="199" customFormat="1" ht="12" hidden="1" customHeight="1">
      <c r="A1470" s="198"/>
    </row>
    <row r="1471" spans="1:1" s="199" customFormat="1" ht="12" hidden="1" customHeight="1">
      <c r="A1471" s="198"/>
    </row>
    <row r="1472" spans="1:1" s="199" customFormat="1" ht="12" hidden="1" customHeight="1">
      <c r="A1472" s="198"/>
    </row>
    <row r="1473" spans="1:1" s="199" customFormat="1" ht="12" hidden="1" customHeight="1">
      <c r="A1473" s="198"/>
    </row>
    <row r="1474" spans="1:1" s="199" customFormat="1" ht="12" hidden="1" customHeight="1">
      <c r="A1474" s="198"/>
    </row>
    <row r="1475" spans="1:1" s="199" customFormat="1" ht="12" hidden="1" customHeight="1">
      <c r="A1475" s="198"/>
    </row>
    <row r="1476" spans="1:1" s="199" customFormat="1" ht="12" hidden="1" customHeight="1">
      <c r="A1476" s="198"/>
    </row>
    <row r="1477" spans="1:1" s="199" customFormat="1" ht="12" hidden="1" customHeight="1">
      <c r="A1477" s="198"/>
    </row>
    <row r="1478" spans="1:1" s="199" customFormat="1" ht="12" hidden="1" customHeight="1">
      <c r="A1478" s="198"/>
    </row>
    <row r="1479" spans="1:1" s="199" customFormat="1" ht="12" hidden="1" customHeight="1">
      <c r="A1479" s="198"/>
    </row>
    <row r="1480" spans="1:1" s="199" customFormat="1" ht="12" hidden="1" customHeight="1">
      <c r="A1480" s="198"/>
    </row>
    <row r="1481" spans="1:1" s="199" customFormat="1" ht="12" hidden="1" customHeight="1">
      <c r="A1481" s="198"/>
    </row>
    <row r="1482" spans="1:1" s="199" customFormat="1" ht="12" hidden="1" customHeight="1">
      <c r="A1482" s="198"/>
    </row>
    <row r="1483" spans="1:1" s="199" customFormat="1" ht="12" hidden="1" customHeight="1">
      <c r="A1483" s="198"/>
    </row>
    <row r="1484" spans="1:1" s="199" customFormat="1" ht="12" hidden="1" customHeight="1">
      <c r="A1484" s="198"/>
    </row>
    <row r="1485" spans="1:1" s="199" customFormat="1" ht="12" hidden="1" customHeight="1">
      <c r="A1485" s="198"/>
    </row>
    <row r="1486" spans="1:1" s="199" customFormat="1" ht="12" hidden="1" customHeight="1">
      <c r="A1486" s="198"/>
    </row>
    <row r="1487" spans="1:1" s="199" customFormat="1" ht="12" hidden="1" customHeight="1">
      <c r="A1487" s="198"/>
    </row>
    <row r="1488" spans="1:1" s="199" customFormat="1" ht="12" hidden="1" customHeight="1">
      <c r="A1488" s="198"/>
    </row>
    <row r="1489" spans="1:1" s="199" customFormat="1" ht="12" hidden="1" customHeight="1">
      <c r="A1489" s="198"/>
    </row>
    <row r="1490" spans="1:1" s="199" customFormat="1" ht="12" hidden="1" customHeight="1">
      <c r="A1490" s="198"/>
    </row>
    <row r="1491" spans="1:1" s="199" customFormat="1" ht="12" hidden="1" customHeight="1">
      <c r="A1491" s="198"/>
    </row>
    <row r="1492" spans="1:1" s="199" customFormat="1" ht="12" hidden="1" customHeight="1">
      <c r="A1492" s="198"/>
    </row>
    <row r="1493" spans="1:1" s="199" customFormat="1" ht="12" hidden="1" customHeight="1">
      <c r="A1493" s="198"/>
    </row>
    <row r="1494" spans="1:1" s="199" customFormat="1" ht="12" hidden="1" customHeight="1">
      <c r="A1494" s="198"/>
    </row>
    <row r="1495" spans="1:1" s="199" customFormat="1" ht="12" hidden="1" customHeight="1">
      <c r="A1495" s="198"/>
    </row>
    <row r="1496" spans="1:1" s="199" customFormat="1" ht="12" hidden="1" customHeight="1">
      <c r="A1496" s="198"/>
    </row>
    <row r="1497" spans="1:1" s="199" customFormat="1" ht="12" hidden="1" customHeight="1">
      <c r="A1497" s="198"/>
    </row>
    <row r="1498" spans="1:1" s="199" customFormat="1" ht="12" hidden="1" customHeight="1">
      <c r="A1498" s="198"/>
    </row>
    <row r="1499" spans="1:1" s="199" customFormat="1" ht="12" hidden="1" customHeight="1">
      <c r="A1499" s="198"/>
    </row>
    <row r="1500" spans="1:1" s="199" customFormat="1" ht="12" hidden="1" customHeight="1">
      <c r="A1500" s="198"/>
    </row>
    <row r="1501" spans="1:1" s="199" customFormat="1" ht="12" hidden="1" customHeight="1">
      <c r="A1501" s="198"/>
    </row>
    <row r="1502" spans="1:1" s="199" customFormat="1" ht="12" hidden="1" customHeight="1">
      <c r="A1502" s="198"/>
    </row>
    <row r="1503" spans="1:1" s="199" customFormat="1" ht="12" hidden="1" customHeight="1">
      <c r="A1503" s="198"/>
    </row>
    <row r="1504" spans="1:1" s="199" customFormat="1" ht="12" hidden="1" customHeight="1">
      <c r="A1504" s="198"/>
    </row>
    <row r="1505" spans="1:1" s="199" customFormat="1" ht="12" hidden="1" customHeight="1">
      <c r="A1505" s="198"/>
    </row>
    <row r="1506" spans="1:1" s="199" customFormat="1" ht="12" hidden="1" customHeight="1">
      <c r="A1506" s="198"/>
    </row>
    <row r="1507" spans="1:1" s="199" customFormat="1" ht="12" hidden="1" customHeight="1">
      <c r="A1507" s="198"/>
    </row>
    <row r="1508" spans="1:1" s="199" customFormat="1" ht="12" hidden="1" customHeight="1">
      <c r="A1508" s="198"/>
    </row>
    <row r="1509" spans="1:1" s="199" customFormat="1" ht="12" hidden="1" customHeight="1">
      <c r="A1509" s="198"/>
    </row>
    <row r="1510" spans="1:1" s="199" customFormat="1" ht="12" hidden="1" customHeight="1">
      <c r="A1510" s="198"/>
    </row>
    <row r="1511" spans="1:1" s="199" customFormat="1" ht="12" hidden="1" customHeight="1">
      <c r="A1511" s="198"/>
    </row>
    <row r="1512" spans="1:1" s="199" customFormat="1" ht="12" hidden="1" customHeight="1">
      <c r="A1512" s="198"/>
    </row>
    <row r="1513" spans="1:1" s="199" customFormat="1" ht="12" hidden="1" customHeight="1">
      <c r="A1513" s="198"/>
    </row>
    <row r="1514" spans="1:1" s="199" customFormat="1" ht="12" hidden="1" customHeight="1">
      <c r="A1514" s="198"/>
    </row>
    <row r="1515" spans="1:1" s="199" customFormat="1" ht="12" hidden="1" customHeight="1">
      <c r="A1515" s="198"/>
    </row>
    <row r="1516" spans="1:1" s="199" customFormat="1" ht="12" hidden="1" customHeight="1">
      <c r="A1516" s="198"/>
    </row>
    <row r="1517" spans="1:1" s="199" customFormat="1" ht="12" hidden="1" customHeight="1">
      <c r="A1517" s="198"/>
    </row>
    <row r="1518" spans="1:1" s="199" customFormat="1" ht="12" hidden="1" customHeight="1">
      <c r="A1518" s="198"/>
    </row>
    <row r="1519" spans="1:1" s="199" customFormat="1" ht="12" hidden="1" customHeight="1">
      <c r="A1519" s="198"/>
    </row>
    <row r="1520" spans="1:1" s="199" customFormat="1" ht="12" hidden="1" customHeight="1">
      <c r="A1520" s="198"/>
    </row>
    <row r="1521" spans="1:1" s="199" customFormat="1" ht="12" hidden="1" customHeight="1">
      <c r="A1521" s="198"/>
    </row>
    <row r="1522" spans="1:1" s="199" customFormat="1" ht="12" hidden="1" customHeight="1">
      <c r="A1522" s="198"/>
    </row>
    <row r="1523" spans="1:1" s="199" customFormat="1" ht="12" hidden="1" customHeight="1">
      <c r="A1523" s="198"/>
    </row>
    <row r="1524" spans="1:1" s="199" customFormat="1" ht="12" hidden="1" customHeight="1">
      <c r="A1524" s="198"/>
    </row>
    <row r="1525" spans="1:1" s="199" customFormat="1" ht="12" hidden="1" customHeight="1">
      <c r="A1525" s="198"/>
    </row>
    <row r="1526" spans="1:1" s="199" customFormat="1" ht="12" hidden="1" customHeight="1">
      <c r="A1526" s="198"/>
    </row>
    <row r="1527" spans="1:1" s="199" customFormat="1" ht="12" hidden="1" customHeight="1">
      <c r="A1527" s="198"/>
    </row>
    <row r="1528" spans="1:1" s="199" customFormat="1" ht="12" hidden="1" customHeight="1">
      <c r="A1528" s="198"/>
    </row>
    <row r="1529" spans="1:1" s="199" customFormat="1" ht="12" hidden="1" customHeight="1">
      <c r="A1529" s="198"/>
    </row>
    <row r="1530" spans="1:1" s="199" customFormat="1" ht="12" hidden="1" customHeight="1">
      <c r="A1530" s="198"/>
    </row>
    <row r="1531" spans="1:1" s="199" customFormat="1" ht="12" hidden="1" customHeight="1">
      <c r="A1531" s="198"/>
    </row>
    <row r="1532" spans="1:1" s="199" customFormat="1" ht="12" hidden="1" customHeight="1">
      <c r="A1532" s="198"/>
    </row>
    <row r="1533" spans="1:1" s="199" customFormat="1" ht="12" hidden="1" customHeight="1">
      <c r="A1533" s="198"/>
    </row>
    <row r="1534" spans="1:1" s="199" customFormat="1" ht="12" hidden="1" customHeight="1">
      <c r="A1534" s="198"/>
    </row>
    <row r="1535" spans="1:1" s="199" customFormat="1" ht="12" hidden="1" customHeight="1">
      <c r="A1535" s="198"/>
    </row>
    <row r="1536" spans="1:1" s="199" customFormat="1" ht="12" hidden="1" customHeight="1">
      <c r="A1536" s="198"/>
    </row>
    <row r="1537" spans="1:1" s="199" customFormat="1" ht="12" hidden="1" customHeight="1">
      <c r="A1537" s="198"/>
    </row>
    <row r="1538" spans="1:1" s="199" customFormat="1" ht="12" hidden="1" customHeight="1">
      <c r="A1538" s="198"/>
    </row>
    <row r="1539" spans="1:1" s="199" customFormat="1" ht="12" hidden="1" customHeight="1">
      <c r="A1539" s="198"/>
    </row>
    <row r="1540" spans="1:1" s="199" customFormat="1" ht="12" hidden="1" customHeight="1">
      <c r="A1540" s="198"/>
    </row>
    <row r="1541" spans="1:1" s="199" customFormat="1" ht="12" hidden="1" customHeight="1">
      <c r="A1541" s="198"/>
    </row>
    <row r="1542" spans="1:1" s="199" customFormat="1" ht="12" hidden="1" customHeight="1">
      <c r="A1542" s="198"/>
    </row>
    <row r="1543" spans="1:1" s="199" customFormat="1" ht="12" hidden="1" customHeight="1">
      <c r="A1543" s="198"/>
    </row>
    <row r="1544" spans="1:1" s="199" customFormat="1" ht="12" hidden="1" customHeight="1">
      <c r="A1544" s="198"/>
    </row>
    <row r="1545" spans="1:1" s="199" customFormat="1" ht="12" hidden="1" customHeight="1">
      <c r="A1545" s="198"/>
    </row>
    <row r="1546" spans="1:1" s="199" customFormat="1" ht="12" hidden="1" customHeight="1">
      <c r="A1546" s="198"/>
    </row>
    <row r="1547" spans="1:1" s="199" customFormat="1" ht="12" hidden="1" customHeight="1">
      <c r="A1547" s="198"/>
    </row>
    <row r="1548" spans="1:1" s="199" customFormat="1" ht="12" hidden="1" customHeight="1">
      <c r="A1548" s="198"/>
    </row>
    <row r="1549" spans="1:1" s="199" customFormat="1" ht="12" hidden="1" customHeight="1">
      <c r="A1549" s="198"/>
    </row>
    <row r="1550" spans="1:1" s="199" customFormat="1" ht="12" hidden="1" customHeight="1">
      <c r="A1550" s="198"/>
    </row>
    <row r="1551" spans="1:1" s="199" customFormat="1" ht="12" hidden="1" customHeight="1">
      <c r="A1551" s="198"/>
    </row>
    <row r="1552" spans="1:1" s="199" customFormat="1" ht="12" hidden="1" customHeight="1">
      <c r="A1552" s="198"/>
    </row>
    <row r="1553" spans="1:1" s="199" customFormat="1" ht="12" hidden="1" customHeight="1">
      <c r="A1553" s="198"/>
    </row>
    <row r="1554" spans="1:1" s="199" customFormat="1" ht="12" hidden="1" customHeight="1">
      <c r="A1554" s="198"/>
    </row>
    <row r="1555" spans="1:1" s="199" customFormat="1" ht="12" hidden="1" customHeight="1">
      <c r="A1555" s="198"/>
    </row>
    <row r="1556" spans="1:1" s="199" customFormat="1" ht="12" hidden="1" customHeight="1">
      <c r="A1556" s="198"/>
    </row>
    <row r="1557" spans="1:1" s="199" customFormat="1" ht="12" hidden="1" customHeight="1">
      <c r="A1557" s="198"/>
    </row>
    <row r="1558" spans="1:1" s="199" customFormat="1" ht="12" hidden="1" customHeight="1">
      <c r="A1558" s="198"/>
    </row>
    <row r="1559" spans="1:1" s="199" customFormat="1" ht="12" hidden="1" customHeight="1">
      <c r="A1559" s="198"/>
    </row>
    <row r="1560" spans="1:1" s="199" customFormat="1" ht="12" hidden="1" customHeight="1">
      <c r="A1560" s="198"/>
    </row>
    <row r="1561" spans="1:1" s="199" customFormat="1" ht="12" hidden="1" customHeight="1">
      <c r="A1561" s="198"/>
    </row>
    <row r="1562" spans="1:1" s="199" customFormat="1" ht="12" hidden="1" customHeight="1">
      <c r="A1562" s="198"/>
    </row>
    <row r="1563" spans="1:1" s="199" customFormat="1" ht="12" hidden="1" customHeight="1">
      <c r="A1563" s="198"/>
    </row>
    <row r="1564" spans="1:1" s="199" customFormat="1" ht="12" hidden="1" customHeight="1">
      <c r="A1564" s="198"/>
    </row>
    <row r="1565" spans="1:1" s="199" customFormat="1" ht="12" hidden="1" customHeight="1">
      <c r="A1565" s="198"/>
    </row>
    <row r="1566" spans="1:1" s="199" customFormat="1" ht="12" hidden="1" customHeight="1">
      <c r="A1566" s="198"/>
    </row>
    <row r="1567" spans="1:1" s="199" customFormat="1" ht="12" hidden="1" customHeight="1">
      <c r="A1567" s="198"/>
    </row>
    <row r="1568" spans="1:1" s="199" customFormat="1" ht="12" hidden="1" customHeight="1">
      <c r="A1568" s="198"/>
    </row>
    <row r="1569" spans="1:1" s="199" customFormat="1" ht="12" hidden="1" customHeight="1">
      <c r="A1569" s="198"/>
    </row>
    <row r="1570" spans="1:1" s="199" customFormat="1" ht="12" hidden="1" customHeight="1">
      <c r="A1570" s="198"/>
    </row>
    <row r="1571" spans="1:1" s="199" customFormat="1" ht="12" hidden="1" customHeight="1">
      <c r="A1571" s="198"/>
    </row>
    <row r="1572" spans="1:1" s="199" customFormat="1" ht="12" hidden="1" customHeight="1">
      <c r="A1572" s="198"/>
    </row>
    <row r="1573" spans="1:1" s="199" customFormat="1" ht="12" hidden="1" customHeight="1">
      <c r="A1573" s="198"/>
    </row>
    <row r="1574" spans="1:1" s="199" customFormat="1" ht="12" hidden="1" customHeight="1">
      <c r="A1574" s="198"/>
    </row>
    <row r="1575" spans="1:1" s="199" customFormat="1" ht="12" hidden="1" customHeight="1">
      <c r="A1575" s="198"/>
    </row>
    <row r="1576" spans="1:1" s="199" customFormat="1" ht="12" hidden="1" customHeight="1">
      <c r="A1576" s="198"/>
    </row>
    <row r="1577" spans="1:1" s="199" customFormat="1" ht="12" hidden="1" customHeight="1">
      <c r="A1577" s="198"/>
    </row>
    <row r="1578" spans="1:1" s="199" customFormat="1" ht="12" hidden="1" customHeight="1">
      <c r="A1578" s="198"/>
    </row>
    <row r="1579" spans="1:1" s="199" customFormat="1" ht="12" hidden="1" customHeight="1">
      <c r="A1579" s="198"/>
    </row>
    <row r="1580" spans="1:1" s="199" customFormat="1" ht="12" hidden="1" customHeight="1">
      <c r="A1580" s="198"/>
    </row>
    <row r="1581" spans="1:1" s="199" customFormat="1" ht="12" hidden="1" customHeight="1">
      <c r="A1581" s="198"/>
    </row>
    <row r="1582" spans="1:1" s="199" customFormat="1" ht="12" hidden="1" customHeight="1">
      <c r="A1582" s="198"/>
    </row>
    <row r="1583" spans="1:1" s="199" customFormat="1" ht="12" hidden="1" customHeight="1">
      <c r="A1583" s="198"/>
    </row>
    <row r="1584" spans="1:1" s="199" customFormat="1" ht="12" hidden="1" customHeight="1">
      <c r="A1584" s="198"/>
    </row>
    <row r="1585" spans="1:1" s="199" customFormat="1" ht="12" hidden="1" customHeight="1">
      <c r="A1585" s="198"/>
    </row>
    <row r="1586" spans="1:1" s="199" customFormat="1" ht="12" hidden="1" customHeight="1">
      <c r="A1586" s="198"/>
    </row>
    <row r="1587" spans="1:1" s="199" customFormat="1" ht="12" hidden="1" customHeight="1">
      <c r="A1587" s="198"/>
    </row>
    <row r="1588" spans="1:1" s="199" customFormat="1" ht="12" hidden="1" customHeight="1">
      <c r="A1588" s="198"/>
    </row>
    <row r="1589" spans="1:1" s="199" customFormat="1" ht="12" hidden="1" customHeight="1">
      <c r="A1589" s="198"/>
    </row>
    <row r="1590" spans="1:1" s="199" customFormat="1" ht="12" hidden="1" customHeight="1">
      <c r="A1590" s="198"/>
    </row>
    <row r="1591" spans="1:1" s="199" customFormat="1" ht="12" hidden="1" customHeight="1">
      <c r="A1591" s="198"/>
    </row>
    <row r="1592" spans="1:1" s="199" customFormat="1" ht="12" hidden="1" customHeight="1">
      <c r="A1592" s="198"/>
    </row>
    <row r="1593" spans="1:1" s="199" customFormat="1" ht="12" hidden="1" customHeight="1">
      <c r="A1593" s="198"/>
    </row>
    <row r="1594" spans="1:1" s="199" customFormat="1" ht="12" hidden="1" customHeight="1">
      <c r="A1594" s="198"/>
    </row>
    <row r="1595" spans="1:1" s="199" customFormat="1" ht="12" hidden="1" customHeight="1">
      <c r="A1595" s="198"/>
    </row>
    <row r="1596" spans="1:1" s="199" customFormat="1" ht="12" hidden="1" customHeight="1">
      <c r="A1596" s="198"/>
    </row>
    <row r="1597" spans="1:1" s="199" customFormat="1" ht="12" hidden="1" customHeight="1">
      <c r="A1597" s="198"/>
    </row>
    <row r="1598" spans="1:1" s="199" customFormat="1" ht="12" hidden="1" customHeight="1">
      <c r="A1598" s="198"/>
    </row>
    <row r="1599" spans="1:1" s="199" customFormat="1" ht="12" hidden="1" customHeight="1">
      <c r="A1599" s="198"/>
    </row>
    <row r="1600" spans="1:1" s="199" customFormat="1" ht="12" hidden="1" customHeight="1">
      <c r="A1600" s="198"/>
    </row>
    <row r="1601" spans="1:1" s="199" customFormat="1" ht="12" hidden="1" customHeight="1">
      <c r="A1601" s="198"/>
    </row>
    <row r="1602" spans="1:1" s="199" customFormat="1" ht="12" hidden="1" customHeight="1">
      <c r="A1602" s="198"/>
    </row>
    <row r="1603" spans="1:1" s="199" customFormat="1" ht="12" hidden="1" customHeight="1">
      <c r="A1603" s="198"/>
    </row>
    <row r="1604" spans="1:1" s="199" customFormat="1" ht="12" hidden="1" customHeight="1">
      <c r="A1604" s="198"/>
    </row>
    <row r="1605" spans="1:1" s="199" customFormat="1" ht="12" hidden="1" customHeight="1">
      <c r="A1605" s="198"/>
    </row>
    <row r="1606" spans="1:1" s="199" customFormat="1" ht="12" hidden="1" customHeight="1">
      <c r="A1606" s="198"/>
    </row>
    <row r="1607" spans="1:1" s="199" customFormat="1" ht="12" hidden="1" customHeight="1">
      <c r="A1607" s="198"/>
    </row>
    <row r="1608" spans="1:1" s="199" customFormat="1" ht="12" hidden="1" customHeight="1">
      <c r="A1608" s="198"/>
    </row>
    <row r="1609" spans="1:1" s="199" customFormat="1" ht="12" hidden="1" customHeight="1">
      <c r="A1609" s="198"/>
    </row>
    <row r="1610" spans="1:1" s="199" customFormat="1" ht="12" hidden="1" customHeight="1">
      <c r="A1610" s="198"/>
    </row>
    <row r="1611" spans="1:1" s="199" customFormat="1" ht="12" hidden="1" customHeight="1">
      <c r="A1611" s="198"/>
    </row>
    <row r="1612" spans="1:1" s="199" customFormat="1" ht="12" hidden="1" customHeight="1">
      <c r="A1612" s="198"/>
    </row>
    <row r="1613" spans="1:1" s="199" customFormat="1" ht="12" hidden="1" customHeight="1">
      <c r="A1613" s="198"/>
    </row>
    <row r="1614" spans="1:1" s="199" customFormat="1" ht="12" hidden="1" customHeight="1">
      <c r="A1614" s="198"/>
    </row>
    <row r="1615" spans="1:1" s="199" customFormat="1" ht="12" hidden="1" customHeight="1">
      <c r="A1615" s="198"/>
    </row>
    <row r="1616" spans="1:1" s="199" customFormat="1" ht="12" hidden="1" customHeight="1">
      <c r="A1616" s="198"/>
    </row>
    <row r="1617" spans="1:1" s="199" customFormat="1" ht="12" hidden="1" customHeight="1">
      <c r="A1617" s="198"/>
    </row>
    <row r="1618" spans="1:1" s="199" customFormat="1" ht="12" hidden="1" customHeight="1">
      <c r="A1618" s="198"/>
    </row>
    <row r="1619" spans="1:1" s="199" customFormat="1" ht="12" hidden="1" customHeight="1">
      <c r="A1619" s="198"/>
    </row>
    <row r="1620" spans="1:1" s="199" customFormat="1" ht="12" hidden="1" customHeight="1">
      <c r="A1620" s="198"/>
    </row>
    <row r="1621" spans="1:1" s="199" customFormat="1" ht="12" hidden="1" customHeight="1">
      <c r="A1621" s="198"/>
    </row>
    <row r="1622" spans="1:1" s="199" customFormat="1" ht="12" hidden="1" customHeight="1">
      <c r="A1622" s="198"/>
    </row>
    <row r="1623" spans="1:1" s="199" customFormat="1" ht="12" hidden="1" customHeight="1">
      <c r="A1623" s="198"/>
    </row>
    <row r="1624" spans="1:1" s="199" customFormat="1" ht="12" hidden="1" customHeight="1">
      <c r="A1624" s="198"/>
    </row>
    <row r="1625" spans="1:1" s="199" customFormat="1" ht="12" hidden="1" customHeight="1">
      <c r="A1625" s="198"/>
    </row>
    <row r="1626" spans="1:1" s="199" customFormat="1" ht="12" hidden="1" customHeight="1">
      <c r="A1626" s="198"/>
    </row>
    <row r="1627" spans="1:1" s="199" customFormat="1" ht="12" hidden="1" customHeight="1">
      <c r="A1627" s="198"/>
    </row>
    <row r="1628" spans="1:1" s="199" customFormat="1" ht="12" hidden="1" customHeight="1">
      <c r="A1628" s="198"/>
    </row>
    <row r="1629" spans="1:1" s="199" customFormat="1" ht="12" hidden="1" customHeight="1">
      <c r="A1629" s="198"/>
    </row>
    <row r="1630" spans="1:1" s="199" customFormat="1" ht="12" hidden="1" customHeight="1">
      <c r="A1630" s="198"/>
    </row>
    <row r="1631" spans="1:1" s="199" customFormat="1" ht="12" hidden="1" customHeight="1">
      <c r="A1631" s="198"/>
    </row>
    <row r="1632" spans="1:1" s="199" customFormat="1" ht="12" hidden="1" customHeight="1">
      <c r="A1632" s="198"/>
    </row>
    <row r="1633" spans="1:1" s="199" customFormat="1" ht="12" hidden="1" customHeight="1">
      <c r="A1633" s="198"/>
    </row>
    <row r="1634" spans="1:1" s="199" customFormat="1" ht="12" hidden="1" customHeight="1">
      <c r="A1634" s="198"/>
    </row>
    <row r="1635" spans="1:1" s="199" customFormat="1" ht="12" hidden="1" customHeight="1">
      <c r="A1635" s="198"/>
    </row>
    <row r="1636" spans="1:1" s="199" customFormat="1" ht="12" hidden="1" customHeight="1">
      <c r="A1636" s="198"/>
    </row>
    <row r="1637" spans="1:1" s="199" customFormat="1" ht="12" hidden="1" customHeight="1">
      <c r="A1637" s="198"/>
    </row>
    <row r="1638" spans="1:1" s="199" customFormat="1" ht="12" hidden="1" customHeight="1">
      <c r="A1638" s="198"/>
    </row>
    <row r="1639" spans="1:1" s="199" customFormat="1" ht="12" hidden="1" customHeight="1">
      <c r="A1639" s="198"/>
    </row>
    <row r="1640" spans="1:1" s="199" customFormat="1" ht="12" hidden="1" customHeight="1">
      <c r="A1640" s="198"/>
    </row>
    <row r="1641" spans="1:1" s="199" customFormat="1" ht="12" hidden="1" customHeight="1">
      <c r="A1641" s="198"/>
    </row>
    <row r="1642" spans="1:1" s="199" customFormat="1" ht="12" hidden="1" customHeight="1">
      <c r="A1642" s="198"/>
    </row>
    <row r="1643" spans="1:1" s="199" customFormat="1" ht="12" hidden="1" customHeight="1">
      <c r="A1643" s="198"/>
    </row>
    <row r="1644" spans="1:1" s="199" customFormat="1" ht="12" hidden="1" customHeight="1">
      <c r="A1644" s="198"/>
    </row>
    <row r="1645" spans="1:1" s="199" customFormat="1" ht="12" hidden="1" customHeight="1">
      <c r="A1645" s="198"/>
    </row>
    <row r="1646" spans="1:1" s="199" customFormat="1" ht="12" hidden="1" customHeight="1">
      <c r="A1646" s="198"/>
    </row>
    <row r="1647" spans="1:1" s="199" customFormat="1" ht="12" hidden="1" customHeight="1">
      <c r="A1647" s="198"/>
    </row>
    <row r="1648" spans="1:1" s="199" customFormat="1" ht="12" hidden="1" customHeight="1">
      <c r="A1648" s="198"/>
    </row>
    <row r="1649" spans="1:1" s="199" customFormat="1" ht="12" hidden="1" customHeight="1">
      <c r="A1649" s="198"/>
    </row>
    <row r="1650" spans="1:1" s="199" customFormat="1" ht="12" hidden="1" customHeight="1">
      <c r="A1650" s="198"/>
    </row>
    <row r="1651" spans="1:1" s="199" customFormat="1" ht="12" hidden="1" customHeight="1">
      <c r="A1651" s="198"/>
    </row>
    <row r="1652" spans="1:1" s="199" customFormat="1" ht="12" hidden="1" customHeight="1">
      <c r="A1652" s="198"/>
    </row>
    <row r="1653" spans="1:1" s="199" customFormat="1" ht="12" hidden="1" customHeight="1">
      <c r="A1653" s="198"/>
    </row>
    <row r="1654" spans="1:1" s="199" customFormat="1" ht="12" hidden="1" customHeight="1">
      <c r="A1654" s="198"/>
    </row>
    <row r="1655" spans="1:1" s="199" customFormat="1" ht="12" hidden="1" customHeight="1">
      <c r="A1655" s="198"/>
    </row>
    <row r="1656" spans="1:1" s="199" customFormat="1" ht="12" hidden="1" customHeight="1">
      <c r="A1656" s="198"/>
    </row>
    <row r="1657" spans="1:1" s="199" customFormat="1" ht="12" hidden="1" customHeight="1">
      <c r="A1657" s="198"/>
    </row>
    <row r="1658" spans="1:1" s="199" customFormat="1" ht="12" hidden="1" customHeight="1">
      <c r="A1658" s="198"/>
    </row>
    <row r="1659" spans="1:1" s="199" customFormat="1" ht="12" hidden="1" customHeight="1">
      <c r="A1659" s="198"/>
    </row>
    <row r="1660" spans="1:1" s="199" customFormat="1" ht="12" hidden="1" customHeight="1">
      <c r="A1660" s="198"/>
    </row>
    <row r="1661" spans="1:1" s="199" customFormat="1" ht="12" hidden="1" customHeight="1">
      <c r="A1661" s="198"/>
    </row>
    <row r="1662" spans="1:1" s="199" customFormat="1" ht="12" hidden="1" customHeight="1">
      <c r="A1662" s="198"/>
    </row>
    <row r="1663" spans="1:1" s="199" customFormat="1" ht="12" hidden="1" customHeight="1">
      <c r="A1663" s="198"/>
    </row>
    <row r="1664" spans="1:1" s="199" customFormat="1" ht="12" hidden="1" customHeight="1">
      <c r="A1664" s="198"/>
    </row>
    <row r="1665" spans="1:1" s="199" customFormat="1" ht="12" hidden="1" customHeight="1">
      <c r="A1665" s="198"/>
    </row>
    <row r="1666" spans="1:1" s="199" customFormat="1" ht="12" hidden="1" customHeight="1">
      <c r="A1666" s="198"/>
    </row>
    <row r="1667" spans="1:1" s="199" customFormat="1" ht="12" hidden="1" customHeight="1">
      <c r="A1667" s="198"/>
    </row>
    <row r="1668" spans="1:1" s="199" customFormat="1" ht="12" hidden="1" customHeight="1">
      <c r="A1668" s="198"/>
    </row>
    <row r="1669" spans="1:1" s="199" customFormat="1" ht="12" hidden="1" customHeight="1">
      <c r="A1669" s="198"/>
    </row>
    <row r="1670" spans="1:1" s="199" customFormat="1" ht="12" hidden="1" customHeight="1">
      <c r="A1670" s="198"/>
    </row>
    <row r="1671" spans="1:1" s="199" customFormat="1" ht="12" hidden="1" customHeight="1">
      <c r="A1671" s="198"/>
    </row>
    <row r="1672" spans="1:1" s="199" customFormat="1" ht="12" hidden="1" customHeight="1">
      <c r="A1672" s="198"/>
    </row>
    <row r="1673" spans="1:1" s="199" customFormat="1" ht="12" hidden="1" customHeight="1">
      <c r="A1673" s="198"/>
    </row>
    <row r="1674" spans="1:1" s="199" customFormat="1" ht="12" hidden="1" customHeight="1">
      <c r="A1674" s="198"/>
    </row>
    <row r="1675" spans="1:1" s="199" customFormat="1" ht="12" hidden="1" customHeight="1">
      <c r="A1675" s="198"/>
    </row>
    <row r="1676" spans="1:1" s="199" customFormat="1" ht="12" hidden="1" customHeight="1">
      <c r="A1676" s="198"/>
    </row>
    <row r="1677" spans="1:1" s="199" customFormat="1" ht="12" hidden="1" customHeight="1">
      <c r="A1677" s="198"/>
    </row>
    <row r="1678" spans="1:1" s="199" customFormat="1" ht="12" hidden="1" customHeight="1">
      <c r="A1678" s="198"/>
    </row>
    <row r="1679" spans="1:1" s="199" customFormat="1" ht="12" hidden="1" customHeight="1">
      <c r="A1679" s="198"/>
    </row>
    <row r="1680" spans="1:1" s="199" customFormat="1" ht="12" hidden="1" customHeight="1">
      <c r="A1680" s="198"/>
    </row>
    <row r="1681" spans="1:1" s="199" customFormat="1" ht="12" hidden="1" customHeight="1">
      <c r="A1681" s="198"/>
    </row>
    <row r="1682" spans="1:1" s="199" customFormat="1" ht="12" hidden="1" customHeight="1">
      <c r="A1682" s="198"/>
    </row>
    <row r="1683" spans="1:1" s="199" customFormat="1" ht="12" hidden="1" customHeight="1">
      <c r="A1683" s="198"/>
    </row>
    <row r="1684" spans="1:1" s="199" customFormat="1" ht="12" hidden="1" customHeight="1">
      <c r="A1684" s="198"/>
    </row>
    <row r="1685" spans="1:1" s="199" customFormat="1" ht="12" hidden="1" customHeight="1">
      <c r="A1685" s="198"/>
    </row>
    <row r="1686" spans="1:1" s="199" customFormat="1" ht="12" hidden="1" customHeight="1">
      <c r="A1686" s="198"/>
    </row>
    <row r="1687" spans="1:1" s="199" customFormat="1" ht="12" hidden="1" customHeight="1">
      <c r="A1687" s="198"/>
    </row>
    <row r="1688" spans="1:1" s="199" customFormat="1" ht="12" hidden="1" customHeight="1">
      <c r="A1688" s="198"/>
    </row>
    <row r="1689" spans="1:1" s="199" customFormat="1" ht="12" hidden="1" customHeight="1">
      <c r="A1689" s="198"/>
    </row>
    <row r="1690" spans="1:1" s="199" customFormat="1" ht="12" hidden="1" customHeight="1">
      <c r="A1690" s="198"/>
    </row>
    <row r="1691" spans="1:1" s="199" customFormat="1" ht="12" hidden="1" customHeight="1">
      <c r="A1691" s="198"/>
    </row>
    <row r="1692" spans="1:1" s="199" customFormat="1" ht="12" hidden="1" customHeight="1">
      <c r="A1692" s="198"/>
    </row>
    <row r="1693" spans="1:1" s="199" customFormat="1" ht="12" hidden="1" customHeight="1">
      <c r="A1693" s="198"/>
    </row>
    <row r="1694" spans="1:1" s="199" customFormat="1" ht="12" hidden="1" customHeight="1">
      <c r="A1694" s="198"/>
    </row>
    <row r="1695" spans="1:1" s="199" customFormat="1" ht="12" hidden="1" customHeight="1">
      <c r="A1695" s="198"/>
    </row>
    <row r="1696" spans="1:1" s="199" customFormat="1" ht="12" hidden="1" customHeight="1">
      <c r="A1696" s="198"/>
    </row>
    <row r="1697" spans="1:1" s="199" customFormat="1" ht="12" hidden="1" customHeight="1">
      <c r="A1697" s="198"/>
    </row>
    <row r="1698" spans="1:1" s="199" customFormat="1" ht="12" hidden="1" customHeight="1">
      <c r="A1698" s="198"/>
    </row>
    <row r="1699" spans="1:1" s="199" customFormat="1" ht="12" hidden="1" customHeight="1">
      <c r="A1699" s="198"/>
    </row>
    <row r="1700" spans="1:1" s="199" customFormat="1" ht="12" hidden="1" customHeight="1">
      <c r="A1700" s="198"/>
    </row>
    <row r="1701" spans="1:1" s="199" customFormat="1" ht="12" hidden="1" customHeight="1">
      <c r="A1701" s="198"/>
    </row>
    <row r="1702" spans="1:1" s="199" customFormat="1" ht="12" hidden="1" customHeight="1">
      <c r="A1702" s="198"/>
    </row>
    <row r="1703" spans="1:1" s="199" customFormat="1" ht="12" hidden="1" customHeight="1">
      <c r="A1703" s="198"/>
    </row>
    <row r="1704" spans="1:1" s="199" customFormat="1" ht="12" hidden="1" customHeight="1">
      <c r="A1704" s="198"/>
    </row>
    <row r="1705" spans="1:1" s="199" customFormat="1" ht="12" hidden="1" customHeight="1">
      <c r="A1705" s="198"/>
    </row>
    <row r="1706" spans="1:1" s="199" customFormat="1" ht="12" hidden="1" customHeight="1">
      <c r="A1706" s="198"/>
    </row>
    <row r="1707" spans="1:1" s="199" customFormat="1" ht="12" hidden="1" customHeight="1">
      <c r="A1707" s="198"/>
    </row>
    <row r="1708" spans="1:1" s="199" customFormat="1" ht="12" hidden="1" customHeight="1">
      <c r="A1708" s="198"/>
    </row>
    <row r="1709" spans="1:1" s="199" customFormat="1" ht="12" hidden="1" customHeight="1">
      <c r="A1709" s="198"/>
    </row>
    <row r="1710" spans="1:1" s="199" customFormat="1" ht="12" hidden="1" customHeight="1">
      <c r="A1710" s="198"/>
    </row>
    <row r="1711" spans="1:1" s="199" customFormat="1" ht="12" hidden="1" customHeight="1">
      <c r="A1711" s="198"/>
    </row>
    <row r="1712" spans="1:1" s="199" customFormat="1" ht="12" hidden="1" customHeight="1">
      <c r="A1712" s="198"/>
    </row>
    <row r="1713" spans="1:1" s="199" customFormat="1" ht="12" hidden="1" customHeight="1">
      <c r="A1713" s="198"/>
    </row>
    <row r="1714" spans="1:1" s="199" customFormat="1" ht="12" hidden="1" customHeight="1">
      <c r="A1714" s="198"/>
    </row>
    <row r="1715" spans="1:1" s="199" customFormat="1" ht="12" hidden="1" customHeight="1">
      <c r="A1715" s="198"/>
    </row>
    <row r="1716" spans="1:1" s="199" customFormat="1" ht="12" hidden="1" customHeight="1">
      <c r="A1716" s="198"/>
    </row>
    <row r="1717" spans="1:1" s="199" customFormat="1" ht="12" hidden="1" customHeight="1">
      <c r="A1717" s="198"/>
    </row>
    <row r="1718" spans="1:1" s="199" customFormat="1" ht="12" hidden="1" customHeight="1">
      <c r="A1718" s="198"/>
    </row>
    <row r="1719" spans="1:1" s="199" customFormat="1" ht="12" hidden="1" customHeight="1">
      <c r="A1719" s="198"/>
    </row>
    <row r="1720" spans="1:1" s="199" customFormat="1" ht="12" hidden="1" customHeight="1">
      <c r="A1720" s="198"/>
    </row>
    <row r="1721" spans="1:1" s="199" customFormat="1" ht="12" hidden="1" customHeight="1">
      <c r="A1721" s="198"/>
    </row>
    <row r="1722" spans="1:1" s="199" customFormat="1" ht="12" hidden="1" customHeight="1">
      <c r="A1722" s="198"/>
    </row>
    <row r="1723" spans="1:1" s="199" customFormat="1" ht="12" hidden="1" customHeight="1">
      <c r="A1723" s="198"/>
    </row>
    <row r="1724" spans="1:1" s="199" customFormat="1" ht="12" hidden="1" customHeight="1">
      <c r="A1724" s="198"/>
    </row>
    <row r="1725" spans="1:1" s="199" customFormat="1" ht="12" hidden="1" customHeight="1">
      <c r="A1725" s="198"/>
    </row>
    <row r="1726" spans="1:1" s="199" customFormat="1" ht="12" hidden="1" customHeight="1">
      <c r="A1726" s="198"/>
    </row>
    <row r="1727" spans="1:1" s="199" customFormat="1" ht="12" hidden="1" customHeight="1">
      <c r="A1727" s="198"/>
    </row>
    <row r="1728" spans="1:1" s="199" customFormat="1" ht="12" hidden="1" customHeight="1">
      <c r="A1728" s="198"/>
    </row>
    <row r="1729" spans="1:1" s="199" customFormat="1" ht="12" hidden="1" customHeight="1">
      <c r="A1729" s="198"/>
    </row>
    <row r="1730" spans="1:1" s="199" customFormat="1" ht="12" hidden="1" customHeight="1">
      <c r="A1730" s="198"/>
    </row>
    <row r="1731" spans="1:1" s="199" customFormat="1" ht="12" hidden="1" customHeight="1">
      <c r="A1731" s="198"/>
    </row>
    <row r="1732" spans="1:1" s="199" customFormat="1" ht="12" hidden="1" customHeight="1">
      <c r="A1732" s="198"/>
    </row>
    <row r="1733" spans="1:1" s="199" customFormat="1" ht="12" hidden="1" customHeight="1">
      <c r="A1733" s="198"/>
    </row>
    <row r="1734" spans="1:1" s="199" customFormat="1" ht="12" hidden="1" customHeight="1">
      <c r="A1734" s="198"/>
    </row>
    <row r="1735" spans="1:1" s="199" customFormat="1" ht="12" hidden="1" customHeight="1">
      <c r="A1735" s="198"/>
    </row>
    <row r="1736" spans="1:1" s="199" customFormat="1" ht="12" hidden="1" customHeight="1">
      <c r="A1736" s="198"/>
    </row>
    <row r="1737" spans="1:1" s="199" customFormat="1" ht="12" hidden="1" customHeight="1">
      <c r="A1737" s="198"/>
    </row>
    <row r="1738" spans="1:1" s="199" customFormat="1" ht="12" hidden="1" customHeight="1">
      <c r="A1738" s="198"/>
    </row>
    <row r="1739" spans="1:1" s="199" customFormat="1" ht="12" hidden="1" customHeight="1">
      <c r="A1739" s="198"/>
    </row>
    <row r="1740" spans="1:1" s="199" customFormat="1" ht="12" hidden="1" customHeight="1">
      <c r="A1740" s="198"/>
    </row>
    <row r="1741" spans="1:1" s="199" customFormat="1" ht="12" hidden="1" customHeight="1">
      <c r="A1741" s="198"/>
    </row>
    <row r="1742" spans="1:1" s="199" customFormat="1" ht="12" hidden="1" customHeight="1">
      <c r="A1742" s="198"/>
    </row>
    <row r="1743" spans="1:1" s="199" customFormat="1" ht="12" hidden="1" customHeight="1">
      <c r="A1743" s="198"/>
    </row>
    <row r="1744" spans="1:1" s="199" customFormat="1" ht="12" hidden="1" customHeight="1">
      <c r="A1744" s="198"/>
    </row>
    <row r="1745" spans="1:1" s="199" customFormat="1" ht="12" hidden="1" customHeight="1">
      <c r="A1745" s="198"/>
    </row>
    <row r="1746" spans="1:1" s="199" customFormat="1" ht="12" hidden="1" customHeight="1">
      <c r="A1746" s="198"/>
    </row>
    <row r="1747" spans="1:1" s="199" customFormat="1" ht="12" hidden="1" customHeight="1">
      <c r="A1747" s="198"/>
    </row>
    <row r="1748" spans="1:1" s="199" customFormat="1" ht="12" hidden="1" customHeight="1">
      <c r="A1748" s="198"/>
    </row>
    <row r="1749" spans="1:1" s="199" customFormat="1" ht="12" hidden="1" customHeight="1">
      <c r="A1749" s="198"/>
    </row>
    <row r="1750" spans="1:1" s="199" customFormat="1" ht="12" hidden="1" customHeight="1">
      <c r="A1750" s="198"/>
    </row>
    <row r="1751" spans="1:1" s="199" customFormat="1" ht="12" hidden="1" customHeight="1">
      <c r="A1751" s="198"/>
    </row>
    <row r="1752" spans="1:1" s="199" customFormat="1" ht="12" hidden="1" customHeight="1">
      <c r="A1752" s="198"/>
    </row>
    <row r="1753" spans="1:1" s="199" customFormat="1" ht="12" hidden="1" customHeight="1">
      <c r="A1753" s="198"/>
    </row>
    <row r="1754" spans="1:1" s="199" customFormat="1" ht="12" hidden="1" customHeight="1">
      <c r="A1754" s="198"/>
    </row>
    <row r="1755" spans="1:1" s="199" customFormat="1" ht="12" hidden="1" customHeight="1">
      <c r="A1755" s="198"/>
    </row>
    <row r="1756" spans="1:1" s="199" customFormat="1" ht="12" hidden="1" customHeight="1">
      <c r="A1756" s="198"/>
    </row>
    <row r="1757" spans="1:1" s="199" customFormat="1" ht="12" hidden="1" customHeight="1">
      <c r="A1757" s="198"/>
    </row>
    <row r="1758" spans="1:1" s="199" customFormat="1" ht="12" hidden="1" customHeight="1">
      <c r="A1758" s="198"/>
    </row>
    <row r="1759" spans="1:1" s="199" customFormat="1" ht="12" hidden="1" customHeight="1">
      <c r="A1759" s="198"/>
    </row>
    <row r="1760" spans="1:1" s="199" customFormat="1" ht="12" hidden="1" customHeight="1">
      <c r="A1760" s="198"/>
    </row>
    <row r="1761" spans="1:1" s="199" customFormat="1" ht="12" hidden="1" customHeight="1">
      <c r="A1761" s="198"/>
    </row>
    <row r="1762" spans="1:1" s="199" customFormat="1" ht="12" hidden="1" customHeight="1">
      <c r="A1762" s="198"/>
    </row>
    <row r="1763" spans="1:1" s="199" customFormat="1" ht="12" hidden="1" customHeight="1">
      <c r="A1763" s="198"/>
    </row>
    <row r="1764" spans="1:1" s="199" customFormat="1" ht="12" hidden="1" customHeight="1">
      <c r="A1764" s="198"/>
    </row>
    <row r="1765" spans="1:1" s="199" customFormat="1" ht="12" hidden="1" customHeight="1">
      <c r="A1765" s="198"/>
    </row>
    <row r="1766" spans="1:1" s="199" customFormat="1" ht="12" hidden="1" customHeight="1">
      <c r="A1766" s="198"/>
    </row>
    <row r="1767" spans="1:1" s="199" customFormat="1" ht="12" hidden="1" customHeight="1">
      <c r="A1767" s="198"/>
    </row>
    <row r="1768" spans="1:1" s="199" customFormat="1" ht="12" hidden="1" customHeight="1">
      <c r="A1768" s="198"/>
    </row>
    <row r="1769" spans="1:1" s="199" customFormat="1" ht="12" hidden="1" customHeight="1">
      <c r="A1769" s="198"/>
    </row>
    <row r="1770" spans="1:1" s="199" customFormat="1" ht="12" hidden="1" customHeight="1">
      <c r="A1770" s="198"/>
    </row>
    <row r="1771" spans="1:1" s="199" customFormat="1" ht="12" hidden="1" customHeight="1">
      <c r="A1771" s="198"/>
    </row>
    <row r="1772" spans="1:1" s="199" customFormat="1" ht="12" hidden="1" customHeight="1">
      <c r="A1772" s="198"/>
    </row>
    <row r="1773" spans="1:1" s="199" customFormat="1" ht="12" hidden="1" customHeight="1">
      <c r="A1773" s="198"/>
    </row>
    <row r="1774" spans="1:1" s="199" customFormat="1" ht="12" hidden="1" customHeight="1">
      <c r="A1774" s="198"/>
    </row>
    <row r="1775" spans="1:1" s="199" customFormat="1" ht="12" hidden="1" customHeight="1">
      <c r="A1775" s="198"/>
    </row>
    <row r="1776" spans="1:1" s="199" customFormat="1" ht="12" hidden="1" customHeight="1">
      <c r="A1776" s="198"/>
    </row>
    <row r="1777" spans="1:1" s="199" customFormat="1" ht="12" hidden="1" customHeight="1">
      <c r="A1777" s="198"/>
    </row>
    <row r="1778" spans="1:1" s="199" customFormat="1" ht="12" hidden="1" customHeight="1">
      <c r="A1778" s="198"/>
    </row>
    <row r="1779" spans="1:1" s="199" customFormat="1" ht="12" hidden="1" customHeight="1">
      <c r="A1779" s="198"/>
    </row>
    <row r="1780" spans="1:1" s="199" customFormat="1" ht="12" hidden="1" customHeight="1">
      <c r="A1780" s="198"/>
    </row>
    <row r="1781" spans="1:1" s="199" customFormat="1" ht="12" hidden="1" customHeight="1">
      <c r="A1781" s="198"/>
    </row>
    <row r="1782" spans="1:1" s="199" customFormat="1" ht="12" hidden="1" customHeight="1">
      <c r="A1782" s="198"/>
    </row>
    <row r="1783" spans="1:1" s="199" customFormat="1" ht="12" hidden="1" customHeight="1">
      <c r="A1783" s="198"/>
    </row>
    <row r="1784" spans="1:1" s="199" customFormat="1" ht="12" hidden="1" customHeight="1">
      <c r="A1784" s="198"/>
    </row>
    <row r="1785" spans="1:1" s="199" customFormat="1" ht="12" hidden="1" customHeight="1">
      <c r="A1785" s="198"/>
    </row>
    <row r="1786" spans="1:1" s="199" customFormat="1" ht="12" hidden="1" customHeight="1">
      <c r="A1786" s="198"/>
    </row>
    <row r="1787" spans="1:1" s="199" customFormat="1" ht="12" hidden="1" customHeight="1">
      <c r="A1787" s="198"/>
    </row>
    <row r="1788" spans="1:1" s="199" customFormat="1" ht="12" hidden="1" customHeight="1">
      <c r="A1788" s="198"/>
    </row>
    <row r="1789" spans="1:1" s="199" customFormat="1" ht="12" hidden="1" customHeight="1">
      <c r="A1789" s="198"/>
    </row>
    <row r="1790" spans="1:1" s="199" customFormat="1" ht="12" hidden="1" customHeight="1">
      <c r="A1790" s="198"/>
    </row>
    <row r="1791" spans="1:1" s="199" customFormat="1" ht="12" hidden="1" customHeight="1">
      <c r="A1791" s="198"/>
    </row>
    <row r="1792" spans="1:1" s="199" customFormat="1" ht="12" hidden="1" customHeight="1">
      <c r="A1792" s="198"/>
    </row>
    <row r="1793" spans="1:1" s="199" customFormat="1" ht="12" hidden="1" customHeight="1">
      <c r="A1793" s="198"/>
    </row>
    <row r="1794" spans="1:1" s="199" customFormat="1" ht="12" hidden="1" customHeight="1">
      <c r="A1794" s="198"/>
    </row>
    <row r="1795" spans="1:1" s="199" customFormat="1" ht="12" hidden="1" customHeight="1">
      <c r="A1795" s="198"/>
    </row>
    <row r="1796" spans="1:1" s="199" customFormat="1" ht="12" hidden="1" customHeight="1">
      <c r="A1796" s="198"/>
    </row>
    <row r="1797" spans="1:1" s="199" customFormat="1" ht="12" hidden="1" customHeight="1">
      <c r="A1797" s="198"/>
    </row>
    <row r="1798" spans="1:1" s="199" customFormat="1" ht="12" hidden="1" customHeight="1">
      <c r="A1798" s="198"/>
    </row>
    <row r="1799" spans="1:1" s="199" customFormat="1" ht="12" hidden="1" customHeight="1">
      <c r="A1799" s="198"/>
    </row>
    <row r="1800" spans="1:1" s="199" customFormat="1" ht="12" hidden="1" customHeight="1">
      <c r="A1800" s="198"/>
    </row>
    <row r="1801" spans="1:1" s="199" customFormat="1" ht="12" hidden="1" customHeight="1">
      <c r="A1801" s="198"/>
    </row>
    <row r="1802" spans="1:1" s="199" customFormat="1" ht="12" hidden="1" customHeight="1">
      <c r="A1802" s="198"/>
    </row>
    <row r="1803" spans="1:1" s="199" customFormat="1" ht="12" hidden="1" customHeight="1">
      <c r="A1803" s="198"/>
    </row>
    <row r="1804" spans="1:1" s="199" customFormat="1" ht="12" hidden="1" customHeight="1">
      <c r="A1804" s="198"/>
    </row>
    <row r="1805" spans="1:1" s="199" customFormat="1" ht="12" hidden="1" customHeight="1">
      <c r="A1805" s="198"/>
    </row>
    <row r="1806" spans="1:1" s="199" customFormat="1" ht="12" hidden="1" customHeight="1">
      <c r="A1806" s="198"/>
    </row>
    <row r="1807" spans="1:1" s="199" customFormat="1" ht="12" hidden="1" customHeight="1">
      <c r="A1807" s="198"/>
    </row>
    <row r="1808" spans="1:1" s="199" customFormat="1" ht="12" hidden="1" customHeight="1">
      <c r="A1808" s="198"/>
    </row>
    <row r="1809" spans="1:1" s="199" customFormat="1" ht="12" hidden="1" customHeight="1">
      <c r="A1809" s="198"/>
    </row>
    <row r="1810" spans="1:1" s="199" customFormat="1" ht="12" hidden="1" customHeight="1">
      <c r="A1810" s="198"/>
    </row>
    <row r="1811" spans="1:1" s="199" customFormat="1" ht="12" hidden="1" customHeight="1">
      <c r="A1811" s="198"/>
    </row>
    <row r="1812" spans="1:1" s="199" customFormat="1" ht="12" hidden="1" customHeight="1">
      <c r="A1812" s="198"/>
    </row>
    <row r="1813" spans="1:1" s="199" customFormat="1" ht="12" hidden="1" customHeight="1">
      <c r="A1813" s="198"/>
    </row>
    <row r="1814" spans="1:1" s="199" customFormat="1" ht="12" hidden="1" customHeight="1">
      <c r="A1814" s="198"/>
    </row>
    <row r="1815" spans="1:1" s="199" customFormat="1" ht="12" hidden="1" customHeight="1">
      <c r="A1815" s="198"/>
    </row>
    <row r="1816" spans="1:1" s="199" customFormat="1" ht="12" hidden="1" customHeight="1">
      <c r="A1816" s="198"/>
    </row>
    <row r="1817" spans="1:1" s="199" customFormat="1" ht="12" hidden="1" customHeight="1">
      <c r="A1817" s="198"/>
    </row>
    <row r="1818" spans="1:1" s="199" customFormat="1" ht="12" hidden="1" customHeight="1">
      <c r="A1818" s="198"/>
    </row>
    <row r="1819" spans="1:1" s="199" customFormat="1" ht="12" hidden="1" customHeight="1">
      <c r="A1819" s="198"/>
    </row>
    <row r="1820" spans="1:1" s="199" customFormat="1" ht="12" hidden="1" customHeight="1">
      <c r="A1820" s="198"/>
    </row>
    <row r="1821" spans="1:1" s="199" customFormat="1" ht="12" hidden="1" customHeight="1">
      <c r="A1821" s="198"/>
    </row>
    <row r="1822" spans="1:1" s="199" customFormat="1" ht="12" hidden="1" customHeight="1">
      <c r="A1822" s="198"/>
    </row>
    <row r="1823" spans="1:1" s="199" customFormat="1" ht="12" hidden="1" customHeight="1">
      <c r="A1823" s="198"/>
    </row>
    <row r="1824" spans="1:1" s="199" customFormat="1" ht="12" hidden="1" customHeight="1">
      <c r="A1824" s="198"/>
    </row>
    <row r="1825" spans="1:1" s="199" customFormat="1" ht="12" hidden="1" customHeight="1">
      <c r="A1825" s="198"/>
    </row>
    <row r="1826" spans="1:1" s="199" customFormat="1" ht="12" hidden="1" customHeight="1">
      <c r="A1826" s="198"/>
    </row>
    <row r="1827" spans="1:1" s="199" customFormat="1" ht="12" hidden="1" customHeight="1">
      <c r="A1827" s="198"/>
    </row>
    <row r="1828" spans="1:1" s="199" customFormat="1" ht="12" hidden="1" customHeight="1">
      <c r="A1828" s="198"/>
    </row>
    <row r="1829" spans="1:1" s="199" customFormat="1" ht="12" hidden="1" customHeight="1">
      <c r="A1829" s="198"/>
    </row>
    <row r="1830" spans="1:1" s="199" customFormat="1" ht="12" hidden="1" customHeight="1">
      <c r="A1830" s="198"/>
    </row>
    <row r="1831" spans="1:1" s="199" customFormat="1" ht="12" hidden="1" customHeight="1">
      <c r="A1831" s="198"/>
    </row>
    <row r="1832" spans="1:1" s="199" customFormat="1" ht="12" hidden="1" customHeight="1">
      <c r="A1832" s="198"/>
    </row>
    <row r="1833" spans="1:1" s="199" customFormat="1" ht="12" hidden="1" customHeight="1">
      <c r="A1833" s="198"/>
    </row>
    <row r="1834" spans="1:1" s="199" customFormat="1" ht="12" hidden="1" customHeight="1">
      <c r="A1834" s="198"/>
    </row>
    <row r="1835" spans="1:1" s="199" customFormat="1" ht="12" hidden="1" customHeight="1">
      <c r="A1835" s="198"/>
    </row>
    <row r="1836" spans="1:1" s="199" customFormat="1" ht="12" hidden="1" customHeight="1">
      <c r="A1836" s="198"/>
    </row>
    <row r="1837" spans="1:1" s="199" customFormat="1" ht="12" hidden="1" customHeight="1">
      <c r="A1837" s="198"/>
    </row>
    <row r="1838" spans="1:1" s="199" customFormat="1" ht="12" hidden="1" customHeight="1">
      <c r="A1838" s="198"/>
    </row>
    <row r="1839" spans="1:1" s="199" customFormat="1" ht="12" hidden="1" customHeight="1">
      <c r="A1839" s="198"/>
    </row>
    <row r="1840" spans="1:1" s="199" customFormat="1" ht="12" hidden="1" customHeight="1">
      <c r="A1840" s="198"/>
    </row>
    <row r="1841" spans="1:1" s="199" customFormat="1" ht="12" hidden="1" customHeight="1">
      <c r="A1841" s="198"/>
    </row>
    <row r="1842" spans="1:1" s="199" customFormat="1" ht="12" hidden="1" customHeight="1">
      <c r="A1842" s="198"/>
    </row>
    <row r="1843" spans="1:1" s="199" customFormat="1" ht="12" hidden="1" customHeight="1">
      <c r="A1843" s="198"/>
    </row>
    <row r="1844" spans="1:1" s="199" customFormat="1" ht="12" hidden="1" customHeight="1">
      <c r="A1844" s="198"/>
    </row>
    <row r="1845" spans="1:1" s="199" customFormat="1" ht="12" hidden="1" customHeight="1">
      <c r="A1845" s="198"/>
    </row>
    <row r="1846" spans="1:1" s="199" customFormat="1" ht="12" hidden="1" customHeight="1">
      <c r="A1846" s="198"/>
    </row>
    <row r="1847" spans="1:1" s="199" customFormat="1" ht="12" hidden="1" customHeight="1">
      <c r="A1847" s="198"/>
    </row>
    <row r="1848" spans="1:1" s="199" customFormat="1" ht="12" hidden="1" customHeight="1">
      <c r="A1848" s="198"/>
    </row>
    <row r="1849" spans="1:1" s="199" customFormat="1" ht="12" hidden="1" customHeight="1">
      <c r="A1849" s="198"/>
    </row>
    <row r="1850" spans="1:1" s="199" customFormat="1" ht="12" hidden="1" customHeight="1">
      <c r="A1850" s="198"/>
    </row>
    <row r="1851" spans="1:1" s="199" customFormat="1" ht="12" hidden="1" customHeight="1">
      <c r="A1851" s="198"/>
    </row>
    <row r="1852" spans="1:1" s="199" customFormat="1" ht="12" hidden="1" customHeight="1">
      <c r="A1852" s="198"/>
    </row>
    <row r="1853" spans="1:1" s="199" customFormat="1" ht="12" hidden="1" customHeight="1">
      <c r="A1853" s="198"/>
    </row>
    <row r="1854" spans="1:1" s="199" customFormat="1" ht="12" hidden="1" customHeight="1">
      <c r="A1854" s="198"/>
    </row>
    <row r="1855" spans="1:1" s="199" customFormat="1" ht="12" hidden="1" customHeight="1">
      <c r="A1855" s="198"/>
    </row>
    <row r="1856" spans="1:1" s="199" customFormat="1" ht="12" hidden="1" customHeight="1">
      <c r="A1856" s="198"/>
    </row>
    <row r="1857" spans="1:1" s="199" customFormat="1" ht="12" hidden="1" customHeight="1">
      <c r="A1857" s="198"/>
    </row>
    <row r="1858" spans="1:1" s="199" customFormat="1" ht="12" hidden="1" customHeight="1">
      <c r="A1858" s="198"/>
    </row>
    <row r="1859" spans="1:1" s="199" customFormat="1" ht="12" hidden="1" customHeight="1">
      <c r="A1859" s="198"/>
    </row>
    <row r="1860" spans="1:1" s="199" customFormat="1" ht="12" hidden="1" customHeight="1">
      <c r="A1860" s="198"/>
    </row>
    <row r="1861" spans="1:1" s="199" customFormat="1" ht="12" hidden="1" customHeight="1">
      <c r="A1861" s="198"/>
    </row>
    <row r="1862" spans="1:1" s="199" customFormat="1" ht="12" hidden="1" customHeight="1">
      <c r="A1862" s="198"/>
    </row>
    <row r="1863" spans="1:1" s="199" customFormat="1" ht="12" hidden="1" customHeight="1">
      <c r="A1863" s="198"/>
    </row>
    <row r="1864" spans="1:1" s="199" customFormat="1" ht="12" hidden="1" customHeight="1">
      <c r="A1864" s="198"/>
    </row>
    <row r="1865" spans="1:1" s="199" customFormat="1" ht="12" hidden="1" customHeight="1">
      <c r="A1865" s="198"/>
    </row>
    <row r="1866" spans="1:1" s="199" customFormat="1" ht="12" hidden="1" customHeight="1">
      <c r="A1866" s="198"/>
    </row>
    <row r="1867" spans="1:1" s="199" customFormat="1" ht="12" hidden="1" customHeight="1">
      <c r="A1867" s="198"/>
    </row>
    <row r="1868" spans="1:1" s="199" customFormat="1" ht="12" hidden="1" customHeight="1">
      <c r="A1868" s="198"/>
    </row>
    <row r="1869" spans="1:1" s="199" customFormat="1" ht="12" hidden="1" customHeight="1">
      <c r="A1869" s="198"/>
    </row>
    <row r="1870" spans="1:1" s="199" customFormat="1" ht="12" hidden="1" customHeight="1">
      <c r="A1870" s="198"/>
    </row>
    <row r="1871" spans="1:1" s="199" customFormat="1" ht="12" hidden="1" customHeight="1">
      <c r="A1871" s="198"/>
    </row>
    <row r="1872" spans="1:1" s="199" customFormat="1" ht="12" hidden="1" customHeight="1">
      <c r="A1872" s="198"/>
    </row>
    <row r="1873" spans="1:1" s="199" customFormat="1" ht="12" hidden="1" customHeight="1">
      <c r="A1873" s="198"/>
    </row>
    <row r="1874" spans="1:1" s="199" customFormat="1" ht="12" hidden="1" customHeight="1">
      <c r="A1874" s="198"/>
    </row>
    <row r="1875" spans="1:1" s="199" customFormat="1" ht="12" hidden="1" customHeight="1">
      <c r="A1875" s="198"/>
    </row>
    <row r="1876" spans="1:1" s="199" customFormat="1" ht="12" hidden="1" customHeight="1">
      <c r="A1876" s="198"/>
    </row>
    <row r="1877" spans="1:1" s="199" customFormat="1" ht="12" hidden="1" customHeight="1">
      <c r="A1877" s="198"/>
    </row>
    <row r="1878" spans="1:1" s="199" customFormat="1" ht="12" hidden="1" customHeight="1">
      <c r="A1878" s="198"/>
    </row>
    <row r="1879" spans="1:1" s="199" customFormat="1" ht="12" hidden="1" customHeight="1">
      <c r="A1879" s="198"/>
    </row>
    <row r="1880" spans="1:1" s="199" customFormat="1" ht="12" hidden="1" customHeight="1">
      <c r="A1880" s="198"/>
    </row>
    <row r="1881" spans="1:1" s="199" customFormat="1" ht="12" hidden="1" customHeight="1">
      <c r="A1881" s="198"/>
    </row>
    <row r="1882" spans="1:1" s="199" customFormat="1" ht="12" hidden="1" customHeight="1">
      <c r="A1882" s="198"/>
    </row>
    <row r="1883" spans="1:1" s="199" customFormat="1" ht="12" hidden="1" customHeight="1">
      <c r="A1883" s="198"/>
    </row>
    <row r="1884" spans="1:1" s="199" customFormat="1" ht="12" hidden="1" customHeight="1">
      <c r="A1884" s="198"/>
    </row>
    <row r="1885" spans="1:1" s="199" customFormat="1" ht="12" hidden="1" customHeight="1">
      <c r="A1885" s="198"/>
    </row>
    <row r="1886" spans="1:1" s="199" customFormat="1" ht="12" hidden="1" customHeight="1">
      <c r="A1886" s="198"/>
    </row>
    <row r="1887" spans="1:1" s="199" customFormat="1" ht="12" hidden="1" customHeight="1">
      <c r="A1887" s="198"/>
    </row>
    <row r="1888" spans="1:1" s="199" customFormat="1" ht="12" hidden="1" customHeight="1">
      <c r="A1888" s="198"/>
    </row>
    <row r="1889" spans="1:1" s="199" customFormat="1" ht="12" hidden="1" customHeight="1">
      <c r="A1889" s="198"/>
    </row>
    <row r="1890" spans="1:1" s="199" customFormat="1" ht="12" hidden="1" customHeight="1">
      <c r="A1890" s="198"/>
    </row>
    <row r="1891" spans="1:1" s="199" customFormat="1" ht="12" hidden="1" customHeight="1">
      <c r="A1891" s="198"/>
    </row>
    <row r="1892" spans="1:1" s="199" customFormat="1" ht="12" hidden="1" customHeight="1">
      <c r="A1892" s="198"/>
    </row>
    <row r="1893" spans="1:1" s="199" customFormat="1" ht="12" hidden="1" customHeight="1">
      <c r="A1893" s="198"/>
    </row>
    <row r="1894" spans="1:1" s="199" customFormat="1" ht="12" hidden="1" customHeight="1">
      <c r="A1894" s="198"/>
    </row>
    <row r="1895" spans="1:1" s="199" customFormat="1" ht="12" hidden="1" customHeight="1">
      <c r="A1895" s="198"/>
    </row>
    <row r="1896" spans="1:1" s="199" customFormat="1" ht="12" hidden="1" customHeight="1">
      <c r="A1896" s="198"/>
    </row>
    <row r="1897" spans="1:1" s="199" customFormat="1" ht="12" hidden="1" customHeight="1">
      <c r="A1897" s="198"/>
    </row>
    <row r="1898" spans="1:1" s="199" customFormat="1" ht="12" hidden="1" customHeight="1">
      <c r="A1898" s="198"/>
    </row>
    <row r="1899" spans="1:1" s="199" customFormat="1" ht="12" hidden="1" customHeight="1">
      <c r="A1899" s="198"/>
    </row>
    <row r="1900" spans="1:1" s="199" customFormat="1" ht="12" hidden="1" customHeight="1">
      <c r="A1900" s="198"/>
    </row>
    <row r="1901" spans="1:1" s="199" customFormat="1" ht="12" hidden="1" customHeight="1">
      <c r="A1901" s="198"/>
    </row>
    <row r="1902" spans="1:1" s="199" customFormat="1" ht="12" hidden="1" customHeight="1">
      <c r="A1902" s="198"/>
    </row>
    <row r="1903" spans="1:1" s="199" customFormat="1" ht="12" hidden="1" customHeight="1">
      <c r="A1903" s="198"/>
    </row>
    <row r="1904" spans="1:1" s="199" customFormat="1" ht="12" hidden="1" customHeight="1">
      <c r="A1904" s="198"/>
    </row>
    <row r="1905" spans="1:1" s="199" customFormat="1" ht="12" hidden="1" customHeight="1">
      <c r="A1905" s="198"/>
    </row>
    <row r="1906" spans="1:1" s="199" customFormat="1" ht="12" hidden="1" customHeight="1">
      <c r="A1906" s="198"/>
    </row>
    <row r="1907" spans="1:1" s="199" customFormat="1" ht="12" hidden="1" customHeight="1">
      <c r="A1907" s="198"/>
    </row>
    <row r="1908" spans="1:1" s="199" customFormat="1" ht="12" hidden="1" customHeight="1">
      <c r="A1908" s="198"/>
    </row>
    <row r="1909" spans="1:1" s="199" customFormat="1" ht="12" hidden="1" customHeight="1">
      <c r="A1909" s="198"/>
    </row>
    <row r="1910" spans="1:1" s="199" customFormat="1" ht="12" hidden="1" customHeight="1">
      <c r="A1910" s="198"/>
    </row>
    <row r="1911" spans="1:1" s="199" customFormat="1" ht="12" hidden="1" customHeight="1">
      <c r="A1911" s="198"/>
    </row>
    <row r="1912" spans="1:1" s="199" customFormat="1" ht="12" hidden="1" customHeight="1">
      <c r="A1912" s="198"/>
    </row>
    <row r="1913" spans="1:1" s="199" customFormat="1" ht="12" hidden="1" customHeight="1">
      <c r="A1913" s="198"/>
    </row>
    <row r="1914" spans="1:1" s="199" customFormat="1" ht="12" hidden="1" customHeight="1">
      <c r="A1914" s="198"/>
    </row>
    <row r="1915" spans="1:1" s="199" customFormat="1" ht="12" hidden="1" customHeight="1">
      <c r="A1915" s="198"/>
    </row>
    <row r="1916" spans="1:1" s="199" customFormat="1" ht="12" hidden="1" customHeight="1">
      <c r="A1916" s="198"/>
    </row>
    <row r="1917" spans="1:1" s="199" customFormat="1" ht="12" hidden="1" customHeight="1">
      <c r="A1917" s="198"/>
    </row>
    <row r="1918" spans="1:1" s="199" customFormat="1" ht="12" hidden="1" customHeight="1">
      <c r="A1918" s="198"/>
    </row>
    <row r="1919" spans="1:1" s="199" customFormat="1" ht="12" hidden="1" customHeight="1">
      <c r="A1919" s="198"/>
    </row>
    <row r="1920" spans="1:1" s="199" customFormat="1" ht="12" hidden="1" customHeight="1">
      <c r="A1920" s="198"/>
    </row>
    <row r="1921" spans="1:1" s="199" customFormat="1" ht="12" hidden="1" customHeight="1">
      <c r="A1921" s="198"/>
    </row>
    <row r="1922" spans="1:1" s="199" customFormat="1" ht="12" hidden="1" customHeight="1">
      <c r="A1922" s="198"/>
    </row>
    <row r="1923" spans="1:1" s="199" customFormat="1" ht="12" hidden="1" customHeight="1">
      <c r="A1923" s="198"/>
    </row>
    <row r="1924" spans="1:1" s="199" customFormat="1" ht="12" hidden="1" customHeight="1">
      <c r="A1924" s="198"/>
    </row>
    <row r="1925" spans="1:1" s="199" customFormat="1" ht="12" hidden="1" customHeight="1">
      <c r="A1925" s="198"/>
    </row>
    <row r="1926" spans="1:1" s="199" customFormat="1" ht="12" hidden="1" customHeight="1">
      <c r="A1926" s="198"/>
    </row>
    <row r="1927" spans="1:1" s="199" customFormat="1" ht="12" hidden="1" customHeight="1">
      <c r="A1927" s="198"/>
    </row>
    <row r="1928" spans="1:1" s="199" customFormat="1" ht="12" hidden="1" customHeight="1">
      <c r="A1928" s="198"/>
    </row>
    <row r="1929" spans="1:1" s="199" customFormat="1" ht="12" hidden="1" customHeight="1">
      <c r="A1929" s="198"/>
    </row>
    <row r="1930" spans="1:1" s="199" customFormat="1" ht="12" hidden="1" customHeight="1">
      <c r="A1930" s="198"/>
    </row>
    <row r="1931" spans="1:1" s="199" customFormat="1" ht="12" hidden="1" customHeight="1">
      <c r="A1931" s="198"/>
    </row>
    <row r="1932" spans="1:1" s="199" customFormat="1" ht="12" hidden="1" customHeight="1">
      <c r="A1932" s="198"/>
    </row>
    <row r="1933" spans="1:1" s="199" customFormat="1" ht="12" hidden="1" customHeight="1">
      <c r="A1933" s="198"/>
    </row>
    <row r="1934" spans="1:1" s="199" customFormat="1" ht="12" hidden="1" customHeight="1">
      <c r="A1934" s="198"/>
    </row>
    <row r="1935" spans="1:1" s="199" customFormat="1" ht="12" hidden="1" customHeight="1">
      <c r="A1935" s="198"/>
    </row>
    <row r="1936" spans="1:1" s="199" customFormat="1" ht="12" hidden="1" customHeight="1">
      <c r="A1936" s="198"/>
    </row>
    <row r="1937" spans="1:1" s="199" customFormat="1" ht="12" hidden="1" customHeight="1">
      <c r="A1937" s="198"/>
    </row>
    <row r="1938" spans="1:1" s="199" customFormat="1" ht="12" hidden="1" customHeight="1">
      <c r="A1938" s="198"/>
    </row>
    <row r="1939" spans="1:1" s="199" customFormat="1" ht="12" hidden="1" customHeight="1">
      <c r="A1939" s="198"/>
    </row>
    <row r="1940" spans="1:1" s="199" customFormat="1" ht="12" hidden="1" customHeight="1">
      <c r="A1940" s="198"/>
    </row>
    <row r="1941" spans="1:1" s="199" customFormat="1" ht="12" hidden="1" customHeight="1">
      <c r="A1941" s="198"/>
    </row>
    <row r="1942" spans="1:1" s="199" customFormat="1" ht="12" hidden="1" customHeight="1">
      <c r="A1942" s="198"/>
    </row>
    <row r="1943" spans="1:1" s="199" customFormat="1" ht="12" hidden="1" customHeight="1">
      <c r="A1943" s="198"/>
    </row>
    <row r="1944" spans="1:1" s="199" customFormat="1" ht="12" hidden="1" customHeight="1">
      <c r="A1944" s="198"/>
    </row>
    <row r="1945" spans="1:1" s="199" customFormat="1" ht="12" hidden="1" customHeight="1">
      <c r="A1945" s="198"/>
    </row>
    <row r="1946" spans="1:1" s="199" customFormat="1" ht="12" hidden="1" customHeight="1">
      <c r="A1946" s="198"/>
    </row>
    <row r="1947" spans="1:1" s="199" customFormat="1" ht="12" hidden="1" customHeight="1">
      <c r="A1947" s="198"/>
    </row>
    <row r="1948" spans="1:1" s="199" customFormat="1" ht="12" hidden="1" customHeight="1">
      <c r="A1948" s="198"/>
    </row>
    <row r="1949" spans="1:1" s="199" customFormat="1" ht="12" hidden="1" customHeight="1">
      <c r="A1949" s="198"/>
    </row>
    <row r="1950" spans="1:1" s="199" customFormat="1" ht="12" hidden="1" customHeight="1">
      <c r="A1950" s="198"/>
    </row>
    <row r="1951" spans="1:1" s="199" customFormat="1" ht="12" hidden="1" customHeight="1">
      <c r="A1951" s="198"/>
    </row>
    <row r="1952" spans="1:1" s="199" customFormat="1" ht="12" hidden="1" customHeight="1">
      <c r="A1952" s="198"/>
    </row>
    <row r="1953" spans="1:1" s="199" customFormat="1" ht="12" hidden="1" customHeight="1">
      <c r="A1953" s="198"/>
    </row>
    <row r="1954" spans="1:1" s="199" customFormat="1" ht="12" hidden="1" customHeight="1">
      <c r="A1954" s="198"/>
    </row>
    <row r="1955" spans="1:1" s="199" customFormat="1" ht="12" hidden="1" customHeight="1">
      <c r="A1955" s="198"/>
    </row>
    <row r="1956" spans="1:1" s="199" customFormat="1" ht="12" hidden="1" customHeight="1">
      <c r="A1956" s="198"/>
    </row>
    <row r="1957" spans="1:1" s="199" customFormat="1" ht="12" hidden="1" customHeight="1">
      <c r="A1957" s="198"/>
    </row>
    <row r="1958" spans="1:1" s="199" customFormat="1" ht="12" hidden="1" customHeight="1">
      <c r="A1958" s="198"/>
    </row>
    <row r="1959" spans="1:1" s="199" customFormat="1" ht="12" hidden="1" customHeight="1">
      <c r="A1959" s="198"/>
    </row>
    <row r="1960" spans="1:1" s="199" customFormat="1" ht="12" hidden="1" customHeight="1">
      <c r="A1960" s="198"/>
    </row>
    <row r="1961" spans="1:1" s="199" customFormat="1" ht="12" hidden="1" customHeight="1">
      <c r="A1961" s="198"/>
    </row>
    <row r="1962" spans="1:1" s="199" customFormat="1" ht="12" hidden="1" customHeight="1">
      <c r="A1962" s="198"/>
    </row>
    <row r="1963" spans="1:1" s="199" customFormat="1" ht="12" hidden="1" customHeight="1">
      <c r="A1963" s="198"/>
    </row>
    <row r="1964" spans="1:1" s="199" customFormat="1" ht="12" hidden="1" customHeight="1">
      <c r="A1964" s="198"/>
    </row>
    <row r="1965" spans="1:1" s="199" customFormat="1" ht="12" hidden="1" customHeight="1">
      <c r="A1965" s="198"/>
    </row>
    <row r="1966" spans="1:1" s="199" customFormat="1" ht="12" hidden="1" customHeight="1">
      <c r="A1966" s="198"/>
    </row>
    <row r="1967" spans="1:1" s="199" customFormat="1" ht="12" hidden="1" customHeight="1">
      <c r="A1967" s="198"/>
    </row>
    <row r="1968" spans="1:1" s="199" customFormat="1" ht="12" hidden="1" customHeight="1">
      <c r="A1968" s="198"/>
    </row>
    <row r="1969" spans="1:1" s="199" customFormat="1" ht="12" hidden="1" customHeight="1">
      <c r="A1969" s="198"/>
    </row>
    <row r="1970" spans="1:1" s="199" customFormat="1" ht="12" hidden="1" customHeight="1">
      <c r="A1970" s="198"/>
    </row>
    <row r="1971" spans="1:1" s="199" customFormat="1" ht="12" hidden="1" customHeight="1">
      <c r="A1971" s="198"/>
    </row>
    <row r="1972" spans="1:1" s="199" customFormat="1" ht="12" hidden="1" customHeight="1">
      <c r="A1972" s="198"/>
    </row>
    <row r="1973" spans="1:1" s="199" customFormat="1" ht="12" hidden="1" customHeight="1">
      <c r="A1973" s="198"/>
    </row>
    <row r="1974" spans="1:1" s="199" customFormat="1" ht="12" hidden="1" customHeight="1">
      <c r="A1974" s="198"/>
    </row>
    <row r="1975" spans="1:1" s="199" customFormat="1" ht="12" hidden="1" customHeight="1">
      <c r="A1975" s="198"/>
    </row>
    <row r="1976" spans="1:1" s="199" customFormat="1" ht="12" hidden="1" customHeight="1">
      <c r="A1976" s="198"/>
    </row>
    <row r="1977" spans="1:1" s="199" customFormat="1" ht="12" hidden="1" customHeight="1">
      <c r="A1977" s="198"/>
    </row>
    <row r="1978" spans="1:1" s="199" customFormat="1" ht="12" hidden="1" customHeight="1">
      <c r="A1978" s="198"/>
    </row>
    <row r="1979" spans="1:1" s="199" customFormat="1" ht="12" hidden="1" customHeight="1">
      <c r="A1979" s="198"/>
    </row>
    <row r="1980" spans="1:1" s="199" customFormat="1" ht="12" hidden="1" customHeight="1">
      <c r="A1980" s="198"/>
    </row>
    <row r="1981" spans="1:1" s="199" customFormat="1" ht="12" hidden="1" customHeight="1">
      <c r="A1981" s="198"/>
    </row>
    <row r="1982" spans="1:1" s="199" customFormat="1" ht="12" hidden="1" customHeight="1">
      <c r="A1982" s="198"/>
    </row>
    <row r="1983" spans="1:1" s="199" customFormat="1" ht="12" hidden="1" customHeight="1">
      <c r="A1983" s="198"/>
    </row>
    <row r="1984" spans="1:1" s="199" customFormat="1" ht="12" hidden="1" customHeight="1">
      <c r="A1984" s="198"/>
    </row>
    <row r="1985" spans="1:1" s="199" customFormat="1" ht="12" hidden="1" customHeight="1">
      <c r="A1985" s="198"/>
    </row>
    <row r="1986" spans="1:1" s="199" customFormat="1" ht="12" hidden="1" customHeight="1">
      <c r="A1986" s="198"/>
    </row>
    <row r="1987" spans="1:1" s="199" customFormat="1" ht="12" hidden="1" customHeight="1">
      <c r="A1987" s="198"/>
    </row>
    <row r="1988" spans="1:1" s="199" customFormat="1" ht="12" hidden="1" customHeight="1">
      <c r="A1988" s="198"/>
    </row>
    <row r="1989" spans="1:1" s="199" customFormat="1" ht="12" hidden="1" customHeight="1">
      <c r="A1989" s="198"/>
    </row>
    <row r="1990" spans="1:1" s="199" customFormat="1" ht="12" hidden="1" customHeight="1">
      <c r="A1990" s="198"/>
    </row>
    <row r="1991" spans="1:1" s="199" customFormat="1" ht="12" hidden="1" customHeight="1">
      <c r="A1991" s="198"/>
    </row>
    <row r="1992" spans="1:1" s="199" customFormat="1" ht="12" hidden="1" customHeight="1">
      <c r="A1992" s="198"/>
    </row>
    <row r="1993" spans="1:1" s="199" customFormat="1" ht="12" hidden="1" customHeight="1">
      <c r="A1993" s="198"/>
    </row>
    <row r="1994" spans="1:1" s="199" customFormat="1" ht="12" hidden="1" customHeight="1">
      <c r="A1994" s="198"/>
    </row>
    <row r="1995" spans="1:1" s="199" customFormat="1" ht="12" hidden="1" customHeight="1">
      <c r="A1995" s="198"/>
    </row>
    <row r="1996" spans="1:1" s="199" customFormat="1" ht="12" hidden="1" customHeight="1">
      <c r="A1996" s="198"/>
    </row>
    <row r="1997" spans="1:1" s="199" customFormat="1" ht="12" hidden="1" customHeight="1">
      <c r="A1997" s="198"/>
    </row>
    <row r="1998" spans="1:1" s="199" customFormat="1" ht="12" hidden="1" customHeight="1">
      <c r="A1998" s="198"/>
    </row>
    <row r="1999" spans="1:1" s="199" customFormat="1" ht="12" hidden="1" customHeight="1">
      <c r="A1999" s="198"/>
    </row>
    <row r="2000" spans="1:1" s="199" customFormat="1" ht="12" hidden="1" customHeight="1">
      <c r="A2000" s="198"/>
    </row>
    <row r="2001" spans="1:1" s="199" customFormat="1" ht="12" hidden="1" customHeight="1">
      <c r="A2001" s="198"/>
    </row>
    <row r="2002" spans="1:1" s="199" customFormat="1" ht="12" hidden="1" customHeight="1">
      <c r="A2002" s="198"/>
    </row>
    <row r="2003" spans="1:1" s="199" customFormat="1" ht="12" hidden="1" customHeight="1">
      <c r="A2003" s="198"/>
    </row>
    <row r="2004" spans="1:1" s="199" customFormat="1" ht="12" hidden="1" customHeight="1">
      <c r="A2004" s="198"/>
    </row>
    <row r="2005" spans="1:1" s="199" customFormat="1" ht="12" hidden="1" customHeight="1">
      <c r="A2005" s="198"/>
    </row>
    <row r="2006" spans="1:1" s="199" customFormat="1" ht="12" hidden="1" customHeight="1">
      <c r="A2006" s="198"/>
    </row>
    <row r="2007" spans="1:1" s="199" customFormat="1" ht="12" hidden="1" customHeight="1">
      <c r="A2007" s="198"/>
    </row>
    <row r="2008" spans="1:1" s="199" customFormat="1" ht="12" hidden="1" customHeight="1">
      <c r="A2008" s="198"/>
    </row>
    <row r="2009" spans="1:1" s="199" customFormat="1" ht="12" hidden="1" customHeight="1">
      <c r="A2009" s="198"/>
    </row>
    <row r="2010" spans="1:1" s="199" customFormat="1" ht="12" hidden="1" customHeight="1">
      <c r="A2010" s="198"/>
    </row>
    <row r="2011" spans="1:1" s="199" customFormat="1" ht="12" hidden="1" customHeight="1">
      <c r="A2011" s="198"/>
    </row>
    <row r="2012" spans="1:1" s="199" customFormat="1" ht="12" hidden="1" customHeight="1">
      <c r="A2012" s="198"/>
    </row>
    <row r="2013" spans="1:1" s="199" customFormat="1" ht="12" hidden="1" customHeight="1">
      <c r="A2013" s="198"/>
    </row>
    <row r="2014" spans="1:1" s="199" customFormat="1" ht="12" hidden="1" customHeight="1">
      <c r="A2014" s="198"/>
    </row>
    <row r="2015" spans="1:1" s="199" customFormat="1" ht="12" hidden="1" customHeight="1">
      <c r="A2015" s="198"/>
    </row>
    <row r="2016" spans="1:1" s="199" customFormat="1" ht="12" hidden="1" customHeight="1">
      <c r="A2016" s="198"/>
    </row>
    <row r="2017" spans="1:1" s="199" customFormat="1" ht="12" hidden="1" customHeight="1">
      <c r="A2017" s="198"/>
    </row>
    <row r="2018" spans="1:1" s="199" customFormat="1" ht="12" hidden="1" customHeight="1">
      <c r="A2018" s="198"/>
    </row>
    <row r="2019" spans="1:1" s="199" customFormat="1" ht="12" hidden="1" customHeight="1">
      <c r="A2019" s="198"/>
    </row>
    <row r="2020" spans="1:1" s="199" customFormat="1" ht="12" hidden="1" customHeight="1">
      <c r="A2020" s="198"/>
    </row>
    <row r="2021" spans="1:1" s="199" customFormat="1" ht="12" hidden="1" customHeight="1">
      <c r="A2021" s="198"/>
    </row>
    <row r="2022" spans="1:1" s="199" customFormat="1" ht="12" hidden="1" customHeight="1">
      <c r="A2022" s="198"/>
    </row>
    <row r="2023" spans="1:1" s="199" customFormat="1" ht="12" hidden="1" customHeight="1">
      <c r="A2023" s="198"/>
    </row>
    <row r="2024" spans="1:1" s="199" customFormat="1" ht="12" hidden="1" customHeight="1">
      <c r="A2024" s="198"/>
    </row>
    <row r="2025" spans="1:1" s="199" customFormat="1" ht="12" hidden="1" customHeight="1">
      <c r="A2025" s="198"/>
    </row>
    <row r="2026" spans="1:1" s="199" customFormat="1" ht="12" hidden="1" customHeight="1">
      <c r="A2026" s="198"/>
    </row>
    <row r="2027" spans="1:1" s="199" customFormat="1" ht="12" hidden="1" customHeight="1">
      <c r="A2027" s="198"/>
    </row>
    <row r="2028" spans="1:1" s="199" customFormat="1" ht="12" hidden="1" customHeight="1">
      <c r="A2028" s="198"/>
    </row>
    <row r="2029" spans="1:1" s="199" customFormat="1" ht="12" hidden="1" customHeight="1">
      <c r="A2029" s="198"/>
    </row>
    <row r="2030" spans="1:1" s="199" customFormat="1" ht="12" hidden="1" customHeight="1">
      <c r="A2030" s="198"/>
    </row>
    <row r="2031" spans="1:1" s="199" customFormat="1" ht="12" hidden="1" customHeight="1">
      <c r="A2031" s="198"/>
    </row>
    <row r="2032" spans="1:1" s="199" customFormat="1" ht="12" hidden="1" customHeight="1">
      <c r="A2032" s="198"/>
    </row>
    <row r="2033" spans="1:1" s="199" customFormat="1" ht="12" hidden="1" customHeight="1">
      <c r="A2033" s="198"/>
    </row>
    <row r="2034" spans="1:1" s="199" customFormat="1" ht="12" hidden="1" customHeight="1">
      <c r="A2034" s="198"/>
    </row>
    <row r="2035" spans="1:1" s="199" customFormat="1" ht="12" hidden="1" customHeight="1">
      <c r="A2035" s="198"/>
    </row>
    <row r="2036" spans="1:1" s="199" customFormat="1" ht="12" hidden="1" customHeight="1">
      <c r="A2036" s="198"/>
    </row>
    <row r="2037" spans="1:1" s="199" customFormat="1" ht="12" hidden="1" customHeight="1">
      <c r="A2037" s="198"/>
    </row>
    <row r="2038" spans="1:1" s="199" customFormat="1" ht="12" hidden="1" customHeight="1">
      <c r="A2038" s="198"/>
    </row>
    <row r="2039" spans="1:1" s="199" customFormat="1" ht="12" hidden="1" customHeight="1">
      <c r="A2039" s="198"/>
    </row>
    <row r="2040" spans="1:1" s="199" customFormat="1" ht="12" hidden="1" customHeight="1">
      <c r="A2040" s="198"/>
    </row>
    <row r="2041" spans="1:1" s="199" customFormat="1" ht="12" hidden="1" customHeight="1">
      <c r="A2041" s="198"/>
    </row>
    <row r="2042" spans="1:1" s="199" customFormat="1" ht="12" hidden="1" customHeight="1">
      <c r="A2042" s="198"/>
    </row>
    <row r="2043" spans="1:1" s="199" customFormat="1" ht="12" hidden="1" customHeight="1">
      <c r="A2043" s="198"/>
    </row>
    <row r="2044" spans="1:1" s="199" customFormat="1" ht="12" hidden="1" customHeight="1">
      <c r="A2044" s="198"/>
    </row>
    <row r="2045" spans="1:1" s="199" customFormat="1" ht="12" hidden="1" customHeight="1">
      <c r="A2045" s="198"/>
    </row>
    <row r="2046" spans="1:1" s="199" customFormat="1" ht="12" hidden="1" customHeight="1">
      <c r="A2046" s="198"/>
    </row>
    <row r="2047" spans="1:1" s="199" customFormat="1" ht="12" hidden="1" customHeight="1">
      <c r="A2047" s="198"/>
    </row>
    <row r="2048" spans="1:1" s="199" customFormat="1" ht="12" hidden="1" customHeight="1">
      <c r="A2048" s="198"/>
    </row>
    <row r="2049" spans="1:1" s="199" customFormat="1" ht="12" hidden="1" customHeight="1">
      <c r="A2049" s="198"/>
    </row>
    <row r="2050" spans="1:1" s="199" customFormat="1" ht="12" hidden="1" customHeight="1">
      <c r="A2050" s="198"/>
    </row>
    <row r="2051" spans="1:1" s="199" customFormat="1" ht="12" hidden="1" customHeight="1">
      <c r="A2051" s="198"/>
    </row>
    <row r="2052" spans="1:1" s="199" customFormat="1" ht="12" hidden="1" customHeight="1">
      <c r="A2052" s="198"/>
    </row>
    <row r="2053" spans="1:1" s="199" customFormat="1" ht="12" hidden="1" customHeight="1">
      <c r="A2053" s="198"/>
    </row>
    <row r="2054" spans="1:1" s="199" customFormat="1" ht="12" hidden="1" customHeight="1">
      <c r="A2054" s="198"/>
    </row>
    <row r="2055" spans="1:1" s="199" customFormat="1" ht="12" hidden="1" customHeight="1">
      <c r="A2055" s="198"/>
    </row>
    <row r="2056" spans="1:1" s="199" customFormat="1" ht="12" hidden="1" customHeight="1">
      <c r="A2056" s="198"/>
    </row>
    <row r="2057" spans="1:1" s="199" customFormat="1" ht="12" hidden="1" customHeight="1">
      <c r="A2057" s="198"/>
    </row>
    <row r="2058" spans="1:1" s="199" customFormat="1" ht="12" hidden="1" customHeight="1">
      <c r="A2058" s="198"/>
    </row>
    <row r="2059" spans="1:1" s="199" customFormat="1" ht="12" hidden="1" customHeight="1">
      <c r="A2059" s="198"/>
    </row>
    <row r="2060" spans="1:1" s="199" customFormat="1" ht="12" hidden="1" customHeight="1">
      <c r="A2060" s="198"/>
    </row>
    <row r="2061" spans="1:1" s="199" customFormat="1" ht="12" hidden="1" customHeight="1">
      <c r="A2061" s="198"/>
    </row>
    <row r="2062" spans="1:1" s="199" customFormat="1" ht="12" hidden="1" customHeight="1">
      <c r="A2062" s="198"/>
    </row>
    <row r="2063" spans="1:1" s="199" customFormat="1" ht="12" hidden="1" customHeight="1">
      <c r="A2063" s="198"/>
    </row>
    <row r="2064" spans="1:1" s="199" customFormat="1" ht="12" hidden="1" customHeight="1">
      <c r="A2064" s="198"/>
    </row>
    <row r="2065" spans="1:1" s="199" customFormat="1" ht="12" hidden="1" customHeight="1">
      <c r="A2065" s="198"/>
    </row>
    <row r="2066" spans="1:1" s="199" customFormat="1" ht="12" hidden="1" customHeight="1">
      <c r="A2066" s="198"/>
    </row>
    <row r="2067" spans="1:1" s="199" customFormat="1" ht="12" hidden="1" customHeight="1">
      <c r="A2067" s="198"/>
    </row>
    <row r="2068" spans="1:1" s="199" customFormat="1" ht="12" hidden="1" customHeight="1">
      <c r="A2068" s="198"/>
    </row>
    <row r="2069" spans="1:1" s="199" customFormat="1" ht="12" hidden="1" customHeight="1">
      <c r="A2069" s="198"/>
    </row>
    <row r="2070" spans="1:1" s="199" customFormat="1" ht="12" hidden="1" customHeight="1">
      <c r="A2070" s="198"/>
    </row>
    <row r="2071" spans="1:1" s="199" customFormat="1" ht="12" hidden="1" customHeight="1">
      <c r="A2071" s="198"/>
    </row>
    <row r="2072" spans="1:1" s="199" customFormat="1" ht="12" hidden="1" customHeight="1">
      <c r="A2072" s="198"/>
    </row>
    <row r="2073" spans="1:1" s="199" customFormat="1" ht="12" hidden="1" customHeight="1">
      <c r="A2073" s="198"/>
    </row>
    <row r="2074" spans="1:1" s="199" customFormat="1" ht="12" hidden="1" customHeight="1">
      <c r="A2074" s="198"/>
    </row>
    <row r="2075" spans="1:1" s="199" customFormat="1" ht="12" hidden="1" customHeight="1">
      <c r="A2075" s="198"/>
    </row>
    <row r="2076" spans="1:1" s="199" customFormat="1" ht="12" hidden="1" customHeight="1">
      <c r="A2076" s="198"/>
    </row>
    <row r="2077" spans="1:1" s="199" customFormat="1" ht="12" hidden="1" customHeight="1">
      <c r="A2077" s="198"/>
    </row>
    <row r="2078" spans="1:1" s="199" customFormat="1" ht="12" hidden="1" customHeight="1">
      <c r="A2078" s="198"/>
    </row>
    <row r="2079" spans="1:1" s="199" customFormat="1" ht="12" hidden="1" customHeight="1">
      <c r="A2079" s="198"/>
    </row>
    <row r="2080" spans="1:1" s="199" customFormat="1" ht="12" hidden="1" customHeight="1">
      <c r="A2080" s="198"/>
    </row>
    <row r="2081" spans="1:1" s="199" customFormat="1" ht="12" hidden="1" customHeight="1">
      <c r="A2081" s="198"/>
    </row>
    <row r="2082" spans="1:1" s="199" customFormat="1" ht="12" hidden="1" customHeight="1">
      <c r="A2082" s="198"/>
    </row>
    <row r="2083" spans="1:1" s="199" customFormat="1" ht="12" hidden="1" customHeight="1">
      <c r="A2083" s="198"/>
    </row>
    <row r="2084" spans="1:1" s="199" customFormat="1" ht="12" hidden="1" customHeight="1">
      <c r="A2084" s="198"/>
    </row>
    <row r="2085" spans="1:1" s="199" customFormat="1" ht="12" hidden="1" customHeight="1">
      <c r="A2085" s="198"/>
    </row>
    <row r="2086" spans="1:1" s="199" customFormat="1" ht="12" hidden="1" customHeight="1">
      <c r="A2086" s="198"/>
    </row>
    <row r="2087" spans="1:1" s="199" customFormat="1" ht="12" hidden="1" customHeight="1">
      <c r="A2087" s="198"/>
    </row>
    <row r="2088" spans="1:1" s="199" customFormat="1" ht="12" hidden="1" customHeight="1">
      <c r="A2088" s="198"/>
    </row>
    <row r="2089" spans="1:1" s="199" customFormat="1" ht="12" hidden="1" customHeight="1">
      <c r="A2089" s="198"/>
    </row>
    <row r="2090" spans="1:1" s="199" customFormat="1" ht="12" hidden="1" customHeight="1">
      <c r="A2090" s="198"/>
    </row>
    <row r="2091" spans="1:1" s="199" customFormat="1" ht="12" hidden="1" customHeight="1">
      <c r="A2091" s="198"/>
    </row>
    <row r="2092" spans="1:1" s="199" customFormat="1" ht="12" hidden="1" customHeight="1">
      <c r="A2092" s="198"/>
    </row>
    <row r="2093" spans="1:1" s="199" customFormat="1" ht="12" hidden="1" customHeight="1">
      <c r="A2093" s="198"/>
    </row>
    <row r="2094" spans="1:1" s="199" customFormat="1" ht="12" hidden="1" customHeight="1">
      <c r="A2094" s="198"/>
    </row>
    <row r="2095" spans="1:1" s="199" customFormat="1" ht="12" hidden="1" customHeight="1">
      <c r="A2095" s="198"/>
    </row>
    <row r="2096" spans="1:1" s="199" customFormat="1" ht="12" hidden="1" customHeight="1">
      <c r="A2096" s="198"/>
    </row>
    <row r="2097" spans="1:1" s="199" customFormat="1" ht="12" hidden="1" customHeight="1">
      <c r="A2097" s="198"/>
    </row>
    <row r="2098" spans="1:1" s="199" customFormat="1" ht="12" hidden="1" customHeight="1">
      <c r="A2098" s="198"/>
    </row>
    <row r="2099" spans="1:1" s="199" customFormat="1" ht="12" hidden="1" customHeight="1">
      <c r="A2099" s="198"/>
    </row>
    <row r="2100" spans="1:1" s="199" customFormat="1" ht="12" hidden="1" customHeight="1">
      <c r="A2100" s="198"/>
    </row>
    <row r="2101" spans="1:1" s="199" customFormat="1" ht="12" hidden="1" customHeight="1">
      <c r="A2101" s="198"/>
    </row>
    <row r="2102" spans="1:1" s="199" customFormat="1" ht="12" hidden="1" customHeight="1">
      <c r="A2102" s="198"/>
    </row>
    <row r="2103" spans="1:1" s="199" customFormat="1" ht="12" hidden="1" customHeight="1">
      <c r="A2103" s="198"/>
    </row>
    <row r="2104" spans="1:1" s="199" customFormat="1" ht="12" hidden="1" customHeight="1">
      <c r="A2104" s="198"/>
    </row>
    <row r="2105" spans="1:1" s="199" customFormat="1" ht="12" hidden="1" customHeight="1">
      <c r="A2105" s="198"/>
    </row>
    <row r="2106" spans="1:1" s="199" customFormat="1" ht="12" hidden="1" customHeight="1">
      <c r="A2106" s="198"/>
    </row>
    <row r="2107" spans="1:1" s="199" customFormat="1" ht="12" hidden="1" customHeight="1">
      <c r="A2107" s="198"/>
    </row>
    <row r="2108" spans="1:1" s="199" customFormat="1" ht="12" hidden="1" customHeight="1">
      <c r="A2108" s="198"/>
    </row>
    <row r="2109" spans="1:1" s="199" customFormat="1" ht="12" hidden="1" customHeight="1">
      <c r="A2109" s="198"/>
    </row>
    <row r="2110" spans="1:1" s="199" customFormat="1" ht="12" hidden="1" customHeight="1">
      <c r="A2110" s="198"/>
    </row>
    <row r="2111" spans="1:1" s="199" customFormat="1" ht="12" hidden="1" customHeight="1">
      <c r="A2111" s="198"/>
    </row>
    <row r="2112" spans="1:1" s="199" customFormat="1" ht="12" hidden="1" customHeight="1">
      <c r="A2112" s="198"/>
    </row>
    <row r="2113" spans="1:1" s="199" customFormat="1" ht="12" hidden="1" customHeight="1">
      <c r="A2113" s="198"/>
    </row>
    <row r="2114" spans="1:1" s="199" customFormat="1" ht="12" hidden="1" customHeight="1">
      <c r="A2114" s="198"/>
    </row>
    <row r="2115" spans="1:1" s="199" customFormat="1" ht="12" hidden="1" customHeight="1">
      <c r="A2115" s="198"/>
    </row>
    <row r="2116" spans="1:1" s="199" customFormat="1" ht="12" hidden="1" customHeight="1">
      <c r="A2116" s="198"/>
    </row>
    <row r="2117" spans="1:1" s="199" customFormat="1" ht="12" hidden="1" customHeight="1">
      <c r="A2117" s="198"/>
    </row>
    <row r="2118" spans="1:1" s="199" customFormat="1" ht="12" hidden="1" customHeight="1">
      <c r="A2118" s="198"/>
    </row>
    <row r="2119" spans="1:1" s="199" customFormat="1" ht="12" hidden="1" customHeight="1">
      <c r="A2119" s="198"/>
    </row>
    <row r="2120" spans="1:1" s="199" customFormat="1" ht="12" hidden="1" customHeight="1">
      <c r="A2120" s="198"/>
    </row>
    <row r="2121" spans="1:1" s="199" customFormat="1" ht="12" hidden="1" customHeight="1">
      <c r="A2121" s="198"/>
    </row>
    <row r="2122" spans="1:1" s="199" customFormat="1" ht="12" hidden="1" customHeight="1">
      <c r="A2122" s="198"/>
    </row>
    <row r="2123" spans="1:1" s="199" customFormat="1" ht="12" hidden="1" customHeight="1">
      <c r="A2123" s="198"/>
    </row>
    <row r="2124" spans="1:1" s="199" customFormat="1" ht="12" hidden="1" customHeight="1">
      <c r="A2124" s="198"/>
    </row>
    <row r="2125" spans="1:1" s="199" customFormat="1" ht="12" hidden="1" customHeight="1">
      <c r="A2125" s="198"/>
    </row>
    <row r="2126" spans="1:1" s="199" customFormat="1" ht="12" hidden="1" customHeight="1">
      <c r="A2126" s="198"/>
    </row>
    <row r="2127" spans="1:1" s="199" customFormat="1" ht="12" hidden="1" customHeight="1">
      <c r="A2127" s="198"/>
    </row>
    <row r="2128" spans="1:1" s="199" customFormat="1" ht="12" hidden="1" customHeight="1">
      <c r="A2128" s="198"/>
    </row>
    <row r="2129" spans="1:1" s="199" customFormat="1" ht="12" hidden="1" customHeight="1">
      <c r="A2129" s="198"/>
    </row>
    <row r="2130" spans="1:1" s="199" customFormat="1" ht="12" hidden="1" customHeight="1">
      <c r="A2130" s="198"/>
    </row>
    <row r="2131" spans="1:1" s="199" customFormat="1" ht="12" hidden="1" customHeight="1">
      <c r="A2131" s="198"/>
    </row>
    <row r="2132" spans="1:1" s="199" customFormat="1" ht="12" hidden="1" customHeight="1">
      <c r="A2132" s="198"/>
    </row>
    <row r="2133" spans="1:1" s="199" customFormat="1" ht="12" hidden="1" customHeight="1">
      <c r="A2133" s="198"/>
    </row>
    <row r="2134" spans="1:1" s="199" customFormat="1" ht="12" hidden="1" customHeight="1">
      <c r="A2134" s="198"/>
    </row>
    <row r="2135" spans="1:1" s="199" customFormat="1" ht="12" hidden="1" customHeight="1">
      <c r="A2135" s="198"/>
    </row>
    <row r="2136" spans="1:1" s="199" customFormat="1" ht="12" hidden="1" customHeight="1">
      <c r="A2136" s="198"/>
    </row>
    <row r="2137" spans="1:1" s="199" customFormat="1" ht="12" hidden="1" customHeight="1">
      <c r="A2137" s="198"/>
    </row>
    <row r="2138" spans="1:1" s="199" customFormat="1" ht="12" hidden="1" customHeight="1">
      <c r="A2138" s="198"/>
    </row>
    <row r="2139" spans="1:1" s="199" customFormat="1" ht="12" hidden="1" customHeight="1">
      <c r="A2139" s="198"/>
    </row>
    <row r="2140" spans="1:1" s="199" customFormat="1" ht="12" hidden="1" customHeight="1">
      <c r="A2140" s="198"/>
    </row>
    <row r="2141" spans="1:1" s="199" customFormat="1" ht="12" hidden="1" customHeight="1">
      <c r="A2141" s="198"/>
    </row>
    <row r="2142" spans="1:1" s="199" customFormat="1" ht="12" hidden="1" customHeight="1">
      <c r="A2142" s="198"/>
    </row>
    <row r="2143" spans="1:1" s="199" customFormat="1" ht="12" hidden="1" customHeight="1">
      <c r="A2143" s="198"/>
    </row>
    <row r="2144" spans="1:1" s="199" customFormat="1" ht="12" hidden="1" customHeight="1">
      <c r="A2144" s="198"/>
    </row>
    <row r="2145" spans="1:1" s="199" customFormat="1" ht="12" hidden="1" customHeight="1">
      <c r="A2145" s="198"/>
    </row>
    <row r="2146" spans="1:1" s="199" customFormat="1" ht="12" hidden="1" customHeight="1">
      <c r="A2146" s="198"/>
    </row>
    <row r="2147" spans="1:1" s="199" customFormat="1" ht="12" hidden="1" customHeight="1">
      <c r="A2147" s="198"/>
    </row>
    <row r="2148" spans="1:1" s="199" customFormat="1" ht="12" hidden="1" customHeight="1">
      <c r="A2148" s="198"/>
    </row>
    <row r="2149" spans="1:1" s="199" customFormat="1" ht="12" hidden="1" customHeight="1">
      <c r="A2149" s="198"/>
    </row>
    <row r="2150" spans="1:1" s="199" customFormat="1" ht="12" hidden="1" customHeight="1">
      <c r="A2150" s="198"/>
    </row>
    <row r="2151" spans="1:1" s="199" customFormat="1" ht="12" hidden="1" customHeight="1">
      <c r="A2151" s="198"/>
    </row>
    <row r="2152" spans="1:1" s="199" customFormat="1" ht="12" hidden="1" customHeight="1">
      <c r="A2152" s="198"/>
    </row>
    <row r="2153" spans="1:1" s="199" customFormat="1" ht="12" hidden="1" customHeight="1">
      <c r="A2153" s="198"/>
    </row>
    <row r="2154" spans="1:1" s="199" customFormat="1" ht="12" hidden="1" customHeight="1">
      <c r="A2154" s="198"/>
    </row>
    <row r="2155" spans="1:1" s="199" customFormat="1" ht="12" hidden="1" customHeight="1">
      <c r="A2155" s="198"/>
    </row>
    <row r="2156" spans="1:1" s="199" customFormat="1" ht="12" hidden="1" customHeight="1">
      <c r="A2156" s="198"/>
    </row>
    <row r="2157" spans="1:1" s="199" customFormat="1" ht="12" hidden="1" customHeight="1">
      <c r="A2157" s="198"/>
    </row>
    <row r="2158" spans="1:1" s="199" customFormat="1" ht="12" hidden="1" customHeight="1">
      <c r="A2158" s="198"/>
    </row>
    <row r="2159" spans="1:1" s="199" customFormat="1" ht="12" hidden="1" customHeight="1">
      <c r="A2159" s="198"/>
    </row>
    <row r="2160" spans="1:1" s="199" customFormat="1" ht="12" hidden="1" customHeight="1">
      <c r="A2160" s="198"/>
    </row>
    <row r="2161" spans="1:1" s="199" customFormat="1" ht="12" hidden="1" customHeight="1">
      <c r="A2161" s="198"/>
    </row>
    <row r="2162" spans="1:1" s="199" customFormat="1" ht="12" hidden="1" customHeight="1">
      <c r="A2162" s="198"/>
    </row>
    <row r="2163" spans="1:1" s="199" customFormat="1" ht="12" hidden="1" customHeight="1">
      <c r="A2163" s="198"/>
    </row>
    <row r="2164" spans="1:1" s="199" customFormat="1" ht="12" hidden="1" customHeight="1">
      <c r="A2164" s="198"/>
    </row>
    <row r="2165" spans="1:1" s="199" customFormat="1" ht="12" hidden="1" customHeight="1">
      <c r="A2165" s="198"/>
    </row>
    <row r="2166" spans="1:1" s="199" customFormat="1" ht="12" hidden="1" customHeight="1">
      <c r="A2166" s="198"/>
    </row>
    <row r="2167" spans="1:1" s="199" customFormat="1" ht="12" hidden="1" customHeight="1">
      <c r="A2167" s="198"/>
    </row>
    <row r="2168" spans="1:1" s="199" customFormat="1" ht="12" hidden="1" customHeight="1">
      <c r="A2168" s="198"/>
    </row>
    <row r="2169" spans="1:1" s="199" customFormat="1" ht="12" hidden="1" customHeight="1">
      <c r="A2169" s="198"/>
    </row>
    <row r="2170" spans="1:1" s="199" customFormat="1" ht="12" hidden="1" customHeight="1">
      <c r="A2170" s="198"/>
    </row>
    <row r="2171" spans="1:1" s="199" customFormat="1" ht="12" hidden="1" customHeight="1">
      <c r="A2171" s="198"/>
    </row>
    <row r="2172" spans="1:1" s="199" customFormat="1" ht="12" hidden="1" customHeight="1">
      <c r="A2172" s="198"/>
    </row>
    <row r="2173" spans="1:1" s="199" customFormat="1" ht="12" hidden="1" customHeight="1">
      <c r="A2173" s="198"/>
    </row>
    <row r="2174" spans="1:1" s="199" customFormat="1" ht="12" hidden="1" customHeight="1">
      <c r="A2174" s="198"/>
    </row>
    <row r="2175" spans="1:1" s="199" customFormat="1" ht="12" hidden="1" customHeight="1">
      <c r="A2175" s="198"/>
    </row>
    <row r="2176" spans="1:1" s="199" customFormat="1" ht="12" hidden="1" customHeight="1">
      <c r="A2176" s="198"/>
    </row>
    <row r="2177" spans="1:1" s="199" customFormat="1" ht="12" hidden="1" customHeight="1">
      <c r="A2177" s="198"/>
    </row>
    <row r="2178" spans="1:1" s="199" customFormat="1" ht="12" hidden="1" customHeight="1">
      <c r="A2178" s="198"/>
    </row>
    <row r="2179" spans="1:1" s="199" customFormat="1" ht="12" hidden="1" customHeight="1">
      <c r="A2179" s="198"/>
    </row>
    <row r="2180" spans="1:1" s="199" customFormat="1" ht="12" hidden="1" customHeight="1">
      <c r="A2180" s="198"/>
    </row>
    <row r="2181" spans="1:1" s="199" customFormat="1" ht="12" hidden="1" customHeight="1">
      <c r="A2181" s="198"/>
    </row>
    <row r="2182" spans="1:1" s="199" customFormat="1" ht="12" hidden="1" customHeight="1">
      <c r="A2182" s="198"/>
    </row>
    <row r="2183" spans="1:1" s="199" customFormat="1" ht="12" hidden="1" customHeight="1">
      <c r="A2183" s="198"/>
    </row>
    <row r="2184" spans="1:1" s="199" customFormat="1" ht="12" hidden="1" customHeight="1">
      <c r="A2184" s="198"/>
    </row>
    <row r="2185" spans="1:1" s="199" customFormat="1" ht="12" hidden="1" customHeight="1">
      <c r="A2185" s="198"/>
    </row>
    <row r="2186" spans="1:1" s="199" customFormat="1" ht="12" hidden="1" customHeight="1">
      <c r="A2186" s="198"/>
    </row>
    <row r="2187" spans="1:1" s="199" customFormat="1" ht="12" hidden="1" customHeight="1">
      <c r="A2187" s="198"/>
    </row>
    <row r="2188" spans="1:1" s="199" customFormat="1" ht="12" hidden="1" customHeight="1">
      <c r="A2188" s="198"/>
    </row>
    <row r="2189" spans="1:1" s="199" customFormat="1" ht="12" hidden="1" customHeight="1">
      <c r="A2189" s="198"/>
    </row>
    <row r="2190" spans="1:1" s="199" customFormat="1" ht="12" hidden="1" customHeight="1">
      <c r="A2190" s="198"/>
    </row>
    <row r="2191" spans="1:1" s="199" customFormat="1" ht="12" hidden="1" customHeight="1">
      <c r="A2191" s="198"/>
    </row>
    <row r="2192" spans="1:1" s="199" customFormat="1" ht="12" hidden="1" customHeight="1">
      <c r="A2192" s="198"/>
    </row>
    <row r="2193" spans="1:1" s="199" customFormat="1" ht="12" hidden="1" customHeight="1">
      <c r="A2193" s="198"/>
    </row>
    <row r="2194" spans="1:1" s="199" customFormat="1" ht="12" hidden="1" customHeight="1">
      <c r="A2194" s="198"/>
    </row>
    <row r="2195" spans="1:1" s="199" customFormat="1" ht="12" hidden="1" customHeight="1">
      <c r="A2195" s="198"/>
    </row>
    <row r="2196" spans="1:1" s="199" customFormat="1" ht="12" hidden="1" customHeight="1">
      <c r="A2196" s="198"/>
    </row>
    <row r="2197" spans="1:1" s="199" customFormat="1" ht="12" hidden="1" customHeight="1">
      <c r="A2197" s="198"/>
    </row>
    <row r="2198" spans="1:1" s="199" customFormat="1" ht="12" hidden="1" customHeight="1">
      <c r="A2198" s="198"/>
    </row>
    <row r="2199" spans="1:1" s="199" customFormat="1" ht="12" hidden="1" customHeight="1">
      <c r="A2199" s="198"/>
    </row>
    <row r="2200" spans="1:1" s="199" customFormat="1" ht="12" hidden="1" customHeight="1">
      <c r="A2200" s="198"/>
    </row>
    <row r="2201" spans="1:1" s="199" customFormat="1" ht="12" hidden="1" customHeight="1">
      <c r="A2201" s="198"/>
    </row>
    <row r="2202" spans="1:1" s="199" customFormat="1" ht="12" hidden="1" customHeight="1">
      <c r="A2202" s="198"/>
    </row>
    <row r="2203" spans="1:1" s="199" customFormat="1" ht="12" hidden="1" customHeight="1">
      <c r="A2203" s="198"/>
    </row>
    <row r="2204" spans="1:1" s="199" customFormat="1" ht="12" hidden="1" customHeight="1">
      <c r="A2204" s="198"/>
    </row>
    <row r="2205" spans="1:1" s="199" customFormat="1" ht="12" hidden="1" customHeight="1">
      <c r="A2205" s="198"/>
    </row>
    <row r="2206" spans="1:1" s="199" customFormat="1" ht="12" hidden="1" customHeight="1">
      <c r="A2206" s="198"/>
    </row>
    <row r="2207" spans="1:1" s="199" customFormat="1" ht="12" hidden="1" customHeight="1">
      <c r="A2207" s="198"/>
    </row>
    <row r="2208" spans="1:1" s="199" customFormat="1" ht="12" hidden="1" customHeight="1">
      <c r="A2208" s="198"/>
    </row>
    <row r="2209" spans="1:1" s="199" customFormat="1" ht="12" hidden="1" customHeight="1">
      <c r="A2209" s="198"/>
    </row>
    <row r="2210" spans="1:1" s="199" customFormat="1" ht="12" hidden="1" customHeight="1">
      <c r="A2210" s="198"/>
    </row>
    <row r="2211" spans="1:1" s="199" customFormat="1" ht="12" hidden="1" customHeight="1">
      <c r="A2211" s="198"/>
    </row>
    <row r="2212" spans="1:1" s="199" customFormat="1" ht="12" hidden="1" customHeight="1">
      <c r="A2212" s="198"/>
    </row>
    <row r="2213" spans="1:1" s="199" customFormat="1" ht="12" hidden="1" customHeight="1">
      <c r="A2213" s="198"/>
    </row>
    <row r="2214" spans="1:1" s="199" customFormat="1" ht="12" hidden="1" customHeight="1">
      <c r="A2214" s="198"/>
    </row>
    <row r="2215" spans="1:1" s="199" customFormat="1" ht="12" hidden="1" customHeight="1">
      <c r="A2215" s="198"/>
    </row>
    <row r="2216" spans="1:1" s="199" customFormat="1" ht="12" hidden="1" customHeight="1">
      <c r="A2216" s="198"/>
    </row>
    <row r="2217" spans="1:1" s="199" customFormat="1" ht="12" hidden="1" customHeight="1">
      <c r="A2217" s="198"/>
    </row>
    <row r="2218" spans="1:1" s="199" customFormat="1" ht="12" hidden="1" customHeight="1">
      <c r="A2218" s="198"/>
    </row>
    <row r="2219" spans="1:1" s="199" customFormat="1" ht="12" hidden="1" customHeight="1">
      <c r="A2219" s="198"/>
    </row>
    <row r="2220" spans="1:1" s="199" customFormat="1" ht="12" hidden="1" customHeight="1">
      <c r="A2220" s="198"/>
    </row>
    <row r="2221" spans="1:1" s="199" customFormat="1" ht="12" hidden="1" customHeight="1">
      <c r="A2221" s="198"/>
    </row>
    <row r="2222" spans="1:1" s="199" customFormat="1" ht="12" hidden="1" customHeight="1">
      <c r="A2222" s="198"/>
    </row>
    <row r="2223" spans="1:1" s="199" customFormat="1" ht="12" hidden="1" customHeight="1">
      <c r="A2223" s="198"/>
    </row>
    <row r="2224" spans="1:1" s="199" customFormat="1" ht="12" hidden="1" customHeight="1">
      <c r="A2224" s="198"/>
    </row>
    <row r="2225" spans="1:1" s="199" customFormat="1" ht="12" hidden="1" customHeight="1">
      <c r="A2225" s="198"/>
    </row>
    <row r="2226" spans="1:1" s="199" customFormat="1" ht="12" hidden="1" customHeight="1">
      <c r="A2226" s="198"/>
    </row>
    <row r="2227" spans="1:1" s="199" customFormat="1" ht="12" hidden="1" customHeight="1">
      <c r="A2227" s="198"/>
    </row>
    <row r="2228" spans="1:1" s="199" customFormat="1" ht="12" hidden="1" customHeight="1">
      <c r="A2228" s="198"/>
    </row>
    <row r="2229" spans="1:1" s="199" customFormat="1" ht="12" hidden="1" customHeight="1">
      <c r="A2229" s="198"/>
    </row>
    <row r="2230" spans="1:1" s="199" customFormat="1" ht="12" hidden="1" customHeight="1">
      <c r="A2230" s="198"/>
    </row>
    <row r="2231" spans="1:1" s="199" customFormat="1" ht="12" hidden="1" customHeight="1">
      <c r="A2231" s="198"/>
    </row>
    <row r="2232" spans="1:1" s="199" customFormat="1" ht="12" hidden="1" customHeight="1">
      <c r="A2232" s="198"/>
    </row>
    <row r="2233" spans="1:1" s="199" customFormat="1" ht="12" hidden="1" customHeight="1">
      <c r="A2233" s="198"/>
    </row>
    <row r="2234" spans="1:1" s="199" customFormat="1" ht="12" hidden="1" customHeight="1">
      <c r="A2234" s="198"/>
    </row>
    <row r="2235" spans="1:1" s="199" customFormat="1" ht="12" hidden="1" customHeight="1">
      <c r="A2235" s="198"/>
    </row>
    <row r="2236" spans="1:1" s="199" customFormat="1" ht="12" hidden="1" customHeight="1">
      <c r="A2236" s="198"/>
    </row>
    <row r="2237" spans="1:1" s="199" customFormat="1" ht="12" hidden="1" customHeight="1">
      <c r="A2237" s="198"/>
    </row>
    <row r="2238" spans="1:1" s="199" customFormat="1" ht="12" hidden="1" customHeight="1">
      <c r="A2238" s="198"/>
    </row>
    <row r="2239" spans="1:1" s="199" customFormat="1" ht="12" hidden="1" customHeight="1">
      <c r="A2239" s="198"/>
    </row>
    <row r="2240" spans="1:1" s="199" customFormat="1" ht="12" hidden="1" customHeight="1">
      <c r="A2240" s="198"/>
    </row>
    <row r="2241" spans="1:1" s="199" customFormat="1" ht="12" hidden="1" customHeight="1">
      <c r="A2241" s="198"/>
    </row>
    <row r="2242" spans="1:1" s="199" customFormat="1" ht="12" hidden="1" customHeight="1">
      <c r="A2242" s="198"/>
    </row>
    <row r="2243" spans="1:1" s="199" customFormat="1" ht="12" hidden="1" customHeight="1">
      <c r="A2243" s="198"/>
    </row>
    <row r="2244" spans="1:1" s="199" customFormat="1" ht="12" hidden="1" customHeight="1">
      <c r="A2244" s="198"/>
    </row>
    <row r="2245" spans="1:1" s="199" customFormat="1" ht="12" hidden="1" customHeight="1">
      <c r="A2245" s="198"/>
    </row>
    <row r="2246" spans="1:1" s="199" customFormat="1" ht="12" hidden="1" customHeight="1">
      <c r="A2246" s="198"/>
    </row>
    <row r="2247" spans="1:1" s="199" customFormat="1" ht="12" hidden="1" customHeight="1">
      <c r="A2247" s="198"/>
    </row>
    <row r="2248" spans="1:1" s="199" customFormat="1" ht="12" hidden="1" customHeight="1">
      <c r="A2248" s="198"/>
    </row>
    <row r="2249" spans="1:1" s="199" customFormat="1" ht="12" hidden="1" customHeight="1">
      <c r="A2249" s="198"/>
    </row>
    <row r="2250" spans="1:1" s="199" customFormat="1" ht="12" hidden="1" customHeight="1">
      <c r="A2250" s="198"/>
    </row>
    <row r="2251" spans="1:1" s="199" customFormat="1" ht="12" hidden="1" customHeight="1">
      <c r="A2251" s="198"/>
    </row>
    <row r="2252" spans="1:1" s="199" customFormat="1" ht="12" hidden="1" customHeight="1">
      <c r="A2252" s="198"/>
    </row>
    <row r="2253" spans="1:1" s="199" customFormat="1" ht="12" hidden="1" customHeight="1">
      <c r="A2253" s="198"/>
    </row>
    <row r="2254" spans="1:1" s="199" customFormat="1" ht="12" hidden="1" customHeight="1">
      <c r="A2254" s="198"/>
    </row>
    <row r="2255" spans="1:1" s="199" customFormat="1" ht="12" hidden="1" customHeight="1">
      <c r="A2255" s="198"/>
    </row>
    <row r="2256" spans="1:1" s="199" customFormat="1" ht="12" hidden="1" customHeight="1">
      <c r="A2256" s="198"/>
    </row>
    <row r="2257" spans="1:1" s="199" customFormat="1" ht="12" hidden="1" customHeight="1">
      <c r="A2257" s="198"/>
    </row>
    <row r="2258" spans="1:1" s="199" customFormat="1" ht="12" hidden="1" customHeight="1">
      <c r="A2258" s="198"/>
    </row>
    <row r="2259" spans="1:1" s="199" customFormat="1" ht="12" hidden="1" customHeight="1">
      <c r="A2259" s="198"/>
    </row>
    <row r="2260" spans="1:1" s="199" customFormat="1" ht="12" hidden="1" customHeight="1">
      <c r="A2260" s="198"/>
    </row>
    <row r="2261" spans="1:1" s="199" customFormat="1" ht="12" hidden="1" customHeight="1">
      <c r="A2261" s="198"/>
    </row>
    <row r="2262" spans="1:1" s="199" customFormat="1" ht="12" hidden="1" customHeight="1">
      <c r="A2262" s="198"/>
    </row>
    <row r="2263" spans="1:1" s="199" customFormat="1" ht="12" hidden="1" customHeight="1">
      <c r="A2263" s="198"/>
    </row>
    <row r="2264" spans="1:1" s="199" customFormat="1" ht="12" hidden="1" customHeight="1">
      <c r="A2264" s="198"/>
    </row>
    <row r="2265" spans="1:1" s="199" customFormat="1" ht="12" hidden="1" customHeight="1">
      <c r="A2265" s="198"/>
    </row>
    <row r="2266" spans="1:1" s="199" customFormat="1" ht="12" hidden="1" customHeight="1">
      <c r="A2266" s="198"/>
    </row>
    <row r="2267" spans="1:1" s="199" customFormat="1" ht="12" hidden="1" customHeight="1">
      <c r="A2267" s="198"/>
    </row>
    <row r="2268" spans="1:1" s="199" customFormat="1" ht="12" hidden="1" customHeight="1">
      <c r="A2268" s="198"/>
    </row>
    <row r="2269" spans="1:1" s="199" customFormat="1" ht="12" hidden="1" customHeight="1">
      <c r="A2269" s="198"/>
    </row>
    <row r="2270" spans="1:1" s="199" customFormat="1" ht="12" hidden="1" customHeight="1">
      <c r="A2270" s="198"/>
    </row>
    <row r="2271" spans="1:1" s="199" customFormat="1" ht="12" hidden="1" customHeight="1">
      <c r="A2271" s="198"/>
    </row>
    <row r="2272" spans="1:1" s="199" customFormat="1" ht="12" hidden="1" customHeight="1">
      <c r="A2272" s="198"/>
    </row>
    <row r="2273" spans="1:1" s="199" customFormat="1" ht="12" hidden="1" customHeight="1">
      <c r="A2273" s="198"/>
    </row>
    <row r="2274" spans="1:1" s="199" customFormat="1" ht="12" hidden="1" customHeight="1">
      <c r="A2274" s="198"/>
    </row>
    <row r="2275" spans="1:1" s="199" customFormat="1" ht="12" hidden="1" customHeight="1">
      <c r="A2275" s="198"/>
    </row>
    <row r="2276" spans="1:1" s="199" customFormat="1" ht="12" hidden="1" customHeight="1">
      <c r="A2276" s="198"/>
    </row>
    <row r="2277" spans="1:1" s="199" customFormat="1" ht="12" hidden="1" customHeight="1">
      <c r="A2277" s="198"/>
    </row>
    <row r="2278" spans="1:1" s="199" customFormat="1" ht="12" hidden="1" customHeight="1">
      <c r="A2278" s="198"/>
    </row>
    <row r="2279" spans="1:1" s="199" customFormat="1" ht="12" hidden="1" customHeight="1">
      <c r="A2279" s="198"/>
    </row>
    <row r="2280" spans="1:1" s="199" customFormat="1" ht="12" hidden="1" customHeight="1">
      <c r="A2280" s="198"/>
    </row>
    <row r="2281" spans="1:1" s="199" customFormat="1" ht="12" hidden="1" customHeight="1">
      <c r="A2281" s="198"/>
    </row>
    <row r="2282" spans="1:1" s="199" customFormat="1" ht="12" hidden="1" customHeight="1">
      <c r="A2282" s="198"/>
    </row>
    <row r="2283" spans="1:1" s="199" customFormat="1" ht="12" hidden="1" customHeight="1">
      <c r="A2283" s="198"/>
    </row>
    <row r="2284" spans="1:1" s="199" customFormat="1" ht="12" hidden="1" customHeight="1">
      <c r="A2284" s="198"/>
    </row>
    <row r="2285" spans="1:1" s="199" customFormat="1" ht="12" hidden="1" customHeight="1">
      <c r="A2285" s="198"/>
    </row>
    <row r="2286" spans="1:1" s="199" customFormat="1" ht="12" hidden="1" customHeight="1">
      <c r="A2286" s="198"/>
    </row>
    <row r="2287" spans="1:1" s="199" customFormat="1" ht="12" hidden="1" customHeight="1">
      <c r="A2287" s="198"/>
    </row>
    <row r="2288" spans="1:1" s="199" customFormat="1" ht="12" hidden="1" customHeight="1">
      <c r="A2288" s="198"/>
    </row>
    <row r="2289" spans="1:1" s="199" customFormat="1" ht="12" hidden="1" customHeight="1">
      <c r="A2289" s="198"/>
    </row>
    <row r="2290" spans="1:1" s="199" customFormat="1" ht="12" hidden="1" customHeight="1">
      <c r="A2290" s="198"/>
    </row>
    <row r="2291" spans="1:1" s="199" customFormat="1" ht="12" hidden="1" customHeight="1">
      <c r="A2291" s="198"/>
    </row>
    <row r="2292" spans="1:1" s="199" customFormat="1" ht="12" hidden="1" customHeight="1">
      <c r="A2292" s="198"/>
    </row>
    <row r="2293" spans="1:1" s="199" customFormat="1" ht="12" hidden="1" customHeight="1">
      <c r="A2293" s="198"/>
    </row>
    <row r="2294" spans="1:1" s="199" customFormat="1" ht="12" hidden="1" customHeight="1">
      <c r="A2294" s="198"/>
    </row>
    <row r="2295" spans="1:1" s="199" customFormat="1" ht="12" hidden="1" customHeight="1">
      <c r="A2295" s="198"/>
    </row>
    <row r="2296" spans="1:1" s="199" customFormat="1" ht="12" hidden="1" customHeight="1">
      <c r="A2296" s="198"/>
    </row>
    <row r="2297" spans="1:1" s="199" customFormat="1" ht="12" hidden="1" customHeight="1">
      <c r="A2297" s="198"/>
    </row>
    <row r="2298" spans="1:1" s="199" customFormat="1" ht="12" hidden="1" customHeight="1">
      <c r="A2298" s="198"/>
    </row>
    <row r="2299" spans="1:1" s="199" customFormat="1" ht="12" hidden="1" customHeight="1">
      <c r="A2299" s="198"/>
    </row>
    <row r="2300" spans="1:1" s="199" customFormat="1" ht="12" hidden="1" customHeight="1">
      <c r="A2300" s="198"/>
    </row>
    <row r="2301" spans="1:1" s="199" customFormat="1" ht="12" hidden="1" customHeight="1">
      <c r="A2301" s="198"/>
    </row>
    <row r="2302" spans="1:1" s="199" customFormat="1" ht="12" hidden="1" customHeight="1">
      <c r="A2302" s="198"/>
    </row>
    <row r="2303" spans="1:1" s="199" customFormat="1" ht="12" hidden="1" customHeight="1">
      <c r="A2303" s="198"/>
    </row>
    <row r="2304" spans="1:1" s="199" customFormat="1" ht="12" hidden="1" customHeight="1">
      <c r="A2304" s="198"/>
    </row>
    <row r="2305" spans="1:1" s="199" customFormat="1" ht="12" hidden="1" customHeight="1">
      <c r="A2305" s="198"/>
    </row>
    <row r="2306" spans="1:1" s="199" customFormat="1" ht="12" hidden="1" customHeight="1">
      <c r="A2306" s="198"/>
    </row>
    <row r="2307" spans="1:1" s="199" customFormat="1" ht="12" hidden="1" customHeight="1">
      <c r="A2307" s="198"/>
    </row>
    <row r="2308" spans="1:1" s="199" customFormat="1" ht="12" hidden="1" customHeight="1">
      <c r="A2308" s="198"/>
    </row>
    <row r="2309" spans="1:1" s="199" customFormat="1" ht="12" hidden="1" customHeight="1">
      <c r="A2309" s="198"/>
    </row>
    <row r="2310" spans="1:1" s="199" customFormat="1" ht="12" hidden="1" customHeight="1">
      <c r="A2310" s="198"/>
    </row>
    <row r="2311" spans="1:1" s="199" customFormat="1" ht="12" hidden="1" customHeight="1">
      <c r="A2311" s="198"/>
    </row>
    <row r="2312" spans="1:1" s="199" customFormat="1" ht="12" hidden="1" customHeight="1">
      <c r="A2312" s="198"/>
    </row>
    <row r="2313" spans="1:1" s="199" customFormat="1" ht="12" hidden="1" customHeight="1">
      <c r="A2313" s="198"/>
    </row>
    <row r="2314" spans="1:1" s="199" customFormat="1" ht="12" hidden="1" customHeight="1">
      <c r="A2314" s="198"/>
    </row>
    <row r="2315" spans="1:1" s="199" customFormat="1" ht="12" hidden="1" customHeight="1">
      <c r="A2315" s="198"/>
    </row>
    <row r="2316" spans="1:1" s="199" customFormat="1" ht="12" hidden="1" customHeight="1">
      <c r="A2316" s="198"/>
    </row>
    <row r="2317" spans="1:1" s="199" customFormat="1" ht="12" hidden="1" customHeight="1">
      <c r="A2317" s="198"/>
    </row>
    <row r="2318" spans="1:1" s="199" customFormat="1" ht="12" hidden="1" customHeight="1">
      <c r="A2318" s="198"/>
    </row>
    <row r="2319" spans="1:1" s="199" customFormat="1" ht="12" hidden="1" customHeight="1">
      <c r="A2319" s="198"/>
    </row>
    <row r="2320" spans="1:1" s="199" customFormat="1" ht="12" hidden="1" customHeight="1">
      <c r="A2320" s="198"/>
    </row>
    <row r="2321" spans="1:1" s="199" customFormat="1" ht="12" hidden="1" customHeight="1">
      <c r="A2321" s="198"/>
    </row>
    <row r="2322" spans="1:1" s="199" customFormat="1" ht="12" hidden="1" customHeight="1">
      <c r="A2322" s="198"/>
    </row>
    <row r="2323" spans="1:1" s="199" customFormat="1" ht="12" hidden="1" customHeight="1">
      <c r="A2323" s="198"/>
    </row>
    <row r="2324" spans="1:1" s="199" customFormat="1" ht="12" hidden="1" customHeight="1">
      <c r="A2324" s="198"/>
    </row>
    <row r="2325" spans="1:1" s="199" customFormat="1" ht="12" hidden="1" customHeight="1">
      <c r="A2325" s="198"/>
    </row>
    <row r="2326" spans="1:1" s="199" customFormat="1" ht="12" hidden="1" customHeight="1">
      <c r="A2326" s="198"/>
    </row>
    <row r="2327" spans="1:1" s="199" customFormat="1" ht="12" hidden="1" customHeight="1">
      <c r="A2327" s="198"/>
    </row>
    <row r="2328" spans="1:1" s="199" customFormat="1" ht="12" hidden="1" customHeight="1">
      <c r="A2328" s="198"/>
    </row>
    <row r="2329" spans="1:1" s="199" customFormat="1" ht="12" hidden="1" customHeight="1">
      <c r="A2329" s="198"/>
    </row>
    <row r="2330" spans="1:1" s="199" customFormat="1" ht="12" hidden="1" customHeight="1">
      <c r="A2330" s="198"/>
    </row>
    <row r="2331" spans="1:1" s="199" customFormat="1" ht="12" hidden="1" customHeight="1">
      <c r="A2331" s="198"/>
    </row>
    <row r="2332" spans="1:1" s="199" customFormat="1" ht="12" hidden="1" customHeight="1">
      <c r="A2332" s="198"/>
    </row>
    <row r="2333" spans="1:1" s="199" customFormat="1" ht="12" hidden="1" customHeight="1">
      <c r="A2333" s="198"/>
    </row>
    <row r="2334" spans="1:1" s="199" customFormat="1" ht="12" hidden="1" customHeight="1">
      <c r="A2334" s="198"/>
    </row>
    <row r="2335" spans="1:1" s="199" customFormat="1" ht="12" hidden="1" customHeight="1">
      <c r="A2335" s="198"/>
    </row>
    <row r="2336" spans="1:1" s="199" customFormat="1" ht="12" hidden="1" customHeight="1">
      <c r="A2336" s="198"/>
    </row>
    <row r="2337" spans="1:1" s="199" customFormat="1" ht="12" hidden="1" customHeight="1">
      <c r="A2337" s="198"/>
    </row>
    <row r="2338" spans="1:1" s="199" customFormat="1" ht="12" hidden="1" customHeight="1">
      <c r="A2338" s="198"/>
    </row>
    <row r="2339" spans="1:1" s="199" customFormat="1" ht="12" hidden="1" customHeight="1">
      <c r="A2339" s="198"/>
    </row>
    <row r="2340" spans="1:1" s="199" customFormat="1" ht="12" hidden="1" customHeight="1">
      <c r="A2340" s="198"/>
    </row>
    <row r="2341" spans="1:1" s="199" customFormat="1" ht="12" hidden="1" customHeight="1">
      <c r="A2341" s="198"/>
    </row>
    <row r="2342" spans="1:1" s="199" customFormat="1" ht="12" hidden="1" customHeight="1">
      <c r="A2342" s="198"/>
    </row>
    <row r="2343" spans="1:1" s="199" customFormat="1" ht="12" hidden="1" customHeight="1">
      <c r="A2343" s="198"/>
    </row>
    <row r="2344" spans="1:1" s="199" customFormat="1" ht="12" hidden="1" customHeight="1">
      <c r="A2344" s="198"/>
    </row>
    <row r="2345" spans="1:1" s="199" customFormat="1" ht="12" hidden="1" customHeight="1">
      <c r="A2345" s="198"/>
    </row>
    <row r="2346" spans="1:1" s="199" customFormat="1" ht="12" hidden="1" customHeight="1">
      <c r="A2346" s="198"/>
    </row>
    <row r="2347" spans="1:1" s="199" customFormat="1" ht="12" hidden="1" customHeight="1">
      <c r="A2347" s="198"/>
    </row>
    <row r="2348" spans="1:1" s="199" customFormat="1" ht="12" hidden="1" customHeight="1">
      <c r="A2348" s="198"/>
    </row>
    <row r="2349" spans="1:1" s="199" customFormat="1" ht="12" hidden="1" customHeight="1">
      <c r="A2349" s="198"/>
    </row>
    <row r="2350" spans="1:1" s="199" customFormat="1" ht="12" hidden="1" customHeight="1">
      <c r="A2350" s="198"/>
    </row>
    <row r="2351" spans="1:1" s="199" customFormat="1" ht="12" hidden="1" customHeight="1">
      <c r="A2351" s="198"/>
    </row>
    <row r="2352" spans="1:1" s="199" customFormat="1" ht="12" hidden="1" customHeight="1">
      <c r="A2352" s="198"/>
    </row>
    <row r="2353" spans="1:1" s="199" customFormat="1" ht="12" hidden="1" customHeight="1">
      <c r="A2353" s="198"/>
    </row>
    <row r="2354" spans="1:1" s="199" customFormat="1" ht="12" hidden="1" customHeight="1">
      <c r="A2354" s="198"/>
    </row>
    <row r="2355" spans="1:1" s="199" customFormat="1" ht="12" hidden="1" customHeight="1">
      <c r="A2355" s="198"/>
    </row>
    <row r="2356" spans="1:1" s="199" customFormat="1" ht="12" hidden="1" customHeight="1">
      <c r="A2356" s="198"/>
    </row>
    <row r="2357" spans="1:1" s="199" customFormat="1" ht="12" hidden="1" customHeight="1">
      <c r="A2357" s="198"/>
    </row>
    <row r="2358" spans="1:1" s="199" customFormat="1" ht="12" hidden="1" customHeight="1">
      <c r="A2358" s="198"/>
    </row>
    <row r="2359" spans="1:1" s="199" customFormat="1" ht="12" hidden="1" customHeight="1">
      <c r="A2359" s="198"/>
    </row>
    <row r="2360" spans="1:1" s="199" customFormat="1" ht="12" hidden="1" customHeight="1">
      <c r="A2360" s="198"/>
    </row>
    <row r="2361" spans="1:1" s="199" customFormat="1" ht="12" hidden="1" customHeight="1">
      <c r="A2361" s="198"/>
    </row>
    <row r="2362" spans="1:1" s="199" customFormat="1" ht="12" hidden="1" customHeight="1">
      <c r="A2362" s="198"/>
    </row>
    <row r="2363" spans="1:1" s="199" customFormat="1" ht="12" hidden="1" customHeight="1">
      <c r="A2363" s="198"/>
    </row>
    <row r="2364" spans="1:1" s="199" customFormat="1" ht="12" hidden="1" customHeight="1">
      <c r="A2364" s="198"/>
    </row>
    <row r="2365" spans="1:1" s="199" customFormat="1" ht="12" hidden="1" customHeight="1">
      <c r="A2365" s="198"/>
    </row>
    <row r="2366" spans="1:1" s="199" customFormat="1" ht="12" hidden="1" customHeight="1">
      <c r="A2366" s="198"/>
    </row>
    <row r="2367" spans="1:1" s="199" customFormat="1" ht="12" hidden="1" customHeight="1">
      <c r="A2367" s="198"/>
    </row>
    <row r="2368" spans="1:1" s="199" customFormat="1" ht="12" hidden="1" customHeight="1">
      <c r="A2368" s="198"/>
    </row>
    <row r="2369" spans="1:1" s="199" customFormat="1" ht="12" hidden="1" customHeight="1">
      <c r="A2369" s="198"/>
    </row>
    <row r="2370" spans="1:1" s="199" customFormat="1" ht="12" hidden="1" customHeight="1">
      <c r="A2370" s="198"/>
    </row>
    <row r="2371" spans="1:1" s="199" customFormat="1" ht="12" hidden="1" customHeight="1">
      <c r="A2371" s="198"/>
    </row>
    <row r="2372" spans="1:1" s="199" customFormat="1" ht="12" hidden="1" customHeight="1">
      <c r="A2372" s="198"/>
    </row>
    <row r="2373" spans="1:1" s="199" customFormat="1" ht="12" hidden="1" customHeight="1">
      <c r="A2373" s="198"/>
    </row>
    <row r="2374" spans="1:1" s="199" customFormat="1" ht="12" hidden="1" customHeight="1">
      <c r="A2374" s="198"/>
    </row>
    <row r="2375" spans="1:1" s="199" customFormat="1" ht="12" hidden="1" customHeight="1">
      <c r="A2375" s="198"/>
    </row>
    <row r="2376" spans="1:1" s="199" customFormat="1" ht="12" hidden="1" customHeight="1">
      <c r="A2376" s="198"/>
    </row>
    <row r="2377" spans="1:1" s="199" customFormat="1" ht="12" hidden="1" customHeight="1">
      <c r="A2377" s="198"/>
    </row>
    <row r="2378" spans="1:1" s="199" customFormat="1" ht="12" hidden="1" customHeight="1">
      <c r="A2378" s="198"/>
    </row>
    <row r="2379" spans="1:1" s="199" customFormat="1" ht="12" hidden="1" customHeight="1">
      <c r="A2379" s="198"/>
    </row>
    <row r="2380" spans="1:1" s="199" customFormat="1" ht="12" hidden="1" customHeight="1">
      <c r="A2380" s="198"/>
    </row>
    <row r="2381" spans="1:1" s="199" customFormat="1" ht="12" hidden="1" customHeight="1">
      <c r="A2381" s="198"/>
    </row>
    <row r="2382" spans="1:1" s="199" customFormat="1" ht="12" hidden="1" customHeight="1">
      <c r="A2382" s="198"/>
    </row>
    <row r="2383" spans="1:1" s="199" customFormat="1" ht="12" hidden="1" customHeight="1">
      <c r="A2383" s="198"/>
    </row>
    <row r="2384" spans="1:1" s="199" customFormat="1" ht="12" hidden="1" customHeight="1">
      <c r="A2384" s="198"/>
    </row>
    <row r="2385" spans="1:1" s="199" customFormat="1" ht="12" hidden="1" customHeight="1">
      <c r="A2385" s="198"/>
    </row>
    <row r="2386" spans="1:1" s="199" customFormat="1" ht="12" hidden="1" customHeight="1">
      <c r="A2386" s="198"/>
    </row>
    <row r="2387" spans="1:1" s="199" customFormat="1" ht="12" hidden="1" customHeight="1">
      <c r="A2387" s="198"/>
    </row>
    <row r="2388" spans="1:1" s="199" customFormat="1" ht="12" hidden="1" customHeight="1">
      <c r="A2388" s="198"/>
    </row>
    <row r="2389" spans="1:1" s="199" customFormat="1" ht="12" hidden="1" customHeight="1">
      <c r="A2389" s="198"/>
    </row>
    <row r="2390" spans="1:1" s="199" customFormat="1" ht="12" hidden="1" customHeight="1">
      <c r="A2390" s="198"/>
    </row>
    <row r="2391" spans="1:1" s="199" customFormat="1" ht="12" hidden="1" customHeight="1">
      <c r="A2391" s="198"/>
    </row>
    <row r="2392" spans="1:1" s="199" customFormat="1" ht="12" hidden="1" customHeight="1">
      <c r="A2392" s="198"/>
    </row>
    <row r="2393" spans="1:1" s="199" customFormat="1" ht="12" hidden="1" customHeight="1">
      <c r="A2393" s="198"/>
    </row>
    <row r="2394" spans="1:1" s="199" customFormat="1" ht="12" hidden="1" customHeight="1">
      <c r="A2394" s="198"/>
    </row>
    <row r="2395" spans="1:1" s="199" customFormat="1" ht="12" hidden="1" customHeight="1">
      <c r="A2395" s="198"/>
    </row>
    <row r="2396" spans="1:1" s="199" customFormat="1" ht="12" hidden="1" customHeight="1">
      <c r="A2396" s="198"/>
    </row>
    <row r="2397" spans="1:1" s="199" customFormat="1" ht="12" hidden="1" customHeight="1">
      <c r="A2397" s="198"/>
    </row>
    <row r="2398" spans="1:1" s="199" customFormat="1" ht="12" hidden="1" customHeight="1">
      <c r="A2398" s="198"/>
    </row>
    <row r="2399" spans="1:1" s="199" customFormat="1" ht="12" hidden="1" customHeight="1">
      <c r="A2399" s="198"/>
    </row>
    <row r="2400" spans="1:1" s="199" customFormat="1" ht="12" hidden="1" customHeight="1">
      <c r="A2400" s="198"/>
    </row>
    <row r="2401" spans="1:1" s="199" customFormat="1" ht="12" hidden="1" customHeight="1">
      <c r="A2401" s="198"/>
    </row>
    <row r="2402" spans="1:1" s="199" customFormat="1" ht="12" hidden="1" customHeight="1">
      <c r="A2402" s="198"/>
    </row>
    <row r="2403" spans="1:1" s="199" customFormat="1" ht="12" hidden="1" customHeight="1">
      <c r="A2403" s="198"/>
    </row>
    <row r="2404" spans="1:1" s="199" customFormat="1" ht="12" hidden="1" customHeight="1">
      <c r="A2404" s="198"/>
    </row>
    <row r="2405" spans="1:1" s="199" customFormat="1" ht="12" hidden="1" customHeight="1">
      <c r="A2405" s="198"/>
    </row>
    <row r="2406" spans="1:1" s="199" customFormat="1" ht="12" hidden="1" customHeight="1">
      <c r="A2406" s="198"/>
    </row>
    <row r="2407" spans="1:1" s="199" customFormat="1" ht="12" hidden="1" customHeight="1">
      <c r="A2407" s="198"/>
    </row>
    <row r="2408" spans="1:1" s="199" customFormat="1" ht="12" hidden="1" customHeight="1">
      <c r="A2408" s="198"/>
    </row>
    <row r="2409" spans="1:1" s="199" customFormat="1" ht="12" hidden="1" customHeight="1">
      <c r="A2409" s="198"/>
    </row>
    <row r="2410" spans="1:1" s="199" customFormat="1" ht="12" hidden="1" customHeight="1">
      <c r="A2410" s="198"/>
    </row>
    <row r="2411" spans="1:1" s="199" customFormat="1" ht="12" hidden="1" customHeight="1">
      <c r="A2411" s="198"/>
    </row>
    <row r="2412" spans="1:1" s="199" customFormat="1" ht="12" hidden="1" customHeight="1">
      <c r="A2412" s="198"/>
    </row>
    <row r="2413" spans="1:1" s="199" customFormat="1" ht="12" hidden="1" customHeight="1">
      <c r="A2413" s="198"/>
    </row>
    <row r="2414" spans="1:1" s="199" customFormat="1" ht="12" hidden="1" customHeight="1">
      <c r="A2414" s="198"/>
    </row>
    <row r="2415" spans="1:1" s="199" customFormat="1" ht="12" hidden="1" customHeight="1">
      <c r="A2415" s="198"/>
    </row>
    <row r="2416" spans="1:1" s="199" customFormat="1" ht="12" hidden="1" customHeight="1">
      <c r="A2416" s="198"/>
    </row>
    <row r="2417" spans="1:1" s="199" customFormat="1" ht="12" hidden="1" customHeight="1">
      <c r="A2417" s="198"/>
    </row>
    <row r="2418" spans="1:1" s="199" customFormat="1" ht="12" hidden="1" customHeight="1">
      <c r="A2418" s="198"/>
    </row>
    <row r="2419" spans="1:1" s="199" customFormat="1" ht="12" hidden="1" customHeight="1">
      <c r="A2419" s="198"/>
    </row>
    <row r="2420" spans="1:1" s="199" customFormat="1" ht="12" hidden="1" customHeight="1">
      <c r="A2420" s="198"/>
    </row>
    <row r="2421" spans="1:1" s="199" customFormat="1" ht="12" hidden="1" customHeight="1">
      <c r="A2421" s="198"/>
    </row>
    <row r="2422" spans="1:1" s="199" customFormat="1" ht="12" hidden="1" customHeight="1">
      <c r="A2422" s="198"/>
    </row>
    <row r="2423" spans="1:1" s="199" customFormat="1" ht="12" hidden="1" customHeight="1">
      <c r="A2423" s="198"/>
    </row>
    <row r="2424" spans="1:1" s="199" customFormat="1" ht="12" hidden="1" customHeight="1">
      <c r="A2424" s="198"/>
    </row>
    <row r="2425" spans="1:1" s="199" customFormat="1" ht="12" hidden="1" customHeight="1">
      <c r="A2425" s="198"/>
    </row>
    <row r="2426" spans="1:1" s="199" customFormat="1" ht="12" hidden="1" customHeight="1">
      <c r="A2426" s="198"/>
    </row>
    <row r="2427" spans="1:1" s="199" customFormat="1" ht="12" hidden="1" customHeight="1">
      <c r="A2427" s="198"/>
    </row>
    <row r="2428" spans="1:1" s="199" customFormat="1" ht="12" hidden="1" customHeight="1">
      <c r="A2428" s="198"/>
    </row>
    <row r="2429" spans="1:1" s="199" customFormat="1" ht="12" hidden="1" customHeight="1">
      <c r="A2429" s="198"/>
    </row>
    <row r="2430" spans="1:1" s="199" customFormat="1" ht="12" hidden="1" customHeight="1">
      <c r="A2430" s="198"/>
    </row>
    <row r="2431" spans="1:1" s="199" customFormat="1" ht="12" hidden="1" customHeight="1">
      <c r="A2431" s="198"/>
    </row>
    <row r="2432" spans="1:1" s="199" customFormat="1" ht="12" hidden="1" customHeight="1">
      <c r="A2432" s="198"/>
    </row>
    <row r="2433" spans="1:1" s="199" customFormat="1" ht="12" hidden="1" customHeight="1">
      <c r="A2433" s="198"/>
    </row>
    <row r="2434" spans="1:1" s="199" customFormat="1" ht="12" hidden="1" customHeight="1">
      <c r="A2434" s="198"/>
    </row>
    <row r="2435" spans="1:1" s="199" customFormat="1" ht="12" hidden="1" customHeight="1">
      <c r="A2435" s="198"/>
    </row>
    <row r="2436" spans="1:1" s="199" customFormat="1" ht="12" hidden="1" customHeight="1">
      <c r="A2436" s="198"/>
    </row>
    <row r="2437" spans="1:1" s="199" customFormat="1" ht="12" hidden="1" customHeight="1">
      <c r="A2437" s="198"/>
    </row>
    <row r="2438" spans="1:1" s="199" customFormat="1" ht="12" hidden="1" customHeight="1">
      <c r="A2438" s="198"/>
    </row>
    <row r="2439" spans="1:1" s="199" customFormat="1" ht="12" hidden="1" customHeight="1">
      <c r="A2439" s="198"/>
    </row>
    <row r="2440" spans="1:1" s="199" customFormat="1" ht="12" hidden="1" customHeight="1">
      <c r="A2440" s="198"/>
    </row>
    <row r="2441" spans="1:1" s="199" customFormat="1" ht="12" hidden="1" customHeight="1">
      <c r="A2441" s="198"/>
    </row>
    <row r="2442" spans="1:1" s="199" customFormat="1" ht="12" hidden="1" customHeight="1">
      <c r="A2442" s="198"/>
    </row>
    <row r="2443" spans="1:1" s="199" customFormat="1" ht="12" hidden="1" customHeight="1">
      <c r="A2443" s="198"/>
    </row>
    <row r="2444" spans="1:1" s="199" customFormat="1" ht="12" hidden="1" customHeight="1">
      <c r="A2444" s="198"/>
    </row>
    <row r="2445" spans="1:1" s="199" customFormat="1" ht="12" hidden="1" customHeight="1">
      <c r="A2445" s="198"/>
    </row>
    <row r="2446" spans="1:1" s="199" customFormat="1" ht="12" hidden="1" customHeight="1">
      <c r="A2446" s="198"/>
    </row>
    <row r="2447" spans="1:1" s="199" customFormat="1" ht="12" hidden="1" customHeight="1">
      <c r="A2447" s="198"/>
    </row>
    <row r="2448" spans="1:1" s="199" customFormat="1" ht="12" hidden="1" customHeight="1">
      <c r="A2448" s="198"/>
    </row>
    <row r="2449" spans="1:1" s="199" customFormat="1" ht="12" hidden="1" customHeight="1">
      <c r="A2449" s="198"/>
    </row>
    <row r="2450" spans="1:1" s="199" customFormat="1" ht="12" hidden="1" customHeight="1">
      <c r="A2450" s="198"/>
    </row>
    <row r="2451" spans="1:1" s="199" customFormat="1" ht="12" hidden="1" customHeight="1">
      <c r="A2451" s="198"/>
    </row>
    <row r="2452" spans="1:1" s="199" customFormat="1" ht="12" hidden="1" customHeight="1">
      <c r="A2452" s="198"/>
    </row>
    <row r="2453" spans="1:1" s="199" customFormat="1" ht="12" hidden="1" customHeight="1">
      <c r="A2453" s="198"/>
    </row>
    <row r="2454" spans="1:1" s="199" customFormat="1" ht="12" hidden="1" customHeight="1">
      <c r="A2454" s="198"/>
    </row>
    <row r="2455" spans="1:1" s="199" customFormat="1" ht="12" hidden="1" customHeight="1">
      <c r="A2455" s="198"/>
    </row>
    <row r="2456" spans="1:1" s="199" customFormat="1" ht="12" hidden="1" customHeight="1">
      <c r="A2456" s="198"/>
    </row>
    <row r="2457" spans="1:1" s="199" customFormat="1" ht="12" hidden="1" customHeight="1">
      <c r="A2457" s="198"/>
    </row>
    <row r="2458" spans="1:1" s="199" customFormat="1" ht="12" hidden="1" customHeight="1">
      <c r="A2458" s="198"/>
    </row>
    <row r="2459" spans="1:1" s="199" customFormat="1" ht="12" hidden="1" customHeight="1">
      <c r="A2459" s="198"/>
    </row>
    <row r="2460" spans="1:1" s="199" customFormat="1" ht="12" hidden="1" customHeight="1">
      <c r="A2460" s="198"/>
    </row>
    <row r="2461" spans="1:1" s="199" customFormat="1" ht="12" hidden="1" customHeight="1">
      <c r="A2461" s="198"/>
    </row>
    <row r="2462" spans="1:1" s="199" customFormat="1" ht="12" hidden="1" customHeight="1">
      <c r="A2462" s="198"/>
    </row>
    <row r="2463" spans="1:1" s="199" customFormat="1" ht="12" hidden="1" customHeight="1">
      <c r="A2463" s="198"/>
    </row>
    <row r="2464" spans="1:1" s="199" customFormat="1" ht="12" hidden="1" customHeight="1">
      <c r="A2464" s="198"/>
    </row>
    <row r="2465" spans="1:1" s="199" customFormat="1" ht="12" hidden="1" customHeight="1">
      <c r="A2465" s="198"/>
    </row>
    <row r="2466" spans="1:1" s="199" customFormat="1" ht="12" hidden="1" customHeight="1">
      <c r="A2466" s="198"/>
    </row>
    <row r="2467" spans="1:1" s="199" customFormat="1" ht="12" hidden="1" customHeight="1">
      <c r="A2467" s="198"/>
    </row>
    <row r="2468" spans="1:1" s="199" customFormat="1" ht="12" hidden="1" customHeight="1">
      <c r="A2468" s="198"/>
    </row>
    <row r="2469" spans="1:1" s="199" customFormat="1" ht="12" hidden="1" customHeight="1">
      <c r="A2469" s="198"/>
    </row>
    <row r="2470" spans="1:1" s="199" customFormat="1" ht="12" hidden="1" customHeight="1">
      <c r="A2470" s="198"/>
    </row>
    <row r="2471" spans="1:1" s="199" customFormat="1" ht="12" hidden="1" customHeight="1">
      <c r="A2471" s="198"/>
    </row>
    <row r="2472" spans="1:1" s="199" customFormat="1" ht="12" hidden="1" customHeight="1">
      <c r="A2472" s="198"/>
    </row>
    <row r="2473" spans="1:1" s="199" customFormat="1" ht="12" hidden="1" customHeight="1">
      <c r="A2473" s="198"/>
    </row>
    <row r="2474" spans="1:1" s="199" customFormat="1" ht="12" hidden="1" customHeight="1">
      <c r="A2474" s="198"/>
    </row>
    <row r="2475" spans="1:1" s="199" customFormat="1" ht="12" hidden="1" customHeight="1">
      <c r="A2475" s="198"/>
    </row>
    <row r="2476" spans="1:1" s="199" customFormat="1" ht="12" hidden="1" customHeight="1">
      <c r="A2476" s="198"/>
    </row>
    <row r="2477" spans="1:1" s="199" customFormat="1" ht="12" hidden="1" customHeight="1">
      <c r="A2477" s="198"/>
    </row>
    <row r="2478" spans="1:1" s="199" customFormat="1" ht="12" hidden="1" customHeight="1">
      <c r="A2478" s="198"/>
    </row>
    <row r="2479" spans="1:1" s="199" customFormat="1" ht="12" hidden="1" customHeight="1">
      <c r="A2479" s="198"/>
    </row>
    <row r="2480" spans="1:1" s="199" customFormat="1" ht="12" hidden="1" customHeight="1">
      <c r="A2480" s="198"/>
    </row>
    <row r="2481" spans="1:1" s="199" customFormat="1" ht="12" hidden="1" customHeight="1">
      <c r="A2481" s="198"/>
    </row>
    <row r="2482" spans="1:1" s="199" customFormat="1" ht="12" hidden="1" customHeight="1">
      <c r="A2482" s="198"/>
    </row>
    <row r="2483" spans="1:1" s="199" customFormat="1" ht="12" hidden="1" customHeight="1">
      <c r="A2483" s="198"/>
    </row>
    <row r="2484" spans="1:1" s="199" customFormat="1" ht="12" hidden="1" customHeight="1">
      <c r="A2484" s="198"/>
    </row>
    <row r="2485" spans="1:1" s="199" customFormat="1" ht="12" hidden="1" customHeight="1">
      <c r="A2485" s="198"/>
    </row>
    <row r="2486" spans="1:1" s="199" customFormat="1" ht="12" hidden="1" customHeight="1">
      <c r="A2486" s="198"/>
    </row>
    <row r="2487" spans="1:1" s="199" customFormat="1" ht="12" hidden="1" customHeight="1">
      <c r="A2487" s="198"/>
    </row>
    <row r="2488" spans="1:1" s="199" customFormat="1" ht="12" hidden="1" customHeight="1">
      <c r="A2488" s="198"/>
    </row>
    <row r="2489" spans="1:1" s="199" customFormat="1" ht="12" hidden="1" customHeight="1">
      <c r="A2489" s="198"/>
    </row>
    <row r="2490" spans="1:1" s="199" customFormat="1" ht="12" hidden="1" customHeight="1">
      <c r="A2490" s="198"/>
    </row>
    <row r="2491" spans="1:1" s="199" customFormat="1" ht="12" hidden="1" customHeight="1">
      <c r="A2491" s="198"/>
    </row>
    <row r="2492" spans="1:1" s="199" customFormat="1" ht="12" hidden="1" customHeight="1">
      <c r="A2492" s="198"/>
    </row>
    <row r="2493" spans="1:1" s="199" customFormat="1" ht="12" hidden="1" customHeight="1">
      <c r="A2493" s="198"/>
    </row>
    <row r="2494" spans="1:1" s="199" customFormat="1" ht="12" hidden="1" customHeight="1">
      <c r="A2494" s="198"/>
    </row>
    <row r="2495" spans="1:1" s="199" customFormat="1" ht="12" hidden="1" customHeight="1">
      <c r="A2495" s="198"/>
    </row>
    <row r="2496" spans="1:1" s="199" customFormat="1" ht="12" hidden="1" customHeight="1">
      <c r="A2496" s="198"/>
    </row>
    <row r="2497" spans="1:1" s="199" customFormat="1" ht="12" hidden="1" customHeight="1">
      <c r="A2497" s="198"/>
    </row>
    <row r="2498" spans="1:1" s="199" customFormat="1" ht="12" hidden="1" customHeight="1">
      <c r="A2498" s="198"/>
    </row>
    <row r="2499" spans="1:1" s="199" customFormat="1" ht="12" hidden="1" customHeight="1">
      <c r="A2499" s="198"/>
    </row>
    <row r="2500" spans="1:1" s="199" customFormat="1" ht="12" hidden="1" customHeight="1">
      <c r="A2500" s="198"/>
    </row>
    <row r="2501" spans="1:1" s="199" customFormat="1" ht="12" hidden="1" customHeight="1">
      <c r="A2501" s="198"/>
    </row>
    <row r="2502" spans="1:1" s="199" customFormat="1" ht="12" hidden="1" customHeight="1">
      <c r="A2502" s="198"/>
    </row>
    <row r="2503" spans="1:1" s="199" customFormat="1" ht="12" hidden="1" customHeight="1">
      <c r="A2503" s="198"/>
    </row>
    <row r="2504" spans="1:1" s="199" customFormat="1" ht="12" hidden="1" customHeight="1">
      <c r="A2504" s="198"/>
    </row>
    <row r="2505" spans="1:1" s="199" customFormat="1" ht="12" hidden="1" customHeight="1">
      <c r="A2505" s="198"/>
    </row>
    <row r="2506" spans="1:1" s="199" customFormat="1" ht="12" hidden="1" customHeight="1">
      <c r="A2506" s="198"/>
    </row>
    <row r="2507" spans="1:1" s="199" customFormat="1" ht="12" hidden="1" customHeight="1">
      <c r="A2507" s="198"/>
    </row>
    <row r="2508" spans="1:1" s="199" customFormat="1" ht="12" hidden="1" customHeight="1">
      <c r="A2508" s="198"/>
    </row>
    <row r="2509" spans="1:1" s="199" customFormat="1" ht="12" hidden="1" customHeight="1">
      <c r="A2509" s="198"/>
    </row>
    <row r="2510" spans="1:1" s="199" customFormat="1" ht="12" hidden="1" customHeight="1">
      <c r="A2510" s="198"/>
    </row>
    <row r="2511" spans="1:1" s="199" customFormat="1" ht="12" hidden="1" customHeight="1">
      <c r="A2511" s="198"/>
    </row>
    <row r="2512" spans="1:1" s="199" customFormat="1" ht="12" hidden="1" customHeight="1">
      <c r="A2512" s="198"/>
    </row>
    <row r="2513" spans="1:1" s="199" customFormat="1" ht="12" hidden="1" customHeight="1">
      <c r="A2513" s="198"/>
    </row>
    <row r="2514" spans="1:1" s="199" customFormat="1" ht="12" hidden="1" customHeight="1">
      <c r="A2514" s="198"/>
    </row>
    <row r="2515" spans="1:1" s="199" customFormat="1" ht="12" hidden="1" customHeight="1">
      <c r="A2515" s="198"/>
    </row>
    <row r="2516" spans="1:1" s="199" customFormat="1" ht="12" hidden="1" customHeight="1">
      <c r="A2516" s="198"/>
    </row>
    <row r="2517" spans="1:1" s="199" customFormat="1" ht="12" hidden="1" customHeight="1">
      <c r="A2517" s="198"/>
    </row>
    <row r="2518" spans="1:1" s="199" customFormat="1" ht="12" hidden="1" customHeight="1">
      <c r="A2518" s="198"/>
    </row>
    <row r="2519" spans="1:1" s="199" customFormat="1" ht="12" hidden="1" customHeight="1">
      <c r="A2519" s="198"/>
    </row>
    <row r="2520" spans="1:1" s="199" customFormat="1" ht="12" hidden="1" customHeight="1">
      <c r="A2520" s="198"/>
    </row>
    <row r="2521" spans="1:1" s="199" customFormat="1" ht="12" hidden="1" customHeight="1">
      <c r="A2521" s="198"/>
    </row>
    <row r="2522" spans="1:1" s="199" customFormat="1" ht="12" hidden="1" customHeight="1">
      <c r="A2522" s="198"/>
    </row>
    <row r="2523" spans="1:1" s="199" customFormat="1" ht="12" hidden="1" customHeight="1">
      <c r="A2523" s="198"/>
    </row>
    <row r="2524" spans="1:1" s="199" customFormat="1" ht="12" hidden="1" customHeight="1">
      <c r="A2524" s="198"/>
    </row>
    <row r="2525" spans="1:1" s="199" customFormat="1" ht="12" hidden="1" customHeight="1">
      <c r="A2525" s="198"/>
    </row>
    <row r="2526" spans="1:1" s="199" customFormat="1" ht="12" hidden="1" customHeight="1">
      <c r="A2526" s="198"/>
    </row>
    <row r="2527" spans="1:1" s="199" customFormat="1" ht="12" hidden="1" customHeight="1">
      <c r="A2527" s="198"/>
    </row>
    <row r="2528" spans="1:1" s="199" customFormat="1" ht="12" hidden="1" customHeight="1">
      <c r="A2528" s="198"/>
    </row>
    <row r="2529" spans="1:1" s="199" customFormat="1" ht="12" hidden="1" customHeight="1">
      <c r="A2529" s="198"/>
    </row>
    <row r="2530" spans="1:1" s="199" customFormat="1" ht="12" hidden="1" customHeight="1">
      <c r="A2530" s="198"/>
    </row>
    <row r="2531" spans="1:1" s="199" customFormat="1" ht="12" hidden="1" customHeight="1">
      <c r="A2531" s="198"/>
    </row>
    <row r="2532" spans="1:1" s="199" customFormat="1" ht="12" hidden="1" customHeight="1">
      <c r="A2532" s="198"/>
    </row>
    <row r="2533" spans="1:1" s="199" customFormat="1" ht="12" hidden="1" customHeight="1">
      <c r="A2533" s="198"/>
    </row>
    <row r="2534" spans="1:1" s="199" customFormat="1" ht="12" hidden="1" customHeight="1">
      <c r="A2534" s="198"/>
    </row>
    <row r="2535" spans="1:1" s="199" customFormat="1" ht="12" hidden="1" customHeight="1">
      <c r="A2535" s="198"/>
    </row>
    <row r="2536" spans="1:1" s="199" customFormat="1" ht="12" hidden="1" customHeight="1">
      <c r="A2536" s="198"/>
    </row>
    <row r="2537" spans="1:1" s="199" customFormat="1" ht="12" hidden="1" customHeight="1">
      <c r="A2537" s="198"/>
    </row>
    <row r="2538" spans="1:1" s="199" customFormat="1" ht="12" hidden="1" customHeight="1">
      <c r="A2538" s="198"/>
    </row>
    <row r="2539" spans="1:1" s="199" customFormat="1" ht="12" hidden="1" customHeight="1">
      <c r="A2539" s="198"/>
    </row>
    <row r="2540" spans="1:1" s="199" customFormat="1" ht="12" hidden="1" customHeight="1">
      <c r="A2540" s="198"/>
    </row>
    <row r="2541" spans="1:1" s="199" customFormat="1" ht="12" hidden="1" customHeight="1">
      <c r="A2541" s="198"/>
    </row>
    <row r="2542" spans="1:1" s="199" customFormat="1" ht="12" hidden="1" customHeight="1">
      <c r="A2542" s="198"/>
    </row>
    <row r="2543" spans="1:1" s="199" customFormat="1" ht="12" hidden="1" customHeight="1">
      <c r="A2543" s="198"/>
    </row>
    <row r="2544" spans="1:1" s="199" customFormat="1" ht="12" hidden="1" customHeight="1">
      <c r="A2544" s="198"/>
    </row>
    <row r="2545" spans="1:1" s="199" customFormat="1" ht="12" hidden="1" customHeight="1">
      <c r="A2545" s="198"/>
    </row>
    <row r="2546" spans="1:1" s="199" customFormat="1" ht="12" hidden="1" customHeight="1">
      <c r="A2546" s="198"/>
    </row>
    <row r="2547" spans="1:1" s="199" customFormat="1" ht="12" hidden="1" customHeight="1">
      <c r="A2547" s="198"/>
    </row>
    <row r="2548" spans="1:1" s="199" customFormat="1" ht="12" hidden="1" customHeight="1">
      <c r="A2548" s="198"/>
    </row>
    <row r="2549" spans="1:1" s="199" customFormat="1" ht="12" hidden="1" customHeight="1">
      <c r="A2549" s="198"/>
    </row>
    <row r="2550" spans="1:1" s="199" customFormat="1" ht="12" hidden="1" customHeight="1">
      <c r="A2550" s="198"/>
    </row>
    <row r="2551" spans="1:1" s="199" customFormat="1" ht="12" hidden="1" customHeight="1">
      <c r="A2551" s="198"/>
    </row>
    <row r="2552" spans="1:1" s="199" customFormat="1" ht="12" hidden="1" customHeight="1">
      <c r="A2552" s="198"/>
    </row>
    <row r="2553" spans="1:1" s="199" customFormat="1" ht="12" hidden="1" customHeight="1">
      <c r="A2553" s="198"/>
    </row>
    <row r="2554" spans="1:1" s="199" customFormat="1" ht="12" hidden="1" customHeight="1">
      <c r="A2554" s="198"/>
    </row>
    <row r="2555" spans="1:1" s="199" customFormat="1" ht="12" hidden="1" customHeight="1">
      <c r="A2555" s="198"/>
    </row>
    <row r="2556" spans="1:1" s="199" customFormat="1" ht="12" hidden="1" customHeight="1">
      <c r="A2556" s="198"/>
    </row>
    <row r="2557" spans="1:1" s="199" customFormat="1" ht="12" hidden="1" customHeight="1">
      <c r="A2557" s="198"/>
    </row>
    <row r="2558" spans="1:1" s="199" customFormat="1" ht="12" hidden="1" customHeight="1">
      <c r="A2558" s="198"/>
    </row>
    <row r="2559" spans="1:1" s="199" customFormat="1" ht="12" hidden="1" customHeight="1">
      <c r="A2559" s="198"/>
    </row>
    <row r="2560" spans="1:1" s="199" customFormat="1" ht="12" hidden="1" customHeight="1">
      <c r="A2560" s="198"/>
    </row>
    <row r="2561" spans="1:1" s="199" customFormat="1" ht="12" hidden="1" customHeight="1">
      <c r="A2561" s="198"/>
    </row>
    <row r="2562" spans="1:1" s="199" customFormat="1" ht="12" hidden="1" customHeight="1">
      <c r="A2562" s="198"/>
    </row>
    <row r="2563" spans="1:1" s="199" customFormat="1" ht="12" hidden="1" customHeight="1">
      <c r="A2563" s="198"/>
    </row>
    <row r="2564" spans="1:1" s="199" customFormat="1" ht="12" hidden="1" customHeight="1">
      <c r="A2564" s="198"/>
    </row>
    <row r="2565" spans="1:1" s="199" customFormat="1" ht="12" hidden="1" customHeight="1">
      <c r="A2565" s="198"/>
    </row>
    <row r="2566" spans="1:1" s="199" customFormat="1" ht="12" hidden="1" customHeight="1">
      <c r="A2566" s="198"/>
    </row>
    <row r="2567" spans="1:1" s="199" customFormat="1" ht="12" hidden="1" customHeight="1">
      <c r="A2567" s="198"/>
    </row>
    <row r="2568" spans="1:1" s="199" customFormat="1" ht="12" hidden="1" customHeight="1">
      <c r="A2568" s="198"/>
    </row>
    <row r="2569" spans="1:1" s="199" customFormat="1" ht="12" hidden="1" customHeight="1">
      <c r="A2569" s="198"/>
    </row>
    <row r="2570" spans="1:1" s="199" customFormat="1" ht="12" hidden="1" customHeight="1">
      <c r="A2570" s="198"/>
    </row>
    <row r="2571" spans="1:1" s="199" customFormat="1" ht="12" hidden="1" customHeight="1">
      <c r="A2571" s="198"/>
    </row>
    <row r="2572" spans="1:1" s="199" customFormat="1" ht="12" hidden="1" customHeight="1">
      <c r="A2572" s="198"/>
    </row>
    <row r="2573" spans="1:1" s="199" customFormat="1" ht="12" hidden="1" customHeight="1">
      <c r="A2573" s="198"/>
    </row>
    <row r="2574" spans="1:1" s="199" customFormat="1" ht="12" hidden="1" customHeight="1">
      <c r="A2574" s="198"/>
    </row>
    <row r="2575" spans="1:1" s="199" customFormat="1" ht="12" hidden="1" customHeight="1">
      <c r="A2575" s="198"/>
    </row>
    <row r="2576" spans="1:1" s="199" customFormat="1" ht="12" hidden="1" customHeight="1">
      <c r="A2576" s="198"/>
    </row>
    <row r="2577" spans="1:1" s="199" customFormat="1" ht="12" hidden="1" customHeight="1">
      <c r="A2577" s="198"/>
    </row>
    <row r="2578" spans="1:1" s="199" customFormat="1" ht="12" hidden="1" customHeight="1">
      <c r="A2578" s="198"/>
    </row>
    <row r="2579" spans="1:1" s="199" customFormat="1" ht="12" hidden="1" customHeight="1">
      <c r="A2579" s="198"/>
    </row>
    <row r="2580" spans="1:1" s="199" customFormat="1" ht="12" hidden="1" customHeight="1">
      <c r="A2580" s="198"/>
    </row>
    <row r="2581" spans="1:1" s="199" customFormat="1" ht="12" hidden="1" customHeight="1">
      <c r="A2581" s="198"/>
    </row>
    <row r="2582" spans="1:1" s="199" customFormat="1" ht="12" hidden="1" customHeight="1">
      <c r="A2582" s="198"/>
    </row>
    <row r="2583" spans="1:1" s="199" customFormat="1" ht="12" hidden="1" customHeight="1">
      <c r="A2583" s="198"/>
    </row>
    <row r="2584" spans="1:1" s="199" customFormat="1" ht="12" hidden="1" customHeight="1">
      <c r="A2584" s="198"/>
    </row>
    <row r="2585" spans="1:1" s="199" customFormat="1" ht="12" hidden="1" customHeight="1">
      <c r="A2585" s="198"/>
    </row>
    <row r="2586" spans="1:1" s="199" customFormat="1" ht="12" hidden="1" customHeight="1">
      <c r="A2586" s="198"/>
    </row>
    <row r="2587" spans="1:1" s="199" customFormat="1" ht="12" hidden="1" customHeight="1">
      <c r="A2587" s="198"/>
    </row>
    <row r="2588" spans="1:1" s="199" customFormat="1" ht="12" hidden="1" customHeight="1">
      <c r="A2588" s="198"/>
    </row>
    <row r="2589" spans="1:1" s="199" customFormat="1" ht="12" hidden="1" customHeight="1">
      <c r="A2589" s="198"/>
    </row>
    <row r="2590" spans="1:1" s="199" customFormat="1" ht="12" hidden="1" customHeight="1">
      <c r="A2590" s="198"/>
    </row>
    <row r="2591" spans="1:1" s="199" customFormat="1" ht="12" hidden="1" customHeight="1">
      <c r="A2591" s="198"/>
    </row>
    <row r="2592" spans="1:1" s="199" customFormat="1" ht="12" hidden="1" customHeight="1">
      <c r="A2592" s="198"/>
    </row>
    <row r="2593" spans="1:1" s="199" customFormat="1" ht="12" hidden="1" customHeight="1">
      <c r="A2593" s="198"/>
    </row>
    <row r="2594" spans="1:1" s="199" customFormat="1" ht="12" hidden="1" customHeight="1">
      <c r="A2594" s="198"/>
    </row>
    <row r="2595" spans="1:1" s="199" customFormat="1" ht="12" hidden="1" customHeight="1">
      <c r="A2595" s="198"/>
    </row>
    <row r="2596" spans="1:1" s="199" customFormat="1" ht="12" hidden="1" customHeight="1">
      <c r="A2596" s="198"/>
    </row>
    <row r="2597" spans="1:1" s="199" customFormat="1" ht="12" hidden="1" customHeight="1">
      <c r="A2597" s="198"/>
    </row>
    <row r="2598" spans="1:1" s="199" customFormat="1" ht="12" hidden="1" customHeight="1">
      <c r="A2598" s="198"/>
    </row>
    <row r="2599" spans="1:1" s="199" customFormat="1" ht="12" hidden="1" customHeight="1">
      <c r="A2599" s="198"/>
    </row>
    <row r="2600" spans="1:1" s="199" customFormat="1" ht="12" hidden="1" customHeight="1">
      <c r="A2600" s="198"/>
    </row>
    <row r="2601" spans="1:1" s="199" customFormat="1" ht="12" hidden="1" customHeight="1">
      <c r="A2601" s="198"/>
    </row>
    <row r="2602" spans="1:1" s="199" customFormat="1" ht="12" hidden="1" customHeight="1">
      <c r="A2602" s="198"/>
    </row>
    <row r="2603" spans="1:1" s="199" customFormat="1" ht="12" hidden="1" customHeight="1">
      <c r="A2603" s="198"/>
    </row>
    <row r="2604" spans="1:1" s="199" customFormat="1" ht="12" hidden="1" customHeight="1">
      <c r="A2604" s="198"/>
    </row>
    <row r="2605" spans="1:1" s="199" customFormat="1" ht="12" hidden="1" customHeight="1">
      <c r="A2605" s="198"/>
    </row>
    <row r="2606" spans="1:1" s="199" customFormat="1" ht="12" hidden="1" customHeight="1">
      <c r="A2606" s="198"/>
    </row>
    <row r="2607" spans="1:1" s="199" customFormat="1" ht="12" hidden="1" customHeight="1">
      <c r="A2607" s="198"/>
    </row>
    <row r="2608" spans="1:1" s="199" customFormat="1" ht="12" hidden="1" customHeight="1">
      <c r="A2608" s="198"/>
    </row>
    <row r="2609" spans="1:1" s="199" customFormat="1" ht="12" hidden="1" customHeight="1">
      <c r="A2609" s="198"/>
    </row>
    <row r="2610" spans="1:1" s="199" customFormat="1" ht="12" hidden="1" customHeight="1">
      <c r="A2610" s="198"/>
    </row>
    <row r="2611" spans="1:1" s="199" customFormat="1" ht="12" hidden="1" customHeight="1">
      <c r="A2611" s="198"/>
    </row>
    <row r="2612" spans="1:1" s="199" customFormat="1" ht="12" hidden="1" customHeight="1">
      <c r="A2612" s="198"/>
    </row>
    <row r="2613" spans="1:1" s="199" customFormat="1" ht="12" hidden="1" customHeight="1">
      <c r="A2613" s="198"/>
    </row>
    <row r="2614" spans="1:1" s="199" customFormat="1" ht="12" hidden="1" customHeight="1">
      <c r="A2614" s="198"/>
    </row>
    <row r="2615" spans="1:1" s="199" customFormat="1" ht="12" hidden="1" customHeight="1">
      <c r="A2615" s="198"/>
    </row>
    <row r="2616" spans="1:1" s="199" customFormat="1" ht="12" hidden="1" customHeight="1">
      <c r="A2616" s="198"/>
    </row>
    <row r="2617" spans="1:1" s="199" customFormat="1" ht="12" hidden="1" customHeight="1">
      <c r="A2617" s="198"/>
    </row>
    <row r="2618" spans="1:1" s="199" customFormat="1" ht="12" hidden="1" customHeight="1">
      <c r="A2618" s="198"/>
    </row>
    <row r="2619" spans="1:1" s="199" customFormat="1" ht="12" hidden="1" customHeight="1">
      <c r="A2619" s="198"/>
    </row>
    <row r="2620" spans="1:1" s="199" customFormat="1" ht="12" hidden="1" customHeight="1">
      <c r="A2620" s="198"/>
    </row>
    <row r="2621" spans="1:1" s="199" customFormat="1" ht="12" hidden="1" customHeight="1">
      <c r="A2621" s="198"/>
    </row>
    <row r="2622" spans="1:1" s="199" customFormat="1" ht="12" hidden="1" customHeight="1">
      <c r="A2622" s="198"/>
    </row>
    <row r="2623" spans="1:1" s="199" customFormat="1" ht="12" hidden="1" customHeight="1">
      <c r="A2623" s="198"/>
    </row>
    <row r="2624" spans="1:1" s="199" customFormat="1" ht="12" hidden="1" customHeight="1">
      <c r="A2624" s="198"/>
    </row>
    <row r="2625" spans="1:1" s="199" customFormat="1" ht="12" hidden="1" customHeight="1">
      <c r="A2625" s="198"/>
    </row>
    <row r="2626" spans="1:1" s="199" customFormat="1" ht="12" hidden="1" customHeight="1">
      <c r="A2626" s="198"/>
    </row>
    <row r="2627" spans="1:1" s="199" customFormat="1" ht="12" hidden="1" customHeight="1">
      <c r="A2627" s="198"/>
    </row>
    <row r="2628" spans="1:1" s="199" customFormat="1" ht="12" hidden="1" customHeight="1">
      <c r="A2628" s="198"/>
    </row>
    <row r="2629" spans="1:1" s="199" customFormat="1" ht="12" hidden="1" customHeight="1">
      <c r="A2629" s="198"/>
    </row>
    <row r="2630" spans="1:1" s="199" customFormat="1" ht="12" hidden="1" customHeight="1">
      <c r="A2630" s="198"/>
    </row>
    <row r="2631" spans="1:1" s="199" customFormat="1" ht="12" hidden="1" customHeight="1">
      <c r="A2631" s="198"/>
    </row>
    <row r="2632" spans="1:1" s="199" customFormat="1" ht="12" hidden="1" customHeight="1">
      <c r="A2632" s="198"/>
    </row>
    <row r="2633" spans="1:1" s="199" customFormat="1" ht="12" hidden="1" customHeight="1">
      <c r="A2633" s="198"/>
    </row>
    <row r="2634" spans="1:1" s="199" customFormat="1" ht="12" hidden="1" customHeight="1">
      <c r="A2634" s="198"/>
    </row>
    <row r="2635" spans="1:1" s="199" customFormat="1" ht="12" hidden="1" customHeight="1">
      <c r="A2635" s="198"/>
    </row>
    <row r="2636" spans="1:1" s="199" customFormat="1" ht="12" hidden="1" customHeight="1">
      <c r="A2636" s="198"/>
    </row>
    <row r="2637" spans="1:1" s="199" customFormat="1" ht="12" hidden="1" customHeight="1">
      <c r="A2637" s="198"/>
    </row>
    <row r="2638" spans="1:1" s="199" customFormat="1" ht="12" hidden="1" customHeight="1">
      <c r="A2638" s="198"/>
    </row>
    <row r="2639" spans="1:1" s="199" customFormat="1" ht="12" hidden="1" customHeight="1">
      <c r="A2639" s="198"/>
    </row>
    <row r="2640" spans="1:1" s="199" customFormat="1" ht="12" hidden="1" customHeight="1">
      <c r="A2640" s="198"/>
    </row>
    <row r="2641" spans="1:1" s="199" customFormat="1" ht="12" hidden="1" customHeight="1">
      <c r="A2641" s="198"/>
    </row>
    <row r="2642" spans="1:1" s="199" customFormat="1" ht="12" hidden="1" customHeight="1">
      <c r="A2642" s="198"/>
    </row>
    <row r="2643" spans="1:1" s="199" customFormat="1" ht="12" hidden="1" customHeight="1">
      <c r="A2643" s="198"/>
    </row>
    <row r="2644" spans="1:1" s="199" customFormat="1" ht="12" hidden="1" customHeight="1">
      <c r="A2644" s="198"/>
    </row>
    <row r="2645" spans="1:1" s="199" customFormat="1" ht="12" hidden="1" customHeight="1">
      <c r="A2645" s="198"/>
    </row>
    <row r="2646" spans="1:1" s="199" customFormat="1" ht="12" hidden="1" customHeight="1">
      <c r="A2646" s="198"/>
    </row>
    <row r="2647" spans="1:1" s="199" customFormat="1" ht="12" hidden="1" customHeight="1">
      <c r="A2647" s="198"/>
    </row>
    <row r="2648" spans="1:1" s="199" customFormat="1" ht="12" hidden="1" customHeight="1">
      <c r="A2648" s="198"/>
    </row>
    <row r="2649" spans="1:1" s="199" customFormat="1" ht="12" hidden="1" customHeight="1">
      <c r="A2649" s="198"/>
    </row>
    <row r="2650" spans="1:1" s="199" customFormat="1" ht="12" hidden="1" customHeight="1">
      <c r="A2650" s="198"/>
    </row>
    <row r="2651" spans="1:1" s="199" customFormat="1" ht="12" hidden="1" customHeight="1">
      <c r="A2651" s="198"/>
    </row>
    <row r="2652" spans="1:1" s="199" customFormat="1" ht="12" hidden="1" customHeight="1">
      <c r="A2652" s="198"/>
    </row>
    <row r="2653" spans="1:1" s="199" customFormat="1" ht="12" hidden="1" customHeight="1">
      <c r="A2653" s="198"/>
    </row>
    <row r="2654" spans="1:1" s="199" customFormat="1" ht="12" hidden="1" customHeight="1">
      <c r="A2654" s="198"/>
    </row>
    <row r="2655" spans="1:1" s="199" customFormat="1" ht="12" hidden="1" customHeight="1">
      <c r="A2655" s="198"/>
    </row>
    <row r="2656" spans="1:1" s="199" customFormat="1" ht="12" hidden="1" customHeight="1">
      <c r="A2656" s="198"/>
    </row>
    <row r="2657" spans="1:1" s="199" customFormat="1" ht="12" hidden="1" customHeight="1">
      <c r="A2657" s="198"/>
    </row>
    <row r="2658" spans="1:1" s="199" customFormat="1" ht="12" hidden="1" customHeight="1">
      <c r="A2658" s="198"/>
    </row>
    <row r="2659" spans="1:1" s="199" customFormat="1" ht="12" hidden="1" customHeight="1">
      <c r="A2659" s="198"/>
    </row>
    <row r="2660" spans="1:1" s="199" customFormat="1" ht="12" hidden="1" customHeight="1">
      <c r="A2660" s="198"/>
    </row>
    <row r="2661" spans="1:1" s="199" customFormat="1" ht="12" hidden="1" customHeight="1">
      <c r="A2661" s="198"/>
    </row>
    <row r="2662" spans="1:1" s="199" customFormat="1" ht="12" hidden="1" customHeight="1">
      <c r="A2662" s="198"/>
    </row>
    <row r="2663" spans="1:1" s="199" customFormat="1" ht="12" hidden="1" customHeight="1">
      <c r="A2663" s="198"/>
    </row>
    <row r="2664" spans="1:1" s="199" customFormat="1" ht="12" hidden="1" customHeight="1">
      <c r="A2664" s="198"/>
    </row>
    <row r="2665" spans="1:1" s="199" customFormat="1" ht="12" hidden="1" customHeight="1">
      <c r="A2665" s="198"/>
    </row>
    <row r="2666" spans="1:1" s="199" customFormat="1" ht="12" hidden="1" customHeight="1">
      <c r="A2666" s="198"/>
    </row>
    <row r="2667" spans="1:1" s="199" customFormat="1" ht="12" hidden="1" customHeight="1">
      <c r="A2667" s="198"/>
    </row>
    <row r="2668" spans="1:1" s="199" customFormat="1" ht="12" hidden="1" customHeight="1">
      <c r="A2668" s="198"/>
    </row>
    <row r="2669" spans="1:1" s="199" customFormat="1" ht="12" hidden="1" customHeight="1">
      <c r="A2669" s="198"/>
    </row>
    <row r="2670" spans="1:1" s="199" customFormat="1" ht="12" hidden="1" customHeight="1">
      <c r="A2670" s="198"/>
    </row>
    <row r="2671" spans="1:1" s="199" customFormat="1" ht="12" hidden="1" customHeight="1">
      <c r="A2671" s="198"/>
    </row>
    <row r="2672" spans="1:1" s="199" customFormat="1" ht="12" hidden="1" customHeight="1">
      <c r="A2672" s="198"/>
    </row>
    <row r="2673" spans="1:1" s="199" customFormat="1" ht="12" hidden="1" customHeight="1">
      <c r="A2673" s="198"/>
    </row>
    <row r="2674" spans="1:1" s="199" customFormat="1" ht="12" hidden="1" customHeight="1">
      <c r="A2674" s="198"/>
    </row>
    <row r="2675" spans="1:1" s="199" customFormat="1" ht="12" hidden="1" customHeight="1">
      <c r="A2675" s="198"/>
    </row>
    <row r="2676" spans="1:1" s="199" customFormat="1" ht="12" hidden="1" customHeight="1">
      <c r="A2676" s="198"/>
    </row>
    <row r="2677" spans="1:1" s="199" customFormat="1" ht="12" hidden="1" customHeight="1">
      <c r="A2677" s="198"/>
    </row>
    <row r="2678" spans="1:1" s="199" customFormat="1" ht="12" hidden="1" customHeight="1">
      <c r="A2678" s="198"/>
    </row>
    <row r="2679" spans="1:1" s="199" customFormat="1" ht="12" hidden="1" customHeight="1">
      <c r="A2679" s="198"/>
    </row>
    <row r="2680" spans="1:1" s="199" customFormat="1" ht="12" hidden="1" customHeight="1">
      <c r="A2680" s="198"/>
    </row>
    <row r="2681" spans="1:1" s="199" customFormat="1" ht="12" hidden="1" customHeight="1">
      <c r="A2681" s="198"/>
    </row>
    <row r="2682" spans="1:1" s="199" customFormat="1" ht="12" hidden="1" customHeight="1">
      <c r="A2682" s="198"/>
    </row>
    <row r="2683" spans="1:1" s="199" customFormat="1" ht="12" hidden="1" customHeight="1">
      <c r="A2683" s="198"/>
    </row>
    <row r="2684" spans="1:1" s="199" customFormat="1" ht="12" hidden="1" customHeight="1">
      <c r="A2684" s="198"/>
    </row>
    <row r="2685" spans="1:1" s="199" customFormat="1" ht="12" hidden="1" customHeight="1">
      <c r="A2685" s="198"/>
    </row>
    <row r="2686" spans="1:1" s="199" customFormat="1" ht="12" hidden="1" customHeight="1">
      <c r="A2686" s="198"/>
    </row>
    <row r="2687" spans="1:1" s="199" customFormat="1" ht="12" hidden="1" customHeight="1">
      <c r="A2687" s="198"/>
    </row>
    <row r="2688" spans="1:1" s="199" customFormat="1" ht="12" hidden="1" customHeight="1">
      <c r="A2688" s="198"/>
    </row>
    <row r="2689" spans="1:1" s="199" customFormat="1" ht="12" hidden="1" customHeight="1">
      <c r="A2689" s="198"/>
    </row>
    <row r="2690" spans="1:1" s="199" customFormat="1" ht="12" hidden="1" customHeight="1">
      <c r="A2690" s="198"/>
    </row>
    <row r="2691" spans="1:1" s="199" customFormat="1" ht="12" hidden="1" customHeight="1">
      <c r="A2691" s="198"/>
    </row>
    <row r="2692" spans="1:1" s="199" customFormat="1" ht="12" hidden="1" customHeight="1">
      <c r="A2692" s="198"/>
    </row>
    <row r="2693" spans="1:1" s="199" customFormat="1" ht="12" hidden="1" customHeight="1">
      <c r="A2693" s="198"/>
    </row>
    <row r="2694" spans="1:1" s="199" customFormat="1" ht="12" hidden="1" customHeight="1">
      <c r="A2694" s="198"/>
    </row>
    <row r="2695" spans="1:1" s="199" customFormat="1" ht="12" hidden="1" customHeight="1">
      <c r="A2695" s="198"/>
    </row>
    <row r="2696" spans="1:1" s="199" customFormat="1" ht="12" hidden="1" customHeight="1">
      <c r="A2696" s="198"/>
    </row>
    <row r="2697" spans="1:1" s="199" customFormat="1" ht="12" hidden="1" customHeight="1">
      <c r="A2697" s="198"/>
    </row>
    <row r="2698" spans="1:1" s="199" customFormat="1" ht="12" hidden="1" customHeight="1">
      <c r="A2698" s="198"/>
    </row>
    <row r="2699" spans="1:1" s="199" customFormat="1" ht="12" hidden="1" customHeight="1">
      <c r="A2699" s="198"/>
    </row>
    <row r="2700" spans="1:1" s="199" customFormat="1" ht="12" hidden="1" customHeight="1">
      <c r="A2700" s="198"/>
    </row>
    <row r="2701" spans="1:1" s="199" customFormat="1" ht="12" hidden="1" customHeight="1">
      <c r="A2701" s="198"/>
    </row>
    <row r="2702" spans="1:1" s="199" customFormat="1" ht="12" hidden="1" customHeight="1">
      <c r="A2702" s="198"/>
    </row>
    <row r="2703" spans="1:1" s="199" customFormat="1" ht="12" hidden="1" customHeight="1">
      <c r="A2703" s="198"/>
    </row>
    <row r="2704" spans="1:1" s="199" customFormat="1" ht="12" hidden="1" customHeight="1">
      <c r="A2704" s="198"/>
    </row>
    <row r="2705" spans="1:1" s="199" customFormat="1" ht="12" hidden="1" customHeight="1">
      <c r="A2705" s="198"/>
    </row>
    <row r="2706" spans="1:1" s="199" customFormat="1" ht="12" hidden="1" customHeight="1">
      <c r="A2706" s="198"/>
    </row>
    <row r="2707" spans="1:1" s="199" customFormat="1" ht="12" hidden="1" customHeight="1">
      <c r="A2707" s="198"/>
    </row>
    <row r="2708" spans="1:1" s="199" customFormat="1" ht="12" hidden="1" customHeight="1">
      <c r="A2708" s="198"/>
    </row>
    <row r="2709" spans="1:1" s="199" customFormat="1" ht="12" hidden="1" customHeight="1">
      <c r="A2709" s="198"/>
    </row>
    <row r="2710" spans="1:1" s="199" customFormat="1" ht="12" hidden="1" customHeight="1">
      <c r="A2710" s="198"/>
    </row>
    <row r="2711" spans="1:1" s="199" customFormat="1" ht="12" hidden="1" customHeight="1">
      <c r="A2711" s="198"/>
    </row>
    <row r="2712" spans="1:1" s="199" customFormat="1" ht="12" hidden="1" customHeight="1">
      <c r="A2712" s="198"/>
    </row>
    <row r="2713" spans="1:1" s="199" customFormat="1" ht="12" hidden="1" customHeight="1">
      <c r="A2713" s="198"/>
    </row>
    <row r="2714" spans="1:1" s="199" customFormat="1" ht="12" hidden="1" customHeight="1">
      <c r="A2714" s="198"/>
    </row>
    <row r="2715" spans="1:1" s="199" customFormat="1" ht="12" hidden="1" customHeight="1">
      <c r="A2715" s="198"/>
    </row>
    <row r="2716" spans="1:1" s="199" customFormat="1" ht="12" hidden="1" customHeight="1">
      <c r="A2716" s="198"/>
    </row>
    <row r="2717" spans="1:1" s="199" customFormat="1" ht="12" hidden="1" customHeight="1">
      <c r="A2717" s="198"/>
    </row>
    <row r="2718" spans="1:1" s="199" customFormat="1" ht="12" hidden="1" customHeight="1">
      <c r="A2718" s="198"/>
    </row>
    <row r="2719" spans="1:1" s="199" customFormat="1" ht="12" hidden="1" customHeight="1">
      <c r="A2719" s="198"/>
    </row>
    <row r="2720" spans="1:1" s="199" customFormat="1" ht="12" hidden="1" customHeight="1">
      <c r="A2720" s="198"/>
    </row>
    <row r="2721" spans="1:1" s="199" customFormat="1" ht="12" hidden="1" customHeight="1">
      <c r="A2721" s="198"/>
    </row>
    <row r="2722" spans="1:1" s="199" customFormat="1" ht="12" hidden="1" customHeight="1">
      <c r="A2722" s="198"/>
    </row>
    <row r="2723" spans="1:1" s="199" customFormat="1" ht="12" hidden="1" customHeight="1">
      <c r="A2723" s="198"/>
    </row>
    <row r="2724" spans="1:1" s="199" customFormat="1" ht="12" hidden="1" customHeight="1">
      <c r="A2724" s="198"/>
    </row>
    <row r="2725" spans="1:1" s="199" customFormat="1" ht="12" hidden="1" customHeight="1">
      <c r="A2725" s="198"/>
    </row>
    <row r="2726" spans="1:1" s="199" customFormat="1" ht="12" hidden="1" customHeight="1">
      <c r="A2726" s="198"/>
    </row>
    <row r="2727" spans="1:1" s="199" customFormat="1" ht="12" hidden="1" customHeight="1">
      <c r="A2727" s="198"/>
    </row>
    <row r="2728" spans="1:1" s="199" customFormat="1" ht="12" hidden="1" customHeight="1">
      <c r="A2728" s="198"/>
    </row>
    <row r="2729" spans="1:1" s="199" customFormat="1" ht="12" hidden="1" customHeight="1">
      <c r="A2729" s="198"/>
    </row>
    <row r="2730" spans="1:1" s="199" customFormat="1" ht="12" hidden="1" customHeight="1">
      <c r="A2730" s="198"/>
    </row>
    <row r="2731" spans="1:1" s="199" customFormat="1" ht="12" hidden="1" customHeight="1">
      <c r="A2731" s="198"/>
    </row>
    <row r="2732" spans="1:1" s="199" customFormat="1" ht="12" hidden="1" customHeight="1">
      <c r="A2732" s="198"/>
    </row>
    <row r="2733" spans="1:1" s="199" customFormat="1" ht="12" hidden="1" customHeight="1">
      <c r="A2733" s="198"/>
    </row>
    <row r="2734" spans="1:1" s="199" customFormat="1" ht="12" hidden="1" customHeight="1">
      <c r="A2734" s="198"/>
    </row>
    <row r="2735" spans="1:1" s="199" customFormat="1" ht="12" hidden="1" customHeight="1">
      <c r="A2735" s="198"/>
    </row>
    <row r="2736" spans="1:1" s="199" customFormat="1" ht="12" hidden="1" customHeight="1">
      <c r="A2736" s="198"/>
    </row>
    <row r="2737" spans="1:1" s="199" customFormat="1" ht="12" hidden="1" customHeight="1">
      <c r="A2737" s="198"/>
    </row>
    <row r="2738" spans="1:1" s="199" customFormat="1" ht="12" hidden="1" customHeight="1">
      <c r="A2738" s="198"/>
    </row>
    <row r="2739" spans="1:1" s="199" customFormat="1" ht="12" hidden="1" customHeight="1">
      <c r="A2739" s="198"/>
    </row>
    <row r="2740" spans="1:1" s="199" customFormat="1" ht="12" hidden="1" customHeight="1">
      <c r="A2740" s="198"/>
    </row>
    <row r="2741" spans="1:1" s="199" customFormat="1" ht="12" hidden="1" customHeight="1">
      <c r="A2741" s="198"/>
    </row>
    <row r="2742" spans="1:1" s="199" customFormat="1" ht="12" hidden="1" customHeight="1">
      <c r="A2742" s="198"/>
    </row>
    <row r="2743" spans="1:1" s="199" customFormat="1" ht="12" hidden="1" customHeight="1">
      <c r="A2743" s="198"/>
    </row>
    <row r="2744" spans="1:1" s="199" customFormat="1" ht="12" hidden="1" customHeight="1">
      <c r="A2744" s="198"/>
    </row>
    <row r="2745" spans="1:1" s="199" customFormat="1" ht="12" hidden="1" customHeight="1">
      <c r="A2745" s="198"/>
    </row>
    <row r="2746" spans="1:1" s="199" customFormat="1" ht="12" hidden="1" customHeight="1">
      <c r="A2746" s="198"/>
    </row>
    <row r="2747" spans="1:1" s="199" customFormat="1" ht="12" hidden="1" customHeight="1">
      <c r="A2747" s="198"/>
    </row>
    <row r="2748" spans="1:1" s="199" customFormat="1" ht="12" hidden="1" customHeight="1">
      <c r="A2748" s="198"/>
    </row>
    <row r="2749" spans="1:1" s="199" customFormat="1" ht="12" hidden="1" customHeight="1">
      <c r="A2749" s="198"/>
    </row>
    <row r="2750" spans="1:1" s="199" customFormat="1" ht="12" hidden="1" customHeight="1">
      <c r="A2750" s="198"/>
    </row>
    <row r="2751" spans="1:1" s="199" customFormat="1" ht="12" hidden="1" customHeight="1">
      <c r="A2751" s="198"/>
    </row>
    <row r="2752" spans="1:1" s="199" customFormat="1" ht="12" hidden="1" customHeight="1">
      <c r="A2752" s="198"/>
    </row>
    <row r="2753" spans="1:1" s="199" customFormat="1" ht="12" hidden="1" customHeight="1">
      <c r="A2753" s="198"/>
    </row>
    <row r="2754" spans="1:1" s="199" customFormat="1" ht="12" hidden="1" customHeight="1">
      <c r="A2754" s="198"/>
    </row>
    <row r="2755" spans="1:1" s="199" customFormat="1" ht="12" hidden="1" customHeight="1">
      <c r="A2755" s="198"/>
    </row>
    <row r="2756" spans="1:1" s="199" customFormat="1" ht="12" hidden="1" customHeight="1">
      <c r="A2756" s="198"/>
    </row>
    <row r="2757" spans="1:1" s="199" customFormat="1" ht="12" hidden="1" customHeight="1">
      <c r="A2757" s="198"/>
    </row>
    <row r="2758" spans="1:1" s="199" customFormat="1" ht="12" hidden="1" customHeight="1">
      <c r="A2758" s="198"/>
    </row>
    <row r="2759" spans="1:1" s="199" customFormat="1" ht="12" hidden="1" customHeight="1">
      <c r="A2759" s="198"/>
    </row>
    <row r="2760" spans="1:1" s="199" customFormat="1" ht="12" hidden="1" customHeight="1">
      <c r="A2760" s="198"/>
    </row>
    <row r="2761" spans="1:1" s="199" customFormat="1" ht="12" hidden="1" customHeight="1">
      <c r="A2761" s="198"/>
    </row>
    <row r="2762" spans="1:1" s="199" customFormat="1" ht="12" hidden="1" customHeight="1">
      <c r="A2762" s="198"/>
    </row>
    <row r="2763" spans="1:1" s="199" customFormat="1" ht="12" hidden="1" customHeight="1">
      <c r="A2763" s="198"/>
    </row>
    <row r="2764" spans="1:1" s="199" customFormat="1" ht="12" hidden="1" customHeight="1">
      <c r="A2764" s="198"/>
    </row>
    <row r="2765" spans="1:1" s="199" customFormat="1" ht="12" hidden="1" customHeight="1">
      <c r="A2765" s="198"/>
    </row>
    <row r="2766" spans="1:1" s="199" customFormat="1" ht="12" hidden="1" customHeight="1">
      <c r="A2766" s="198"/>
    </row>
    <row r="2767" spans="1:1" s="199" customFormat="1" ht="12" hidden="1" customHeight="1">
      <c r="A2767" s="198"/>
    </row>
    <row r="2768" spans="1:1" s="199" customFormat="1" ht="12" hidden="1" customHeight="1">
      <c r="A2768" s="198"/>
    </row>
    <row r="2769" spans="1:1" s="199" customFormat="1" ht="12" hidden="1" customHeight="1">
      <c r="A2769" s="198"/>
    </row>
    <row r="2770" spans="1:1" s="199" customFormat="1" ht="12" hidden="1" customHeight="1">
      <c r="A2770" s="198"/>
    </row>
    <row r="2771" spans="1:1" s="199" customFormat="1" ht="12" hidden="1" customHeight="1">
      <c r="A2771" s="198"/>
    </row>
    <row r="2772" spans="1:1" s="199" customFormat="1" ht="12" hidden="1" customHeight="1">
      <c r="A2772" s="198"/>
    </row>
    <row r="2773" spans="1:1" s="199" customFormat="1" ht="12" hidden="1" customHeight="1">
      <c r="A2773" s="198"/>
    </row>
    <row r="2774" spans="1:1" s="199" customFormat="1" ht="12" hidden="1" customHeight="1">
      <c r="A2774" s="198"/>
    </row>
    <row r="2775" spans="1:1" s="199" customFormat="1" ht="12" hidden="1" customHeight="1">
      <c r="A2775" s="198"/>
    </row>
    <row r="2776" spans="1:1" s="199" customFormat="1" ht="12" hidden="1" customHeight="1">
      <c r="A2776" s="198"/>
    </row>
    <row r="2777" spans="1:1" s="199" customFormat="1" ht="12" hidden="1" customHeight="1">
      <c r="A2777" s="198"/>
    </row>
    <row r="2778" spans="1:1" s="199" customFormat="1" ht="12" hidden="1" customHeight="1">
      <c r="A2778" s="198"/>
    </row>
    <row r="2779" spans="1:1" s="199" customFormat="1" ht="12" hidden="1" customHeight="1">
      <c r="A2779" s="198"/>
    </row>
    <row r="2780" spans="1:1" s="199" customFormat="1" ht="12" hidden="1" customHeight="1">
      <c r="A2780" s="198"/>
    </row>
    <row r="2781" spans="1:1" s="199" customFormat="1" ht="12" hidden="1" customHeight="1">
      <c r="A2781" s="198"/>
    </row>
    <row r="2782" spans="1:1" s="199" customFormat="1" ht="12" hidden="1" customHeight="1">
      <c r="A2782" s="198"/>
    </row>
    <row r="2783" spans="1:1" s="199" customFormat="1" ht="12" hidden="1" customHeight="1">
      <c r="A2783" s="198"/>
    </row>
    <row r="2784" spans="1:1" s="199" customFormat="1" ht="12" hidden="1" customHeight="1">
      <c r="A2784" s="198"/>
    </row>
    <row r="2785" spans="1:1" s="199" customFormat="1" ht="12" hidden="1" customHeight="1">
      <c r="A2785" s="198"/>
    </row>
    <row r="2786" spans="1:1" s="199" customFormat="1" ht="12" hidden="1" customHeight="1">
      <c r="A2786" s="198"/>
    </row>
    <row r="2787" spans="1:1" s="199" customFormat="1" ht="12" hidden="1" customHeight="1">
      <c r="A2787" s="198"/>
    </row>
    <row r="2788" spans="1:1" s="199" customFormat="1" ht="12" hidden="1" customHeight="1">
      <c r="A2788" s="198"/>
    </row>
    <row r="2789" spans="1:1" s="199" customFormat="1" ht="12" hidden="1" customHeight="1">
      <c r="A2789" s="198"/>
    </row>
    <row r="2790" spans="1:1" s="199" customFormat="1" ht="12" hidden="1" customHeight="1">
      <c r="A2790" s="198"/>
    </row>
    <row r="2791" spans="1:1" s="199" customFormat="1" ht="12" hidden="1" customHeight="1">
      <c r="A2791" s="198"/>
    </row>
    <row r="2792" spans="1:1" s="199" customFormat="1" ht="12" hidden="1" customHeight="1">
      <c r="A2792" s="198"/>
    </row>
    <row r="2793" spans="1:1" s="199" customFormat="1" ht="12" hidden="1" customHeight="1">
      <c r="A2793" s="198"/>
    </row>
    <row r="2794" spans="1:1" s="199" customFormat="1" ht="12" hidden="1" customHeight="1">
      <c r="A2794" s="198"/>
    </row>
    <row r="2795" spans="1:1" s="199" customFormat="1" ht="12" hidden="1" customHeight="1">
      <c r="A2795" s="198"/>
    </row>
    <row r="2796" spans="1:1" s="199" customFormat="1" ht="12" hidden="1" customHeight="1">
      <c r="A2796" s="198"/>
    </row>
    <row r="2797" spans="1:1" s="199" customFormat="1" ht="12" hidden="1" customHeight="1">
      <c r="A2797" s="198"/>
    </row>
    <row r="2798" spans="1:1" s="199" customFormat="1" ht="12" hidden="1" customHeight="1">
      <c r="A2798" s="198"/>
    </row>
    <row r="2799" spans="1:1" s="199" customFormat="1" ht="12" hidden="1" customHeight="1">
      <c r="A2799" s="198"/>
    </row>
    <row r="2800" spans="1:1" s="199" customFormat="1" ht="12" hidden="1" customHeight="1">
      <c r="A2800" s="198"/>
    </row>
    <row r="2801" spans="1:1" s="199" customFormat="1" ht="12" hidden="1" customHeight="1">
      <c r="A2801" s="198"/>
    </row>
    <row r="2802" spans="1:1" s="199" customFormat="1" ht="12" hidden="1" customHeight="1">
      <c r="A2802" s="198"/>
    </row>
    <row r="2803" spans="1:1" s="199" customFormat="1" ht="12" hidden="1" customHeight="1">
      <c r="A2803" s="198"/>
    </row>
    <row r="2804" spans="1:1" s="199" customFormat="1" ht="12" hidden="1" customHeight="1">
      <c r="A2804" s="198"/>
    </row>
    <row r="2805" spans="1:1" s="199" customFormat="1" ht="12" hidden="1" customHeight="1">
      <c r="A2805" s="198"/>
    </row>
    <row r="2806" spans="1:1" s="199" customFormat="1" ht="12" hidden="1" customHeight="1">
      <c r="A2806" s="198"/>
    </row>
    <row r="2807" spans="1:1" s="199" customFormat="1" ht="12" hidden="1" customHeight="1">
      <c r="A2807" s="198"/>
    </row>
    <row r="2808" spans="1:1" s="199" customFormat="1" ht="12" hidden="1" customHeight="1">
      <c r="A2808" s="198"/>
    </row>
    <row r="2809" spans="1:1" s="199" customFormat="1" ht="12" hidden="1" customHeight="1">
      <c r="A2809" s="198"/>
    </row>
    <row r="2810" spans="1:1" s="199" customFormat="1" ht="12" hidden="1" customHeight="1">
      <c r="A2810" s="198"/>
    </row>
    <row r="2811" spans="1:1" s="199" customFormat="1" ht="12" hidden="1" customHeight="1">
      <c r="A2811" s="198"/>
    </row>
    <row r="2812" spans="1:1" s="199" customFormat="1" ht="12" hidden="1" customHeight="1">
      <c r="A2812" s="198"/>
    </row>
    <row r="2813" spans="1:1" s="199" customFormat="1" ht="12" hidden="1" customHeight="1">
      <c r="A2813" s="198"/>
    </row>
    <row r="2814" spans="1:1" s="199" customFormat="1" ht="12" hidden="1" customHeight="1">
      <c r="A2814" s="198"/>
    </row>
    <row r="2815" spans="1:1" s="199" customFormat="1" ht="12" hidden="1" customHeight="1">
      <c r="A2815" s="198"/>
    </row>
    <row r="2816" spans="1:1" s="199" customFormat="1" ht="12" hidden="1" customHeight="1">
      <c r="A2816" s="198"/>
    </row>
    <row r="2817" spans="1:1" s="199" customFormat="1" ht="12" hidden="1" customHeight="1">
      <c r="A2817" s="198"/>
    </row>
    <row r="2818" spans="1:1" s="199" customFormat="1" ht="12" hidden="1" customHeight="1">
      <c r="A2818" s="198"/>
    </row>
    <row r="2819" spans="1:1" s="199" customFormat="1" ht="12" hidden="1" customHeight="1">
      <c r="A2819" s="198"/>
    </row>
    <row r="2820" spans="1:1" s="199" customFormat="1" ht="12" hidden="1" customHeight="1">
      <c r="A2820" s="198"/>
    </row>
    <row r="2821" spans="1:1" s="199" customFormat="1" ht="12" hidden="1" customHeight="1">
      <c r="A2821" s="198"/>
    </row>
    <row r="2822" spans="1:1" s="199" customFormat="1" ht="12" hidden="1" customHeight="1">
      <c r="A2822" s="198"/>
    </row>
    <row r="2823" spans="1:1" s="199" customFormat="1" ht="12" hidden="1" customHeight="1">
      <c r="A2823" s="198"/>
    </row>
    <row r="2824" spans="1:1" s="199" customFormat="1" ht="12" hidden="1" customHeight="1">
      <c r="A2824" s="198"/>
    </row>
    <row r="2825" spans="1:1" s="199" customFormat="1" ht="12" hidden="1" customHeight="1">
      <c r="A2825" s="198"/>
    </row>
    <row r="2826" spans="1:1" s="199" customFormat="1" ht="12" hidden="1" customHeight="1">
      <c r="A2826" s="198"/>
    </row>
    <row r="2827" spans="1:1" s="199" customFormat="1" ht="12" hidden="1" customHeight="1">
      <c r="A2827" s="198"/>
    </row>
    <row r="2828" spans="1:1" s="199" customFormat="1" ht="12" hidden="1" customHeight="1">
      <c r="A2828" s="198"/>
    </row>
    <row r="2829" spans="1:1" s="199" customFormat="1" ht="12" hidden="1" customHeight="1">
      <c r="A2829" s="198"/>
    </row>
    <row r="2830" spans="1:1" s="199" customFormat="1" ht="12" hidden="1" customHeight="1">
      <c r="A2830" s="198"/>
    </row>
    <row r="2831" spans="1:1" s="199" customFormat="1" ht="12" hidden="1" customHeight="1">
      <c r="A2831" s="198"/>
    </row>
    <row r="2832" spans="1:1" s="199" customFormat="1" ht="12" hidden="1" customHeight="1">
      <c r="A2832" s="198"/>
    </row>
    <row r="2833" spans="1:1" s="199" customFormat="1" ht="12" hidden="1" customHeight="1">
      <c r="A2833" s="198"/>
    </row>
    <row r="2834" spans="1:1" s="199" customFormat="1" ht="12" hidden="1" customHeight="1">
      <c r="A2834" s="198"/>
    </row>
    <row r="2835" spans="1:1" s="199" customFormat="1" ht="12" hidden="1" customHeight="1">
      <c r="A2835" s="198"/>
    </row>
    <row r="2836" spans="1:1" s="199" customFormat="1" ht="12" hidden="1" customHeight="1">
      <c r="A2836" s="198"/>
    </row>
    <row r="2837" spans="1:1" s="199" customFormat="1" ht="12" hidden="1" customHeight="1">
      <c r="A2837" s="198"/>
    </row>
    <row r="2838" spans="1:1" s="199" customFormat="1" ht="12" hidden="1" customHeight="1">
      <c r="A2838" s="198"/>
    </row>
    <row r="2839" spans="1:1" s="199" customFormat="1" ht="12" hidden="1" customHeight="1">
      <c r="A2839" s="198"/>
    </row>
    <row r="2840" spans="1:1" s="199" customFormat="1" ht="12" hidden="1" customHeight="1">
      <c r="A2840" s="198"/>
    </row>
    <row r="2841" spans="1:1" s="199" customFormat="1" ht="12" hidden="1" customHeight="1">
      <c r="A2841" s="198"/>
    </row>
    <row r="2842" spans="1:1" s="199" customFormat="1" ht="12" hidden="1" customHeight="1">
      <c r="A2842" s="198"/>
    </row>
    <row r="2843" spans="1:1" s="199" customFormat="1" ht="12" hidden="1" customHeight="1">
      <c r="A2843" s="198"/>
    </row>
    <row r="2844" spans="1:1" s="199" customFormat="1" ht="12" hidden="1" customHeight="1">
      <c r="A2844" s="198"/>
    </row>
    <row r="2845" spans="1:1" s="199" customFormat="1" ht="12" hidden="1" customHeight="1">
      <c r="A2845" s="198"/>
    </row>
    <row r="2846" spans="1:1" s="199" customFormat="1" ht="12" hidden="1" customHeight="1">
      <c r="A2846" s="198"/>
    </row>
    <row r="2847" spans="1:1" s="199" customFormat="1" ht="12" hidden="1" customHeight="1">
      <c r="A2847" s="198"/>
    </row>
    <row r="2848" spans="1:1" s="199" customFormat="1" ht="12" hidden="1" customHeight="1">
      <c r="A2848" s="198"/>
    </row>
    <row r="2849" spans="1:1" s="199" customFormat="1" ht="12" hidden="1" customHeight="1">
      <c r="A2849" s="198"/>
    </row>
    <row r="2850" spans="1:1" s="199" customFormat="1" ht="12" hidden="1" customHeight="1">
      <c r="A2850" s="198"/>
    </row>
    <row r="2851" spans="1:1" s="199" customFormat="1" ht="12" hidden="1" customHeight="1">
      <c r="A2851" s="198"/>
    </row>
    <row r="2852" spans="1:1" s="199" customFormat="1" ht="12" hidden="1" customHeight="1">
      <c r="A2852" s="198"/>
    </row>
    <row r="2853" spans="1:1" s="199" customFormat="1" ht="12" hidden="1" customHeight="1">
      <c r="A2853" s="198"/>
    </row>
    <row r="2854" spans="1:1" s="199" customFormat="1" ht="12" hidden="1" customHeight="1">
      <c r="A2854" s="198"/>
    </row>
    <row r="2855" spans="1:1" s="199" customFormat="1" ht="12" hidden="1" customHeight="1">
      <c r="A2855" s="198"/>
    </row>
    <row r="2856" spans="1:1" s="199" customFormat="1" ht="12" hidden="1" customHeight="1">
      <c r="A2856" s="198"/>
    </row>
    <row r="2857" spans="1:1" s="199" customFormat="1" ht="12" hidden="1" customHeight="1">
      <c r="A2857" s="198"/>
    </row>
    <row r="2858" spans="1:1" s="199" customFormat="1" ht="12" hidden="1" customHeight="1">
      <c r="A2858" s="198"/>
    </row>
    <row r="2859" spans="1:1" s="199" customFormat="1" ht="12" hidden="1" customHeight="1">
      <c r="A2859" s="198"/>
    </row>
    <row r="2860" spans="1:1" s="199" customFormat="1" ht="12" hidden="1" customHeight="1">
      <c r="A2860" s="198"/>
    </row>
    <row r="2861" spans="1:1" s="199" customFormat="1" ht="12" hidden="1" customHeight="1">
      <c r="A2861" s="198"/>
    </row>
    <row r="2862" spans="1:1" s="199" customFormat="1" ht="12" hidden="1" customHeight="1">
      <c r="A2862" s="198"/>
    </row>
    <row r="2863" spans="1:1" s="199" customFormat="1" ht="12" hidden="1" customHeight="1">
      <c r="A2863" s="198"/>
    </row>
    <row r="2864" spans="1:1" s="199" customFormat="1" ht="12" hidden="1" customHeight="1">
      <c r="A2864" s="198"/>
    </row>
    <row r="2865" spans="1:1" s="199" customFormat="1" ht="12" hidden="1" customHeight="1">
      <c r="A2865" s="198"/>
    </row>
    <row r="2866" spans="1:1" s="199" customFormat="1" ht="12" hidden="1" customHeight="1">
      <c r="A2866" s="198"/>
    </row>
    <row r="2867" spans="1:1" s="199" customFormat="1" ht="12" hidden="1" customHeight="1">
      <c r="A2867" s="198"/>
    </row>
    <row r="2868" spans="1:1" s="199" customFormat="1" ht="12" hidden="1" customHeight="1">
      <c r="A2868" s="198"/>
    </row>
    <row r="2869" spans="1:1" s="199" customFormat="1" ht="12" hidden="1" customHeight="1">
      <c r="A2869" s="198"/>
    </row>
    <row r="2870" spans="1:1" s="199" customFormat="1" ht="12" hidden="1" customHeight="1">
      <c r="A2870" s="198"/>
    </row>
    <row r="2871" spans="1:1" s="199" customFormat="1" ht="12" hidden="1" customHeight="1">
      <c r="A2871" s="198"/>
    </row>
    <row r="2872" spans="1:1" s="199" customFormat="1" ht="12" hidden="1" customHeight="1">
      <c r="A2872" s="198"/>
    </row>
    <row r="2873" spans="1:1" s="199" customFormat="1" ht="12" hidden="1" customHeight="1">
      <c r="A2873" s="198"/>
    </row>
    <row r="2874" spans="1:1" s="199" customFormat="1" ht="12" hidden="1" customHeight="1">
      <c r="A2874" s="198"/>
    </row>
    <row r="2875" spans="1:1" s="199" customFormat="1" ht="12" hidden="1" customHeight="1">
      <c r="A2875" s="198"/>
    </row>
    <row r="2876" spans="1:1" s="199" customFormat="1" ht="12" hidden="1" customHeight="1">
      <c r="A2876" s="198"/>
    </row>
    <row r="2877" spans="1:1" s="199" customFormat="1" ht="12" hidden="1" customHeight="1">
      <c r="A2877" s="198"/>
    </row>
    <row r="2878" spans="1:1" s="199" customFormat="1" ht="12" hidden="1" customHeight="1">
      <c r="A2878" s="198"/>
    </row>
    <row r="2879" spans="1:1" s="199" customFormat="1" ht="12" hidden="1" customHeight="1">
      <c r="A2879" s="198"/>
    </row>
    <row r="2880" spans="1:1" s="199" customFormat="1" ht="12" hidden="1" customHeight="1">
      <c r="A2880" s="198"/>
    </row>
    <row r="2881" spans="1:1" s="199" customFormat="1" ht="12" hidden="1" customHeight="1">
      <c r="A2881" s="198"/>
    </row>
    <row r="2882" spans="1:1" s="199" customFormat="1" ht="12" hidden="1" customHeight="1">
      <c r="A2882" s="198"/>
    </row>
    <row r="2883" spans="1:1" s="199" customFormat="1" ht="12" hidden="1" customHeight="1">
      <c r="A2883" s="198"/>
    </row>
    <row r="2884" spans="1:1" s="199" customFormat="1" ht="12" hidden="1" customHeight="1">
      <c r="A2884" s="198"/>
    </row>
    <row r="2885" spans="1:1" s="199" customFormat="1" ht="12" hidden="1" customHeight="1">
      <c r="A2885" s="198"/>
    </row>
    <row r="2886" spans="1:1" s="199" customFormat="1" ht="12" hidden="1" customHeight="1">
      <c r="A2886" s="198"/>
    </row>
    <row r="2887" spans="1:1" s="199" customFormat="1" ht="12" hidden="1" customHeight="1">
      <c r="A2887" s="198"/>
    </row>
    <row r="2888" spans="1:1" s="199" customFormat="1" ht="12" hidden="1" customHeight="1">
      <c r="A2888" s="198"/>
    </row>
    <row r="2889" spans="1:1" s="199" customFormat="1" ht="12" hidden="1" customHeight="1">
      <c r="A2889" s="198"/>
    </row>
    <row r="2890" spans="1:1" s="199" customFormat="1" ht="12" hidden="1" customHeight="1">
      <c r="A2890" s="198"/>
    </row>
    <row r="2891" spans="1:1" s="199" customFormat="1" ht="12" hidden="1" customHeight="1">
      <c r="A2891" s="198"/>
    </row>
    <row r="2892" spans="1:1" s="199" customFormat="1" ht="12" hidden="1" customHeight="1">
      <c r="A2892" s="198"/>
    </row>
    <row r="2893" spans="1:1" s="199" customFormat="1" ht="12" hidden="1" customHeight="1">
      <c r="A2893" s="198"/>
    </row>
    <row r="2894" spans="1:1" s="199" customFormat="1" ht="12" hidden="1" customHeight="1">
      <c r="A2894" s="198"/>
    </row>
    <row r="2895" spans="1:1" s="199" customFormat="1" ht="12" hidden="1" customHeight="1">
      <c r="A2895" s="198"/>
    </row>
    <row r="2896" spans="1:1" s="199" customFormat="1" ht="12" hidden="1" customHeight="1">
      <c r="A2896" s="198"/>
    </row>
    <row r="2897" spans="1:1" s="199" customFormat="1" ht="12" hidden="1" customHeight="1">
      <c r="A2897" s="198"/>
    </row>
    <row r="2898" spans="1:1" s="199" customFormat="1" ht="12" hidden="1" customHeight="1">
      <c r="A2898" s="198"/>
    </row>
    <row r="2899" spans="1:1" s="199" customFormat="1" ht="12" hidden="1" customHeight="1">
      <c r="A2899" s="198"/>
    </row>
    <row r="2900" spans="1:1" s="199" customFormat="1" ht="12" hidden="1" customHeight="1">
      <c r="A2900" s="198"/>
    </row>
    <row r="2901" spans="1:1" s="199" customFormat="1" ht="12" hidden="1" customHeight="1">
      <c r="A2901" s="198"/>
    </row>
    <row r="2902" spans="1:1" s="199" customFormat="1" ht="12" hidden="1" customHeight="1">
      <c r="A2902" s="198"/>
    </row>
    <row r="2903" spans="1:1" s="199" customFormat="1" ht="12" hidden="1" customHeight="1">
      <c r="A2903" s="198"/>
    </row>
    <row r="2904" spans="1:1" s="199" customFormat="1" ht="12" hidden="1" customHeight="1">
      <c r="A2904" s="198"/>
    </row>
    <row r="2905" spans="1:1" s="199" customFormat="1" ht="12" hidden="1" customHeight="1">
      <c r="A2905" s="198"/>
    </row>
    <row r="2906" spans="1:1" s="199" customFormat="1" ht="12" hidden="1" customHeight="1">
      <c r="A2906" s="198"/>
    </row>
    <row r="2907" spans="1:1" s="199" customFormat="1" ht="12" hidden="1" customHeight="1">
      <c r="A2907" s="198"/>
    </row>
    <row r="2908" spans="1:1" s="199" customFormat="1" ht="12" hidden="1" customHeight="1">
      <c r="A2908" s="198"/>
    </row>
    <row r="2909" spans="1:1" s="199" customFormat="1" ht="12" hidden="1" customHeight="1">
      <c r="A2909" s="198"/>
    </row>
    <row r="2910" spans="1:1" s="199" customFormat="1" ht="12" hidden="1" customHeight="1">
      <c r="A2910" s="198"/>
    </row>
    <row r="2911" spans="1:1" s="199" customFormat="1" ht="12" hidden="1" customHeight="1">
      <c r="A2911" s="198"/>
    </row>
    <row r="2912" spans="1:1" s="199" customFormat="1" ht="12" hidden="1" customHeight="1">
      <c r="A2912" s="198"/>
    </row>
    <row r="2913" spans="1:1" s="199" customFormat="1" ht="12" hidden="1" customHeight="1">
      <c r="A2913" s="198"/>
    </row>
    <row r="2914" spans="1:1" s="199" customFormat="1" ht="12" hidden="1" customHeight="1">
      <c r="A2914" s="198"/>
    </row>
    <row r="2915" spans="1:1" s="199" customFormat="1" ht="12" hidden="1" customHeight="1">
      <c r="A2915" s="198"/>
    </row>
    <row r="2916" spans="1:1" s="199" customFormat="1" ht="12" hidden="1" customHeight="1">
      <c r="A2916" s="198"/>
    </row>
    <row r="2917" spans="1:1" s="199" customFormat="1" ht="12" hidden="1" customHeight="1">
      <c r="A2917" s="198"/>
    </row>
    <row r="2918" spans="1:1" s="199" customFormat="1" ht="12" hidden="1" customHeight="1">
      <c r="A2918" s="198"/>
    </row>
    <row r="2919" spans="1:1" s="199" customFormat="1" ht="12" hidden="1" customHeight="1">
      <c r="A2919" s="198"/>
    </row>
    <row r="2920" spans="1:1" s="199" customFormat="1" ht="12" hidden="1" customHeight="1">
      <c r="A2920" s="198"/>
    </row>
    <row r="2921" spans="1:1" s="199" customFormat="1" ht="12" hidden="1" customHeight="1">
      <c r="A2921" s="198"/>
    </row>
    <row r="2922" spans="1:1" s="199" customFormat="1" ht="12" hidden="1" customHeight="1">
      <c r="A2922" s="198"/>
    </row>
    <row r="2923" spans="1:1" s="199" customFormat="1" ht="12" hidden="1" customHeight="1">
      <c r="A2923" s="198"/>
    </row>
    <row r="2924" spans="1:1" s="199" customFormat="1" ht="12" hidden="1" customHeight="1">
      <c r="A2924" s="198"/>
    </row>
    <row r="2925" spans="1:1" s="199" customFormat="1" ht="12" hidden="1" customHeight="1">
      <c r="A2925" s="198"/>
    </row>
    <row r="2926" spans="1:1" s="199" customFormat="1" ht="12" hidden="1" customHeight="1">
      <c r="A2926" s="198"/>
    </row>
    <row r="2927" spans="1:1" s="199" customFormat="1" ht="12" hidden="1" customHeight="1">
      <c r="A2927" s="198"/>
    </row>
    <row r="2928" spans="1:1" s="199" customFormat="1" ht="12" hidden="1" customHeight="1">
      <c r="A2928" s="198"/>
    </row>
    <row r="2929" spans="1:1" s="199" customFormat="1" ht="12" hidden="1" customHeight="1">
      <c r="A2929" s="198"/>
    </row>
    <row r="2930" spans="1:1" s="199" customFormat="1" ht="12" hidden="1" customHeight="1">
      <c r="A2930" s="198"/>
    </row>
    <row r="2931" spans="1:1" s="199" customFormat="1" ht="12" hidden="1" customHeight="1">
      <c r="A2931" s="198"/>
    </row>
    <row r="2932" spans="1:1" s="199" customFormat="1" ht="12" hidden="1" customHeight="1">
      <c r="A2932" s="198"/>
    </row>
    <row r="2933" spans="1:1" s="199" customFormat="1" ht="12" hidden="1" customHeight="1">
      <c r="A2933" s="198"/>
    </row>
    <row r="2934" spans="1:1" s="199" customFormat="1" ht="12" hidden="1" customHeight="1">
      <c r="A2934" s="198"/>
    </row>
    <row r="2935" spans="1:1" s="199" customFormat="1" ht="12" hidden="1" customHeight="1">
      <c r="A2935" s="198"/>
    </row>
    <row r="2936" spans="1:1" s="199" customFormat="1" ht="12" hidden="1" customHeight="1">
      <c r="A2936" s="198"/>
    </row>
    <row r="2937" spans="1:1" s="199" customFormat="1" ht="12" hidden="1" customHeight="1">
      <c r="A2937" s="198"/>
    </row>
    <row r="2938" spans="1:1" s="199" customFormat="1" ht="12" hidden="1" customHeight="1">
      <c r="A2938" s="198"/>
    </row>
    <row r="2939" spans="1:1" s="199" customFormat="1" ht="12" hidden="1" customHeight="1">
      <c r="A2939" s="198"/>
    </row>
    <row r="2940" spans="1:1" s="199" customFormat="1" ht="12" hidden="1" customHeight="1">
      <c r="A2940" s="198"/>
    </row>
    <row r="2941" spans="1:1" s="199" customFormat="1" ht="12" hidden="1" customHeight="1">
      <c r="A2941" s="198"/>
    </row>
    <row r="2942" spans="1:1" s="199" customFormat="1" ht="12" hidden="1" customHeight="1">
      <c r="A2942" s="198"/>
    </row>
    <row r="2943" spans="1:1" s="199" customFormat="1" ht="12" hidden="1" customHeight="1">
      <c r="A2943" s="198"/>
    </row>
    <row r="2944" spans="1:1" s="199" customFormat="1" ht="12" hidden="1" customHeight="1">
      <c r="A2944" s="198"/>
    </row>
    <row r="2945" spans="1:1" s="199" customFormat="1" ht="12" hidden="1" customHeight="1">
      <c r="A2945" s="198"/>
    </row>
    <row r="2946" spans="1:1" s="199" customFormat="1" ht="12" hidden="1" customHeight="1">
      <c r="A2946" s="198"/>
    </row>
    <row r="2947" spans="1:1" s="199" customFormat="1" ht="12" hidden="1" customHeight="1">
      <c r="A2947" s="198"/>
    </row>
    <row r="2948" spans="1:1" s="199" customFormat="1" ht="12" hidden="1" customHeight="1">
      <c r="A2948" s="198"/>
    </row>
    <row r="2949" spans="1:1" s="199" customFormat="1" ht="12" hidden="1" customHeight="1">
      <c r="A2949" s="198"/>
    </row>
    <row r="2950" spans="1:1" s="199" customFormat="1" ht="12" hidden="1" customHeight="1">
      <c r="A2950" s="198"/>
    </row>
    <row r="2951" spans="1:1" s="199" customFormat="1" ht="12" hidden="1" customHeight="1">
      <c r="A2951" s="198"/>
    </row>
    <row r="2952" spans="1:1" s="199" customFormat="1" ht="12" hidden="1" customHeight="1">
      <c r="A2952" s="198"/>
    </row>
    <row r="2953" spans="1:1" s="199" customFormat="1" ht="12" hidden="1" customHeight="1">
      <c r="A2953" s="198"/>
    </row>
    <row r="2954" spans="1:1" s="199" customFormat="1" ht="12" hidden="1" customHeight="1">
      <c r="A2954" s="198"/>
    </row>
    <row r="2955" spans="1:1" s="199" customFormat="1" ht="12" hidden="1" customHeight="1">
      <c r="A2955" s="198"/>
    </row>
    <row r="2956" spans="1:1" s="199" customFormat="1" ht="12" hidden="1" customHeight="1">
      <c r="A2956" s="198"/>
    </row>
    <row r="2957" spans="1:1" s="199" customFormat="1" ht="12" hidden="1" customHeight="1">
      <c r="A2957" s="198"/>
    </row>
    <row r="2958" spans="1:1" s="199" customFormat="1" ht="12" hidden="1" customHeight="1">
      <c r="A2958" s="198"/>
    </row>
    <row r="2959" spans="1:1" s="199" customFormat="1" ht="12" hidden="1" customHeight="1">
      <c r="A2959" s="198"/>
    </row>
    <row r="2960" spans="1:1" s="199" customFormat="1" ht="12" hidden="1" customHeight="1">
      <c r="A2960" s="198"/>
    </row>
    <row r="2961" spans="1:1" s="199" customFormat="1" ht="12" hidden="1" customHeight="1">
      <c r="A2961" s="198"/>
    </row>
    <row r="2962" spans="1:1" s="199" customFormat="1" ht="12" hidden="1" customHeight="1">
      <c r="A2962" s="198"/>
    </row>
    <row r="2963" spans="1:1" s="199" customFormat="1" ht="12" hidden="1" customHeight="1">
      <c r="A2963" s="198"/>
    </row>
    <row r="2964" spans="1:1" s="199" customFormat="1" ht="12" hidden="1" customHeight="1">
      <c r="A2964" s="198"/>
    </row>
    <row r="2965" spans="1:1" s="199" customFormat="1" ht="12" hidden="1" customHeight="1">
      <c r="A2965" s="198"/>
    </row>
    <row r="2966" spans="1:1" s="199" customFormat="1" ht="12" hidden="1" customHeight="1">
      <c r="A2966" s="198"/>
    </row>
    <row r="2967" spans="1:1" s="199" customFormat="1" ht="12" hidden="1" customHeight="1">
      <c r="A2967" s="198"/>
    </row>
    <row r="2968" spans="1:1" s="199" customFormat="1" ht="12" hidden="1" customHeight="1">
      <c r="A2968" s="198"/>
    </row>
    <row r="2969" spans="1:1" s="199" customFormat="1" ht="12" hidden="1" customHeight="1">
      <c r="A2969" s="198"/>
    </row>
    <row r="2970" spans="1:1" s="199" customFormat="1" ht="12" hidden="1" customHeight="1">
      <c r="A2970" s="198"/>
    </row>
    <row r="2971" spans="1:1" s="199" customFormat="1" ht="12" hidden="1" customHeight="1">
      <c r="A2971" s="198"/>
    </row>
    <row r="2972" spans="1:1" s="199" customFormat="1" ht="12" hidden="1" customHeight="1">
      <c r="A2972" s="198"/>
    </row>
    <row r="2973" spans="1:1" s="199" customFormat="1" ht="12" hidden="1" customHeight="1">
      <c r="A2973" s="198"/>
    </row>
    <row r="2974" spans="1:1" s="199" customFormat="1" ht="12" hidden="1" customHeight="1">
      <c r="A2974" s="198"/>
    </row>
    <row r="2975" spans="1:1" s="199" customFormat="1" ht="12" hidden="1" customHeight="1">
      <c r="A2975" s="198"/>
    </row>
    <row r="2976" spans="1:1" s="199" customFormat="1" ht="12" hidden="1" customHeight="1">
      <c r="A2976" s="198"/>
    </row>
    <row r="2977" spans="1:1" s="199" customFormat="1" ht="12" hidden="1" customHeight="1">
      <c r="A2977" s="198"/>
    </row>
    <row r="2978" spans="1:1" s="199" customFormat="1" ht="12" hidden="1" customHeight="1">
      <c r="A2978" s="198"/>
    </row>
    <row r="2979" spans="1:1" s="199" customFormat="1" ht="12" hidden="1" customHeight="1">
      <c r="A2979" s="198"/>
    </row>
    <row r="2980" spans="1:1" s="199" customFormat="1" ht="12" hidden="1" customHeight="1">
      <c r="A2980" s="198"/>
    </row>
    <row r="2981" spans="1:1" s="199" customFormat="1" ht="12" hidden="1" customHeight="1">
      <c r="A2981" s="198"/>
    </row>
    <row r="2982" spans="1:1" s="199" customFormat="1" ht="12" hidden="1" customHeight="1">
      <c r="A2982" s="198"/>
    </row>
    <row r="2983" spans="1:1" s="199" customFormat="1" ht="12" hidden="1" customHeight="1">
      <c r="A2983" s="198"/>
    </row>
    <row r="2984" spans="1:1" s="199" customFormat="1" ht="12" hidden="1" customHeight="1">
      <c r="A2984" s="198"/>
    </row>
    <row r="2985" spans="1:1" s="199" customFormat="1" ht="12" hidden="1" customHeight="1">
      <c r="A2985" s="198"/>
    </row>
    <row r="2986" spans="1:1" s="199" customFormat="1" ht="12" hidden="1" customHeight="1">
      <c r="A2986" s="198"/>
    </row>
    <row r="2987" spans="1:1" s="199" customFormat="1" ht="12" hidden="1" customHeight="1">
      <c r="A2987" s="198"/>
    </row>
    <row r="2988" spans="1:1" s="199" customFormat="1" ht="12" hidden="1" customHeight="1">
      <c r="A2988" s="198"/>
    </row>
    <row r="2989" spans="1:1" s="199" customFormat="1" ht="12" hidden="1" customHeight="1">
      <c r="A2989" s="198"/>
    </row>
    <row r="2990" spans="1:1" s="199" customFormat="1" ht="12" hidden="1" customHeight="1">
      <c r="A2990" s="198"/>
    </row>
    <row r="2991" spans="1:1" s="199" customFormat="1" ht="12" hidden="1" customHeight="1">
      <c r="A2991" s="198"/>
    </row>
    <row r="2992" spans="1:1" s="199" customFormat="1" ht="12" hidden="1" customHeight="1">
      <c r="A2992" s="198"/>
    </row>
    <row r="2993" spans="1:1" s="199" customFormat="1" ht="12" hidden="1" customHeight="1">
      <c r="A2993" s="198"/>
    </row>
    <row r="2994" spans="1:1" s="199" customFormat="1" ht="12" hidden="1" customHeight="1">
      <c r="A2994" s="198"/>
    </row>
    <row r="2995" spans="1:1" s="199" customFormat="1" ht="12" hidden="1" customHeight="1">
      <c r="A2995" s="198"/>
    </row>
    <row r="2996" spans="1:1" s="199" customFormat="1" ht="12" hidden="1" customHeight="1">
      <c r="A2996" s="198"/>
    </row>
    <row r="2997" spans="1:1" s="199" customFormat="1" ht="12" hidden="1" customHeight="1">
      <c r="A2997" s="198"/>
    </row>
    <row r="2998" spans="1:1" s="199" customFormat="1" ht="12" hidden="1" customHeight="1">
      <c r="A2998" s="198"/>
    </row>
    <row r="2999" spans="1:1" s="199" customFormat="1" ht="12" hidden="1" customHeight="1">
      <c r="A2999" s="198"/>
    </row>
    <row r="3000" spans="1:1" s="199" customFormat="1" ht="12" hidden="1" customHeight="1">
      <c r="A3000" s="198"/>
    </row>
    <row r="3001" spans="1:1" s="199" customFormat="1" ht="12" hidden="1" customHeight="1">
      <c r="A3001" s="198"/>
    </row>
    <row r="3002" spans="1:1" s="199" customFormat="1" ht="12" hidden="1" customHeight="1">
      <c r="A3002" s="198"/>
    </row>
    <row r="3003" spans="1:1" s="199" customFormat="1" ht="12" hidden="1" customHeight="1">
      <c r="A3003" s="198"/>
    </row>
    <row r="3004" spans="1:1" s="199" customFormat="1" ht="12" hidden="1" customHeight="1">
      <c r="A3004" s="198"/>
    </row>
    <row r="3005" spans="1:1" s="199" customFormat="1" ht="12" hidden="1" customHeight="1">
      <c r="A3005" s="198"/>
    </row>
    <row r="3006" spans="1:1" s="199" customFormat="1" ht="12" hidden="1" customHeight="1">
      <c r="A3006" s="198"/>
    </row>
    <row r="3007" spans="1:1" s="199" customFormat="1" ht="12" hidden="1" customHeight="1">
      <c r="A3007" s="198"/>
    </row>
    <row r="3008" spans="1:1" s="199" customFormat="1" ht="12" hidden="1" customHeight="1">
      <c r="A3008" s="198"/>
    </row>
    <row r="3009" spans="1:1" s="199" customFormat="1" ht="12" hidden="1" customHeight="1">
      <c r="A3009" s="198"/>
    </row>
    <row r="3010" spans="1:1" s="199" customFormat="1" ht="12" hidden="1" customHeight="1">
      <c r="A3010" s="198"/>
    </row>
    <row r="3011" spans="1:1" s="199" customFormat="1" ht="12" hidden="1" customHeight="1">
      <c r="A3011" s="198"/>
    </row>
    <row r="3012" spans="1:1" s="199" customFormat="1" ht="12" hidden="1" customHeight="1">
      <c r="A3012" s="198"/>
    </row>
    <row r="3013" spans="1:1" s="199" customFormat="1" ht="12" hidden="1" customHeight="1">
      <c r="A3013" s="198"/>
    </row>
    <row r="3014" spans="1:1" s="199" customFormat="1" ht="12" hidden="1" customHeight="1">
      <c r="A3014" s="198"/>
    </row>
    <row r="3015" spans="1:1" s="199" customFormat="1" ht="12" hidden="1" customHeight="1">
      <c r="A3015" s="198"/>
    </row>
    <row r="3016" spans="1:1" s="199" customFormat="1" ht="12" hidden="1" customHeight="1">
      <c r="A3016" s="198"/>
    </row>
    <row r="3017" spans="1:1" s="199" customFormat="1" ht="12" hidden="1" customHeight="1">
      <c r="A3017" s="198"/>
    </row>
    <row r="3018" spans="1:1" s="199" customFormat="1" ht="12" hidden="1" customHeight="1">
      <c r="A3018" s="198"/>
    </row>
    <row r="3019" spans="1:1" s="199" customFormat="1" ht="12" hidden="1" customHeight="1">
      <c r="A3019" s="198"/>
    </row>
    <row r="3020" spans="1:1" s="199" customFormat="1" ht="12" hidden="1" customHeight="1">
      <c r="A3020" s="198"/>
    </row>
    <row r="3021" spans="1:1" s="199" customFormat="1" ht="12" hidden="1" customHeight="1">
      <c r="A3021" s="198"/>
    </row>
    <row r="3022" spans="1:1" s="199" customFormat="1" ht="12" hidden="1" customHeight="1">
      <c r="A3022" s="198"/>
    </row>
    <row r="3023" spans="1:1" s="199" customFormat="1" ht="12" hidden="1" customHeight="1">
      <c r="A3023" s="198"/>
    </row>
    <row r="3024" spans="1:1" s="199" customFormat="1" ht="12" hidden="1" customHeight="1">
      <c r="A3024" s="198"/>
    </row>
    <row r="3025" spans="1:1" s="199" customFormat="1" ht="12" hidden="1" customHeight="1">
      <c r="A3025" s="198"/>
    </row>
    <row r="3026" spans="1:1" s="199" customFormat="1" ht="12" hidden="1" customHeight="1">
      <c r="A3026" s="198"/>
    </row>
    <row r="3027" spans="1:1" s="199" customFormat="1" ht="12" hidden="1" customHeight="1">
      <c r="A3027" s="198"/>
    </row>
    <row r="3028" spans="1:1" s="199" customFormat="1" ht="12" hidden="1" customHeight="1">
      <c r="A3028" s="198"/>
    </row>
    <row r="3029" spans="1:1" s="199" customFormat="1" ht="12" hidden="1" customHeight="1">
      <c r="A3029" s="198"/>
    </row>
    <row r="3030" spans="1:1" s="199" customFormat="1" ht="12" hidden="1" customHeight="1">
      <c r="A3030" s="198"/>
    </row>
    <row r="3031" spans="1:1" s="199" customFormat="1" ht="12" hidden="1" customHeight="1">
      <c r="A3031" s="198"/>
    </row>
    <row r="3032" spans="1:1" s="199" customFormat="1" ht="12" hidden="1" customHeight="1">
      <c r="A3032" s="198"/>
    </row>
    <row r="3033" spans="1:1" s="199" customFormat="1" ht="12" hidden="1" customHeight="1">
      <c r="A3033" s="198"/>
    </row>
    <row r="3034" spans="1:1" s="199" customFormat="1" ht="12" hidden="1" customHeight="1">
      <c r="A3034" s="198"/>
    </row>
    <row r="3035" spans="1:1" s="199" customFormat="1" ht="12" hidden="1" customHeight="1">
      <c r="A3035" s="198"/>
    </row>
    <row r="3036" spans="1:1" s="199" customFormat="1" ht="12" hidden="1" customHeight="1">
      <c r="A3036" s="198"/>
    </row>
    <row r="3037" spans="1:1" s="199" customFormat="1" ht="12" hidden="1" customHeight="1">
      <c r="A3037" s="198"/>
    </row>
    <row r="3038" spans="1:1" s="199" customFormat="1" ht="12" hidden="1" customHeight="1">
      <c r="A3038" s="198"/>
    </row>
    <row r="3039" spans="1:1" s="199" customFormat="1" ht="12" hidden="1" customHeight="1">
      <c r="A3039" s="198"/>
    </row>
    <row r="3040" spans="1:1" s="199" customFormat="1" ht="12" hidden="1" customHeight="1">
      <c r="A3040" s="198"/>
    </row>
    <row r="3041" spans="1:1" s="199" customFormat="1" ht="12" hidden="1" customHeight="1">
      <c r="A3041" s="198"/>
    </row>
    <row r="3042" spans="1:1" s="199" customFormat="1" ht="12" hidden="1" customHeight="1">
      <c r="A3042" s="198"/>
    </row>
    <row r="3043" spans="1:1" s="199" customFormat="1" ht="12" hidden="1" customHeight="1">
      <c r="A3043" s="198"/>
    </row>
    <row r="3044" spans="1:1" s="199" customFormat="1" ht="12" hidden="1" customHeight="1">
      <c r="A3044" s="198"/>
    </row>
    <row r="3045" spans="1:1" s="199" customFormat="1" ht="12" hidden="1" customHeight="1">
      <c r="A3045" s="198"/>
    </row>
    <row r="3046" spans="1:1" s="199" customFormat="1" ht="12" hidden="1" customHeight="1">
      <c r="A3046" s="198"/>
    </row>
    <row r="3047" spans="1:1" s="199" customFormat="1" ht="12" hidden="1" customHeight="1">
      <c r="A3047" s="198"/>
    </row>
    <row r="3048" spans="1:1" s="199" customFormat="1" ht="12" hidden="1" customHeight="1">
      <c r="A3048" s="198"/>
    </row>
    <row r="3049" spans="1:1" s="199" customFormat="1" ht="12" hidden="1" customHeight="1">
      <c r="A3049" s="198"/>
    </row>
    <row r="3050" spans="1:1" s="199" customFormat="1" ht="12" hidden="1" customHeight="1">
      <c r="A3050" s="198"/>
    </row>
    <row r="3051" spans="1:1" s="199" customFormat="1" ht="12" hidden="1" customHeight="1">
      <c r="A3051" s="198"/>
    </row>
    <row r="3052" spans="1:1" s="199" customFormat="1" ht="12" hidden="1" customHeight="1">
      <c r="A3052" s="198"/>
    </row>
    <row r="3053" spans="1:1" s="199" customFormat="1" ht="12" hidden="1" customHeight="1">
      <c r="A3053" s="198"/>
    </row>
    <row r="3054" spans="1:1" s="199" customFormat="1" ht="12" hidden="1" customHeight="1">
      <c r="A3054" s="198"/>
    </row>
    <row r="3055" spans="1:1" s="199" customFormat="1" ht="12" hidden="1" customHeight="1">
      <c r="A3055" s="198"/>
    </row>
    <row r="3056" spans="1:1" s="199" customFormat="1" ht="12" hidden="1" customHeight="1">
      <c r="A3056" s="198"/>
    </row>
    <row r="3057" spans="1:1" s="199" customFormat="1" ht="12" hidden="1" customHeight="1">
      <c r="A3057" s="198"/>
    </row>
    <row r="3058" spans="1:1" s="199" customFormat="1" ht="12" hidden="1" customHeight="1">
      <c r="A3058" s="198"/>
    </row>
    <row r="3059" spans="1:1" s="199" customFormat="1" ht="12" hidden="1" customHeight="1">
      <c r="A3059" s="198"/>
    </row>
    <row r="3060" spans="1:1" s="199" customFormat="1" ht="12" hidden="1" customHeight="1">
      <c r="A3060" s="198"/>
    </row>
    <row r="3061" spans="1:1" s="199" customFormat="1" ht="12" hidden="1" customHeight="1">
      <c r="A3061" s="198"/>
    </row>
    <row r="3062" spans="1:1" s="199" customFormat="1" ht="12" hidden="1" customHeight="1">
      <c r="A3062" s="198"/>
    </row>
    <row r="3063" spans="1:1" s="199" customFormat="1" ht="12" hidden="1" customHeight="1">
      <c r="A3063" s="198"/>
    </row>
    <row r="3064" spans="1:1" s="199" customFormat="1" ht="12" hidden="1" customHeight="1">
      <c r="A3064" s="198"/>
    </row>
    <row r="3065" spans="1:1" s="199" customFormat="1" ht="12" hidden="1" customHeight="1">
      <c r="A3065" s="198"/>
    </row>
    <row r="3066" spans="1:1" s="199" customFormat="1" ht="12" hidden="1" customHeight="1">
      <c r="A3066" s="198"/>
    </row>
    <row r="3067" spans="1:1" s="199" customFormat="1" ht="12" hidden="1" customHeight="1">
      <c r="A3067" s="198"/>
    </row>
    <row r="3068" spans="1:1" s="199" customFormat="1" ht="12" hidden="1" customHeight="1">
      <c r="A3068" s="198"/>
    </row>
    <row r="3069" spans="1:1" s="199" customFormat="1" ht="12" hidden="1" customHeight="1">
      <c r="A3069" s="198"/>
    </row>
    <row r="3070" spans="1:1" s="199" customFormat="1" ht="12" hidden="1" customHeight="1">
      <c r="A3070" s="198"/>
    </row>
    <row r="3071" spans="1:1" s="199" customFormat="1" ht="12" hidden="1" customHeight="1">
      <c r="A3071" s="198"/>
    </row>
    <row r="3072" spans="1:1" s="199" customFormat="1" ht="12" hidden="1" customHeight="1">
      <c r="A3072" s="198"/>
    </row>
    <row r="3073" spans="1:1" s="199" customFormat="1" ht="12" hidden="1" customHeight="1">
      <c r="A3073" s="198"/>
    </row>
    <row r="3074" spans="1:1" s="199" customFormat="1" ht="12" hidden="1" customHeight="1">
      <c r="A3074" s="198"/>
    </row>
    <row r="3075" spans="1:1" s="199" customFormat="1" ht="12" hidden="1" customHeight="1">
      <c r="A3075" s="198"/>
    </row>
    <row r="3076" spans="1:1" s="199" customFormat="1" ht="12" hidden="1" customHeight="1">
      <c r="A3076" s="198"/>
    </row>
    <row r="3077" spans="1:1" s="199" customFormat="1" ht="12" hidden="1" customHeight="1">
      <c r="A3077" s="198"/>
    </row>
    <row r="3078" spans="1:1" s="199" customFormat="1" ht="12" hidden="1" customHeight="1">
      <c r="A3078" s="198"/>
    </row>
    <row r="3079" spans="1:1" s="199" customFormat="1" ht="12" hidden="1" customHeight="1">
      <c r="A3079" s="198"/>
    </row>
    <row r="3080" spans="1:1" s="199" customFormat="1" ht="12" hidden="1" customHeight="1">
      <c r="A3080" s="198"/>
    </row>
    <row r="3081" spans="1:1" s="199" customFormat="1" ht="12" hidden="1" customHeight="1">
      <c r="A3081" s="198"/>
    </row>
    <row r="3082" spans="1:1" s="199" customFormat="1" ht="12" hidden="1" customHeight="1">
      <c r="A3082" s="198"/>
    </row>
    <row r="3083" spans="1:1" s="199" customFormat="1" ht="12" hidden="1" customHeight="1">
      <c r="A3083" s="198"/>
    </row>
    <row r="3084" spans="1:1" s="199" customFormat="1" ht="12" hidden="1" customHeight="1">
      <c r="A3084" s="198"/>
    </row>
    <row r="3085" spans="1:1" s="199" customFormat="1" ht="12" hidden="1" customHeight="1">
      <c r="A3085" s="198"/>
    </row>
    <row r="3086" spans="1:1" s="199" customFormat="1" ht="12" hidden="1" customHeight="1">
      <c r="A3086" s="198"/>
    </row>
    <row r="3087" spans="1:1" s="199" customFormat="1" ht="12" hidden="1" customHeight="1">
      <c r="A3087" s="198"/>
    </row>
    <row r="3088" spans="1:1" s="199" customFormat="1" ht="12" hidden="1" customHeight="1">
      <c r="A3088" s="198"/>
    </row>
    <row r="3089" spans="1:1" s="199" customFormat="1" ht="12" hidden="1" customHeight="1">
      <c r="A3089" s="198"/>
    </row>
    <row r="3090" spans="1:1" s="199" customFormat="1" ht="12" hidden="1" customHeight="1">
      <c r="A3090" s="198"/>
    </row>
    <row r="3091" spans="1:1" s="199" customFormat="1" ht="12" hidden="1" customHeight="1">
      <c r="A3091" s="198"/>
    </row>
    <row r="3092" spans="1:1" s="199" customFormat="1" ht="12" hidden="1" customHeight="1">
      <c r="A3092" s="198"/>
    </row>
    <row r="3093" spans="1:1" s="199" customFormat="1" ht="12" hidden="1" customHeight="1">
      <c r="A3093" s="198"/>
    </row>
    <row r="3094" spans="1:1" s="199" customFormat="1" ht="12" hidden="1" customHeight="1">
      <c r="A3094" s="198"/>
    </row>
    <row r="3095" spans="1:1" s="199" customFormat="1" ht="12" hidden="1" customHeight="1">
      <c r="A3095" s="198"/>
    </row>
    <row r="3096" spans="1:1" s="199" customFormat="1" ht="12" hidden="1" customHeight="1">
      <c r="A3096" s="198"/>
    </row>
    <row r="3097" spans="1:1" s="199" customFormat="1" ht="12" hidden="1" customHeight="1">
      <c r="A3097" s="198"/>
    </row>
    <row r="3098" spans="1:1" s="199" customFormat="1" ht="12" hidden="1" customHeight="1">
      <c r="A3098" s="198"/>
    </row>
    <row r="3099" spans="1:1" s="199" customFormat="1" ht="12" hidden="1" customHeight="1">
      <c r="A3099" s="198"/>
    </row>
    <row r="3100" spans="1:1" s="199" customFormat="1" ht="12" hidden="1" customHeight="1">
      <c r="A3100" s="198"/>
    </row>
    <row r="3101" spans="1:1" s="199" customFormat="1" ht="12" hidden="1" customHeight="1">
      <c r="A3101" s="198"/>
    </row>
    <row r="3102" spans="1:1" s="199" customFormat="1" ht="12" hidden="1" customHeight="1">
      <c r="A3102" s="198"/>
    </row>
    <row r="3103" spans="1:1" s="199" customFormat="1" ht="12" hidden="1" customHeight="1">
      <c r="A3103" s="198"/>
    </row>
    <row r="3104" spans="1:1" s="199" customFormat="1" ht="12" hidden="1" customHeight="1">
      <c r="A3104" s="198"/>
    </row>
    <row r="3105" spans="1:1" s="199" customFormat="1" ht="12" hidden="1" customHeight="1">
      <c r="A3105" s="198"/>
    </row>
    <row r="3106" spans="1:1" s="199" customFormat="1" ht="12" hidden="1" customHeight="1">
      <c r="A3106" s="198"/>
    </row>
    <row r="3107" spans="1:1" s="199" customFormat="1" ht="12" hidden="1" customHeight="1">
      <c r="A3107" s="198"/>
    </row>
    <row r="3108" spans="1:1" s="199" customFormat="1" ht="12" hidden="1" customHeight="1">
      <c r="A3108" s="198"/>
    </row>
    <row r="3109" spans="1:1" s="199" customFormat="1" ht="12" hidden="1" customHeight="1">
      <c r="A3109" s="198"/>
    </row>
    <row r="3110" spans="1:1" s="199" customFormat="1" ht="12" hidden="1" customHeight="1">
      <c r="A3110" s="198"/>
    </row>
    <row r="3111" spans="1:1" s="199" customFormat="1" ht="12" hidden="1" customHeight="1">
      <c r="A3111" s="198"/>
    </row>
    <row r="3112" spans="1:1" s="199" customFormat="1" ht="12" hidden="1" customHeight="1">
      <c r="A3112" s="198"/>
    </row>
    <row r="3113" spans="1:1" s="199" customFormat="1" ht="12" hidden="1" customHeight="1">
      <c r="A3113" s="198"/>
    </row>
    <row r="3114" spans="1:1" s="199" customFormat="1" ht="12" hidden="1" customHeight="1">
      <c r="A3114" s="198"/>
    </row>
    <row r="3115" spans="1:1" s="199" customFormat="1" ht="12" hidden="1" customHeight="1">
      <c r="A3115" s="198"/>
    </row>
    <row r="3116" spans="1:1" s="199" customFormat="1" ht="12" hidden="1" customHeight="1">
      <c r="A3116" s="198"/>
    </row>
    <row r="3117" spans="1:1" s="199" customFormat="1" ht="12" hidden="1" customHeight="1">
      <c r="A3117" s="198"/>
    </row>
    <row r="3118" spans="1:1" s="199" customFormat="1" ht="12" hidden="1" customHeight="1">
      <c r="A3118" s="198"/>
    </row>
    <row r="3119" spans="1:1" s="199" customFormat="1" ht="12" hidden="1" customHeight="1">
      <c r="A3119" s="198"/>
    </row>
    <row r="3120" spans="1:1" s="199" customFormat="1" ht="12" hidden="1" customHeight="1">
      <c r="A3120" s="198"/>
    </row>
    <row r="3121" spans="1:1" s="199" customFormat="1" ht="12" hidden="1" customHeight="1">
      <c r="A3121" s="198"/>
    </row>
    <row r="3122" spans="1:1" s="199" customFormat="1" ht="12" hidden="1" customHeight="1">
      <c r="A3122" s="198"/>
    </row>
    <row r="3123" spans="1:1" s="199" customFormat="1" ht="12" hidden="1" customHeight="1">
      <c r="A3123" s="198"/>
    </row>
    <row r="3124" spans="1:1" s="199" customFormat="1" ht="12" hidden="1" customHeight="1">
      <c r="A3124" s="198"/>
    </row>
    <row r="3125" spans="1:1" s="199" customFormat="1" ht="12" hidden="1" customHeight="1">
      <c r="A3125" s="198"/>
    </row>
    <row r="3126" spans="1:1" s="199" customFormat="1" ht="12" hidden="1" customHeight="1">
      <c r="A3126" s="198"/>
    </row>
    <row r="3127" spans="1:1" s="199" customFormat="1" ht="12" hidden="1" customHeight="1">
      <c r="A3127" s="198"/>
    </row>
    <row r="3128" spans="1:1" s="199" customFormat="1" ht="12" hidden="1" customHeight="1">
      <c r="A3128" s="198"/>
    </row>
    <row r="3129" spans="1:1" s="199" customFormat="1" ht="12" hidden="1" customHeight="1">
      <c r="A3129" s="198"/>
    </row>
    <row r="3130" spans="1:1" s="199" customFormat="1" ht="12" hidden="1" customHeight="1">
      <c r="A3130" s="198"/>
    </row>
    <row r="3131" spans="1:1" s="199" customFormat="1" ht="12" hidden="1" customHeight="1">
      <c r="A3131" s="198"/>
    </row>
    <row r="3132" spans="1:1" s="199" customFormat="1" ht="12" hidden="1" customHeight="1">
      <c r="A3132" s="198"/>
    </row>
    <row r="3133" spans="1:1" s="199" customFormat="1" ht="12" hidden="1" customHeight="1">
      <c r="A3133" s="198"/>
    </row>
    <row r="3134" spans="1:1" s="199" customFormat="1" ht="12" hidden="1" customHeight="1">
      <c r="A3134" s="198"/>
    </row>
    <row r="3135" spans="1:1" s="199" customFormat="1" ht="12" hidden="1" customHeight="1">
      <c r="A3135" s="198"/>
    </row>
    <row r="3136" spans="1:1" s="199" customFormat="1" ht="12" hidden="1" customHeight="1">
      <c r="A3136" s="198"/>
    </row>
    <row r="3137" spans="1:1" s="199" customFormat="1" ht="12" hidden="1" customHeight="1">
      <c r="A3137" s="198"/>
    </row>
    <row r="3138" spans="1:1" s="199" customFormat="1" ht="12" hidden="1" customHeight="1">
      <c r="A3138" s="198"/>
    </row>
    <row r="3139" spans="1:1" s="199" customFormat="1" ht="12" hidden="1" customHeight="1">
      <c r="A3139" s="198"/>
    </row>
    <row r="3140" spans="1:1" s="199" customFormat="1" ht="12" hidden="1" customHeight="1">
      <c r="A3140" s="198"/>
    </row>
    <row r="3141" spans="1:1" s="199" customFormat="1" ht="12" hidden="1" customHeight="1">
      <c r="A3141" s="198"/>
    </row>
    <row r="3142" spans="1:1" s="199" customFormat="1" ht="12" hidden="1" customHeight="1">
      <c r="A3142" s="198"/>
    </row>
    <row r="3143" spans="1:1" s="199" customFormat="1" ht="12" hidden="1" customHeight="1">
      <c r="A3143" s="198"/>
    </row>
    <row r="3144" spans="1:1" s="199" customFormat="1" ht="12" hidden="1" customHeight="1">
      <c r="A3144" s="198"/>
    </row>
    <row r="3145" spans="1:1" s="199" customFormat="1" ht="12" hidden="1" customHeight="1">
      <c r="A3145" s="198"/>
    </row>
    <row r="3146" spans="1:1" s="199" customFormat="1" ht="12" hidden="1" customHeight="1">
      <c r="A3146" s="198"/>
    </row>
    <row r="3147" spans="1:1" s="199" customFormat="1" ht="12" hidden="1" customHeight="1">
      <c r="A3147" s="198"/>
    </row>
    <row r="3148" spans="1:1" s="199" customFormat="1" ht="12" hidden="1" customHeight="1">
      <c r="A3148" s="198"/>
    </row>
    <row r="3149" spans="1:1" s="199" customFormat="1" ht="12" hidden="1" customHeight="1">
      <c r="A3149" s="198"/>
    </row>
    <row r="3150" spans="1:1" s="199" customFormat="1" ht="12" hidden="1" customHeight="1">
      <c r="A3150" s="198"/>
    </row>
    <row r="3151" spans="1:1" s="199" customFormat="1" ht="12" hidden="1" customHeight="1">
      <c r="A3151" s="198"/>
    </row>
    <row r="3152" spans="1:1" s="199" customFormat="1" ht="12" hidden="1" customHeight="1">
      <c r="A3152" s="198"/>
    </row>
    <row r="3153" spans="1:1" s="199" customFormat="1" ht="12" hidden="1" customHeight="1">
      <c r="A3153" s="198"/>
    </row>
    <row r="3154" spans="1:1" s="199" customFormat="1" ht="12" hidden="1" customHeight="1">
      <c r="A3154" s="198"/>
    </row>
    <row r="3155" spans="1:1" s="199" customFormat="1" ht="12" hidden="1" customHeight="1">
      <c r="A3155" s="198"/>
    </row>
    <row r="3156" spans="1:1" s="199" customFormat="1" ht="12" hidden="1" customHeight="1">
      <c r="A3156" s="198"/>
    </row>
    <row r="3157" spans="1:1" s="199" customFormat="1" ht="12" hidden="1" customHeight="1">
      <c r="A3157" s="198"/>
    </row>
    <row r="3158" spans="1:1" s="199" customFormat="1" ht="12" hidden="1" customHeight="1">
      <c r="A3158" s="198"/>
    </row>
    <row r="3159" spans="1:1" s="199" customFormat="1" ht="12" hidden="1" customHeight="1">
      <c r="A3159" s="198"/>
    </row>
    <row r="3160" spans="1:1" s="199" customFormat="1" ht="12" hidden="1" customHeight="1">
      <c r="A3160" s="198"/>
    </row>
    <row r="3161" spans="1:1" s="199" customFormat="1" ht="12" hidden="1" customHeight="1">
      <c r="A3161" s="198"/>
    </row>
    <row r="3162" spans="1:1" s="199" customFormat="1" ht="12" hidden="1" customHeight="1">
      <c r="A3162" s="198"/>
    </row>
    <row r="3163" spans="1:1" s="199" customFormat="1" ht="12" hidden="1" customHeight="1">
      <c r="A3163" s="198"/>
    </row>
    <row r="3164" spans="1:1" s="199" customFormat="1" ht="12" hidden="1" customHeight="1">
      <c r="A3164" s="198"/>
    </row>
    <row r="3165" spans="1:1" s="199" customFormat="1" ht="12" hidden="1" customHeight="1">
      <c r="A3165" s="198"/>
    </row>
    <row r="3166" spans="1:1" s="199" customFormat="1" ht="12" hidden="1" customHeight="1">
      <c r="A3166" s="198"/>
    </row>
    <row r="3167" spans="1:1" s="199" customFormat="1" ht="12" hidden="1" customHeight="1">
      <c r="A3167" s="198"/>
    </row>
    <row r="3168" spans="1:1" s="199" customFormat="1" ht="12" hidden="1" customHeight="1">
      <c r="A3168" s="198"/>
    </row>
    <row r="3169" spans="1:1" s="199" customFormat="1" ht="12" hidden="1" customHeight="1">
      <c r="A3169" s="198"/>
    </row>
    <row r="3170" spans="1:1" s="199" customFormat="1" ht="12" hidden="1" customHeight="1">
      <c r="A3170" s="198"/>
    </row>
    <row r="3171" spans="1:1" s="199" customFormat="1" ht="12" hidden="1" customHeight="1">
      <c r="A3171" s="198"/>
    </row>
    <row r="3172" spans="1:1" s="199" customFormat="1" ht="12" hidden="1" customHeight="1">
      <c r="A3172" s="198"/>
    </row>
    <row r="3173" spans="1:1" s="199" customFormat="1" ht="12" hidden="1" customHeight="1">
      <c r="A3173" s="198"/>
    </row>
    <row r="3174" spans="1:1" s="199" customFormat="1" ht="12" hidden="1" customHeight="1">
      <c r="A3174" s="198"/>
    </row>
    <row r="3175" spans="1:1" s="199" customFormat="1" ht="12" hidden="1" customHeight="1">
      <c r="A3175" s="198"/>
    </row>
    <row r="3176" spans="1:1" s="199" customFormat="1" ht="12" hidden="1" customHeight="1">
      <c r="A3176" s="198"/>
    </row>
    <row r="3177" spans="1:1" s="199" customFormat="1" ht="12" hidden="1" customHeight="1">
      <c r="A3177" s="198"/>
    </row>
    <row r="3178" spans="1:1" s="199" customFormat="1" ht="12" hidden="1" customHeight="1">
      <c r="A3178" s="198"/>
    </row>
    <row r="3179" spans="1:1" s="199" customFormat="1" ht="12" hidden="1" customHeight="1">
      <c r="A3179" s="198"/>
    </row>
    <row r="3180" spans="1:1" s="199" customFormat="1" ht="12" hidden="1" customHeight="1">
      <c r="A3180" s="198"/>
    </row>
    <row r="3181" spans="1:1" s="199" customFormat="1" ht="12" hidden="1" customHeight="1">
      <c r="A3181" s="198"/>
    </row>
    <row r="3182" spans="1:1" s="199" customFormat="1" ht="12" hidden="1" customHeight="1">
      <c r="A3182" s="198"/>
    </row>
    <row r="3183" spans="1:1" s="199" customFormat="1" ht="12" hidden="1" customHeight="1">
      <c r="A3183" s="198"/>
    </row>
    <row r="3184" spans="1:1" s="199" customFormat="1" ht="12" hidden="1" customHeight="1">
      <c r="A3184" s="198"/>
    </row>
    <row r="3185" spans="1:1" s="199" customFormat="1" ht="12" hidden="1" customHeight="1">
      <c r="A3185" s="198"/>
    </row>
    <row r="3186" spans="1:1" s="199" customFormat="1" ht="12" hidden="1" customHeight="1">
      <c r="A3186" s="198"/>
    </row>
    <row r="3187" spans="1:1" s="199" customFormat="1" ht="12" hidden="1" customHeight="1">
      <c r="A3187" s="198"/>
    </row>
    <row r="3188" spans="1:1" s="199" customFormat="1" ht="12" hidden="1" customHeight="1">
      <c r="A3188" s="198"/>
    </row>
    <row r="3189" spans="1:1" s="199" customFormat="1" ht="12" hidden="1" customHeight="1">
      <c r="A3189" s="198"/>
    </row>
    <row r="3190" spans="1:1" s="199" customFormat="1" ht="12" hidden="1" customHeight="1">
      <c r="A3190" s="198"/>
    </row>
    <row r="3191" spans="1:1" s="199" customFormat="1" ht="12" hidden="1" customHeight="1">
      <c r="A3191" s="198"/>
    </row>
    <row r="3192" spans="1:1" s="199" customFormat="1" ht="12" hidden="1" customHeight="1">
      <c r="A3192" s="198"/>
    </row>
    <row r="3193" spans="1:1" s="199" customFormat="1" ht="12" hidden="1" customHeight="1">
      <c r="A3193" s="198"/>
    </row>
    <row r="3194" spans="1:1" s="199" customFormat="1" ht="12" hidden="1" customHeight="1">
      <c r="A3194" s="198"/>
    </row>
    <row r="3195" spans="1:1" s="199" customFormat="1" ht="12" hidden="1" customHeight="1">
      <c r="A3195" s="198"/>
    </row>
    <row r="3196" spans="1:1" s="199" customFormat="1" ht="12" hidden="1" customHeight="1">
      <c r="A3196" s="198"/>
    </row>
    <row r="3197" spans="1:1" s="199" customFormat="1" ht="12" hidden="1" customHeight="1">
      <c r="A3197" s="198"/>
    </row>
    <row r="3198" spans="1:1" s="199" customFormat="1" ht="12" hidden="1" customHeight="1">
      <c r="A3198" s="198"/>
    </row>
    <row r="3199" spans="1:1" s="199" customFormat="1" ht="12" hidden="1" customHeight="1">
      <c r="A3199" s="198"/>
    </row>
    <row r="3200" spans="1:1" s="199" customFormat="1" ht="12" hidden="1" customHeight="1">
      <c r="A3200" s="198"/>
    </row>
    <row r="3201" spans="1:1" s="199" customFormat="1" ht="12" hidden="1" customHeight="1">
      <c r="A3201" s="198"/>
    </row>
    <row r="3202" spans="1:1" s="199" customFormat="1" ht="12" hidden="1" customHeight="1">
      <c r="A3202" s="198"/>
    </row>
    <row r="3203" spans="1:1" s="199" customFormat="1" ht="12" hidden="1" customHeight="1">
      <c r="A3203" s="198"/>
    </row>
    <row r="3204" spans="1:1" s="199" customFormat="1" ht="12" hidden="1" customHeight="1">
      <c r="A3204" s="198"/>
    </row>
    <row r="3205" spans="1:1" s="199" customFormat="1" ht="12" hidden="1" customHeight="1">
      <c r="A3205" s="198"/>
    </row>
    <row r="3206" spans="1:1" s="199" customFormat="1" ht="12" hidden="1" customHeight="1">
      <c r="A3206" s="198"/>
    </row>
    <row r="3207" spans="1:1" s="199" customFormat="1" ht="12" hidden="1" customHeight="1">
      <c r="A3207" s="198"/>
    </row>
    <row r="3208" spans="1:1" s="199" customFormat="1" ht="12" hidden="1" customHeight="1">
      <c r="A3208" s="198"/>
    </row>
    <row r="3209" spans="1:1" s="199" customFormat="1" ht="12" hidden="1" customHeight="1">
      <c r="A3209" s="198"/>
    </row>
    <row r="3210" spans="1:1" s="199" customFormat="1" ht="12" hidden="1" customHeight="1">
      <c r="A3210" s="198"/>
    </row>
    <row r="3211" spans="1:1" s="199" customFormat="1" ht="12" hidden="1" customHeight="1">
      <c r="A3211" s="198"/>
    </row>
    <row r="3212" spans="1:1" s="199" customFormat="1" ht="12" hidden="1" customHeight="1">
      <c r="A3212" s="198"/>
    </row>
    <row r="3213" spans="1:1" s="199" customFormat="1" ht="12" hidden="1" customHeight="1">
      <c r="A3213" s="198"/>
    </row>
    <row r="3214" spans="1:1" s="199" customFormat="1" ht="12" hidden="1" customHeight="1">
      <c r="A3214" s="198"/>
    </row>
    <row r="3215" spans="1:1" s="199" customFormat="1" ht="12" hidden="1" customHeight="1">
      <c r="A3215" s="198"/>
    </row>
    <row r="3216" spans="1:1" s="199" customFormat="1" ht="12" hidden="1" customHeight="1">
      <c r="A3216" s="198"/>
    </row>
    <row r="3217" spans="1:1" s="199" customFormat="1" ht="12" hidden="1" customHeight="1">
      <c r="A3217" s="198"/>
    </row>
    <row r="3218" spans="1:1" s="199" customFormat="1" ht="12" hidden="1" customHeight="1">
      <c r="A3218" s="198"/>
    </row>
    <row r="3219" spans="1:1" s="199" customFormat="1" ht="12" hidden="1" customHeight="1">
      <c r="A3219" s="198"/>
    </row>
    <row r="3220" spans="1:1" s="199" customFormat="1" ht="12" hidden="1" customHeight="1">
      <c r="A3220" s="198"/>
    </row>
    <row r="3221" spans="1:1" s="199" customFormat="1" ht="12" hidden="1" customHeight="1">
      <c r="A3221" s="198"/>
    </row>
    <row r="3222" spans="1:1" s="199" customFormat="1" ht="12" hidden="1" customHeight="1">
      <c r="A3222" s="198"/>
    </row>
    <row r="3223" spans="1:1" s="199" customFormat="1" ht="12" hidden="1" customHeight="1">
      <c r="A3223" s="198"/>
    </row>
    <row r="3224" spans="1:1" s="199" customFormat="1" ht="12" hidden="1" customHeight="1">
      <c r="A3224" s="198"/>
    </row>
    <row r="3225" spans="1:1" s="199" customFormat="1" ht="12" hidden="1" customHeight="1">
      <c r="A3225" s="198"/>
    </row>
    <row r="3226" spans="1:1" s="199" customFormat="1" ht="12" hidden="1" customHeight="1">
      <c r="A3226" s="198"/>
    </row>
    <row r="3227" spans="1:1" s="199" customFormat="1" ht="12" hidden="1" customHeight="1">
      <c r="A3227" s="198"/>
    </row>
    <row r="3228" spans="1:1" s="199" customFormat="1" ht="12" hidden="1" customHeight="1">
      <c r="A3228" s="198"/>
    </row>
    <row r="3229" spans="1:1" s="199" customFormat="1" ht="12" hidden="1" customHeight="1">
      <c r="A3229" s="198"/>
    </row>
    <row r="3230" spans="1:1" s="199" customFormat="1" ht="12" hidden="1" customHeight="1">
      <c r="A3230" s="198"/>
    </row>
    <row r="3231" spans="1:1" s="199" customFormat="1" ht="12" hidden="1" customHeight="1">
      <c r="A3231" s="198"/>
    </row>
    <row r="3232" spans="1:1" s="199" customFormat="1" ht="12" hidden="1" customHeight="1">
      <c r="A3232" s="198"/>
    </row>
    <row r="3233" spans="1:1" s="199" customFormat="1" ht="12" hidden="1" customHeight="1">
      <c r="A3233" s="198"/>
    </row>
    <row r="3234" spans="1:1" s="199" customFormat="1" ht="12" hidden="1" customHeight="1">
      <c r="A3234" s="198"/>
    </row>
    <row r="3235" spans="1:1" s="199" customFormat="1" ht="12" hidden="1" customHeight="1">
      <c r="A3235" s="198"/>
    </row>
    <row r="3236" spans="1:1" s="199" customFormat="1" ht="12" hidden="1" customHeight="1">
      <c r="A3236" s="198"/>
    </row>
    <row r="3237" spans="1:1" s="199" customFormat="1" ht="12" hidden="1" customHeight="1">
      <c r="A3237" s="198"/>
    </row>
    <row r="3238" spans="1:1" s="199" customFormat="1" ht="12" hidden="1" customHeight="1">
      <c r="A3238" s="198"/>
    </row>
    <row r="3239" spans="1:1" s="199" customFormat="1" ht="12" hidden="1" customHeight="1">
      <c r="A3239" s="198"/>
    </row>
    <row r="3240" spans="1:1" s="199" customFormat="1" ht="12" hidden="1" customHeight="1">
      <c r="A3240" s="198"/>
    </row>
    <row r="3241" spans="1:1" s="199" customFormat="1" ht="12" hidden="1" customHeight="1">
      <c r="A3241" s="198"/>
    </row>
    <row r="3242" spans="1:1" s="199" customFormat="1" ht="12" hidden="1" customHeight="1">
      <c r="A3242" s="198"/>
    </row>
    <row r="3243" spans="1:1" s="199" customFormat="1" ht="12" hidden="1" customHeight="1">
      <c r="A3243" s="198"/>
    </row>
    <row r="3244" spans="1:1" s="199" customFormat="1" ht="12" hidden="1" customHeight="1">
      <c r="A3244" s="198"/>
    </row>
    <row r="3245" spans="1:1" s="199" customFormat="1" ht="12" hidden="1" customHeight="1">
      <c r="A3245" s="198"/>
    </row>
    <row r="3246" spans="1:1" s="199" customFormat="1" ht="12" hidden="1" customHeight="1">
      <c r="A3246" s="198"/>
    </row>
    <row r="3247" spans="1:1" s="199" customFormat="1" ht="12" hidden="1" customHeight="1">
      <c r="A3247" s="198"/>
    </row>
    <row r="3248" spans="1:1" s="199" customFormat="1" ht="12" hidden="1" customHeight="1">
      <c r="A3248" s="198"/>
    </row>
    <row r="3249" spans="1:1" s="199" customFormat="1" ht="12" hidden="1" customHeight="1">
      <c r="A3249" s="198"/>
    </row>
    <row r="3250" spans="1:1" s="199" customFormat="1" ht="12" hidden="1" customHeight="1">
      <c r="A3250" s="198"/>
    </row>
    <row r="3251" spans="1:1" s="199" customFormat="1" ht="12" hidden="1" customHeight="1">
      <c r="A3251" s="198"/>
    </row>
    <row r="3252" spans="1:1" s="199" customFormat="1" ht="12" hidden="1" customHeight="1">
      <c r="A3252" s="198"/>
    </row>
    <row r="3253" spans="1:1" s="199" customFormat="1" ht="12" hidden="1" customHeight="1">
      <c r="A3253" s="198"/>
    </row>
    <row r="3254" spans="1:1" s="199" customFormat="1" ht="12" hidden="1" customHeight="1">
      <c r="A3254" s="198"/>
    </row>
    <row r="3255" spans="1:1" s="199" customFormat="1" ht="12" hidden="1" customHeight="1">
      <c r="A3255" s="198"/>
    </row>
    <row r="3256" spans="1:1" s="199" customFormat="1" ht="12" hidden="1" customHeight="1">
      <c r="A3256" s="198"/>
    </row>
    <row r="3257" spans="1:1" s="199" customFormat="1" ht="12" hidden="1" customHeight="1">
      <c r="A3257" s="198"/>
    </row>
    <row r="3258" spans="1:1" s="199" customFormat="1" ht="12" hidden="1" customHeight="1">
      <c r="A3258" s="198"/>
    </row>
    <row r="3259" spans="1:1" s="199" customFormat="1" ht="12" hidden="1" customHeight="1">
      <c r="A3259" s="198"/>
    </row>
    <row r="3260" spans="1:1" s="199" customFormat="1" ht="12" hidden="1" customHeight="1">
      <c r="A3260" s="198"/>
    </row>
    <row r="3261" spans="1:1" s="199" customFormat="1" ht="12" hidden="1" customHeight="1">
      <c r="A3261" s="198"/>
    </row>
    <row r="3262" spans="1:1" s="199" customFormat="1" ht="12" hidden="1" customHeight="1">
      <c r="A3262" s="198"/>
    </row>
    <row r="3263" spans="1:1" s="199" customFormat="1" ht="12" hidden="1" customHeight="1">
      <c r="A3263" s="198"/>
    </row>
    <row r="3264" spans="1:1" s="199" customFormat="1" ht="12" hidden="1" customHeight="1">
      <c r="A3264" s="198"/>
    </row>
    <row r="3265" spans="1:1" s="199" customFormat="1" ht="12" hidden="1" customHeight="1">
      <c r="A3265" s="198"/>
    </row>
    <row r="3266" spans="1:1" s="199" customFormat="1" ht="12" hidden="1" customHeight="1">
      <c r="A3266" s="198"/>
    </row>
    <row r="3267" spans="1:1" s="199" customFormat="1" ht="12" hidden="1" customHeight="1">
      <c r="A3267" s="198"/>
    </row>
    <row r="3268" spans="1:1" s="199" customFormat="1" ht="12" hidden="1" customHeight="1">
      <c r="A3268" s="198"/>
    </row>
    <row r="3269" spans="1:1" s="199" customFormat="1" ht="12" hidden="1" customHeight="1">
      <c r="A3269" s="198"/>
    </row>
    <row r="3270" spans="1:1" s="199" customFormat="1" ht="12" hidden="1" customHeight="1">
      <c r="A3270" s="198"/>
    </row>
    <row r="3271" spans="1:1" s="199" customFormat="1" ht="12" hidden="1" customHeight="1">
      <c r="A3271" s="198"/>
    </row>
    <row r="3272" spans="1:1" s="199" customFormat="1" ht="12" hidden="1" customHeight="1">
      <c r="A3272" s="198"/>
    </row>
    <row r="3273" spans="1:1" s="199" customFormat="1" ht="12" hidden="1" customHeight="1">
      <c r="A3273" s="198"/>
    </row>
    <row r="3274" spans="1:1" s="199" customFormat="1" ht="12" hidden="1" customHeight="1">
      <c r="A3274" s="198"/>
    </row>
    <row r="3275" spans="1:1" s="199" customFormat="1" ht="12" hidden="1" customHeight="1">
      <c r="A3275" s="198"/>
    </row>
    <row r="3276" spans="1:1" s="199" customFormat="1" ht="12" hidden="1" customHeight="1">
      <c r="A3276" s="198"/>
    </row>
    <row r="3277" spans="1:1" s="199" customFormat="1" ht="12" hidden="1" customHeight="1">
      <c r="A3277" s="198"/>
    </row>
    <row r="3278" spans="1:1" s="199" customFormat="1" ht="12" hidden="1" customHeight="1">
      <c r="A3278" s="198"/>
    </row>
    <row r="3279" spans="1:1" s="199" customFormat="1" ht="12" hidden="1" customHeight="1">
      <c r="A3279" s="198"/>
    </row>
    <row r="3280" spans="1:1" s="199" customFormat="1" ht="12" hidden="1" customHeight="1">
      <c r="A3280" s="198"/>
    </row>
    <row r="3281" spans="1:1" s="199" customFormat="1" ht="12" hidden="1" customHeight="1">
      <c r="A3281" s="198"/>
    </row>
    <row r="3282" spans="1:1" s="199" customFormat="1" ht="12" hidden="1" customHeight="1">
      <c r="A3282" s="198"/>
    </row>
    <row r="3283" spans="1:1" s="199" customFormat="1" ht="12" hidden="1" customHeight="1">
      <c r="A3283" s="198"/>
    </row>
    <row r="3284" spans="1:1" s="199" customFormat="1" ht="12" hidden="1" customHeight="1">
      <c r="A3284" s="198"/>
    </row>
    <row r="3285" spans="1:1" s="199" customFormat="1" ht="12" hidden="1" customHeight="1">
      <c r="A3285" s="198"/>
    </row>
    <row r="3286" spans="1:1" s="199" customFormat="1" ht="12" hidden="1" customHeight="1">
      <c r="A3286" s="198"/>
    </row>
    <row r="3287" spans="1:1" s="199" customFormat="1" ht="12" hidden="1" customHeight="1">
      <c r="A3287" s="198"/>
    </row>
    <row r="3288" spans="1:1" s="199" customFormat="1" ht="12" hidden="1" customHeight="1">
      <c r="A3288" s="198"/>
    </row>
    <row r="3289" spans="1:1" s="199" customFormat="1" ht="12" hidden="1" customHeight="1">
      <c r="A3289" s="198"/>
    </row>
    <row r="3290" spans="1:1" s="199" customFormat="1" ht="12" hidden="1" customHeight="1">
      <c r="A3290" s="198"/>
    </row>
    <row r="3291" spans="1:1" s="199" customFormat="1" ht="12" hidden="1" customHeight="1">
      <c r="A3291" s="198"/>
    </row>
    <row r="3292" spans="1:1" s="199" customFormat="1" ht="12" hidden="1" customHeight="1">
      <c r="A3292" s="198"/>
    </row>
    <row r="3293" spans="1:1" s="199" customFormat="1" ht="12" hidden="1" customHeight="1">
      <c r="A3293" s="198"/>
    </row>
    <row r="3294" spans="1:1" s="199" customFormat="1" ht="12" hidden="1" customHeight="1">
      <c r="A3294" s="198"/>
    </row>
    <row r="3295" spans="1:1" s="199" customFormat="1" ht="12" hidden="1" customHeight="1">
      <c r="A3295" s="198"/>
    </row>
    <row r="3296" spans="1:1" s="199" customFormat="1" ht="12" hidden="1" customHeight="1">
      <c r="A3296" s="198"/>
    </row>
    <row r="3297" spans="1:1" s="199" customFormat="1" ht="12" hidden="1" customHeight="1">
      <c r="A3297" s="198"/>
    </row>
    <row r="3298" spans="1:1" s="199" customFormat="1" ht="12" hidden="1" customHeight="1">
      <c r="A3298" s="198"/>
    </row>
    <row r="3299" spans="1:1" s="199" customFormat="1" ht="12" hidden="1" customHeight="1">
      <c r="A3299" s="198"/>
    </row>
    <row r="3300" spans="1:1" s="199" customFormat="1" ht="12" hidden="1" customHeight="1">
      <c r="A3300" s="198"/>
    </row>
    <row r="3301" spans="1:1" s="199" customFormat="1" ht="12" hidden="1" customHeight="1">
      <c r="A3301" s="198"/>
    </row>
    <row r="3302" spans="1:1" s="199" customFormat="1" ht="12" hidden="1" customHeight="1">
      <c r="A3302" s="198"/>
    </row>
    <row r="3303" spans="1:1" s="199" customFormat="1" ht="12" hidden="1" customHeight="1">
      <c r="A3303" s="198"/>
    </row>
    <row r="3304" spans="1:1" s="199" customFormat="1" ht="12" hidden="1" customHeight="1">
      <c r="A3304" s="198"/>
    </row>
    <row r="3305" spans="1:1" s="199" customFormat="1" ht="12" hidden="1" customHeight="1">
      <c r="A3305" s="198"/>
    </row>
    <row r="3306" spans="1:1" s="199" customFormat="1" ht="12" hidden="1" customHeight="1">
      <c r="A3306" s="198"/>
    </row>
    <row r="3307" spans="1:1" s="199" customFormat="1" ht="12" hidden="1" customHeight="1">
      <c r="A3307" s="198"/>
    </row>
    <row r="3308" spans="1:1" s="199" customFormat="1" ht="12" hidden="1" customHeight="1">
      <c r="A3308" s="198"/>
    </row>
    <row r="3309" spans="1:1" s="199" customFormat="1" ht="12" hidden="1" customHeight="1">
      <c r="A3309" s="198"/>
    </row>
    <row r="3310" spans="1:1" s="199" customFormat="1" ht="12" hidden="1" customHeight="1">
      <c r="A3310" s="198"/>
    </row>
    <row r="3311" spans="1:1" s="199" customFormat="1" ht="12" hidden="1" customHeight="1">
      <c r="A3311" s="198"/>
    </row>
    <row r="3312" spans="1:1" s="199" customFormat="1" ht="12" hidden="1" customHeight="1">
      <c r="A3312" s="198"/>
    </row>
    <row r="3313" spans="1:1" s="199" customFormat="1" ht="12" hidden="1" customHeight="1">
      <c r="A3313" s="198"/>
    </row>
    <row r="3314" spans="1:1" s="199" customFormat="1" ht="12" hidden="1" customHeight="1">
      <c r="A3314" s="198"/>
    </row>
    <row r="3315" spans="1:1" s="199" customFormat="1" ht="12" hidden="1" customHeight="1">
      <c r="A3315" s="198"/>
    </row>
    <row r="3316" spans="1:1" s="199" customFormat="1" ht="12" hidden="1" customHeight="1">
      <c r="A3316" s="198"/>
    </row>
    <row r="3317" spans="1:1" s="199" customFormat="1" ht="12" hidden="1" customHeight="1">
      <c r="A3317" s="198"/>
    </row>
    <row r="3318" spans="1:1" s="199" customFormat="1" ht="12" hidden="1" customHeight="1">
      <c r="A3318" s="198"/>
    </row>
    <row r="3319" spans="1:1" s="199" customFormat="1" ht="12" hidden="1" customHeight="1">
      <c r="A3319" s="198"/>
    </row>
    <row r="3320" spans="1:1" s="199" customFormat="1" ht="12" hidden="1" customHeight="1">
      <c r="A3320" s="198"/>
    </row>
    <row r="3321" spans="1:1" s="199" customFormat="1" ht="12" hidden="1" customHeight="1">
      <c r="A3321" s="198"/>
    </row>
    <row r="3322" spans="1:1" s="199" customFormat="1" ht="12" hidden="1" customHeight="1">
      <c r="A3322" s="198"/>
    </row>
    <row r="3323" spans="1:1" s="199" customFormat="1" ht="12" hidden="1" customHeight="1">
      <c r="A3323" s="198"/>
    </row>
    <row r="3324" spans="1:1" s="199" customFormat="1" ht="12" hidden="1" customHeight="1">
      <c r="A3324" s="198"/>
    </row>
    <row r="3325" spans="1:1" s="199" customFormat="1" ht="12" hidden="1" customHeight="1">
      <c r="A3325" s="198"/>
    </row>
    <row r="3326" spans="1:1" s="199" customFormat="1" ht="12" hidden="1" customHeight="1">
      <c r="A3326" s="198"/>
    </row>
    <row r="3327" spans="1:1" s="199" customFormat="1" ht="12" hidden="1" customHeight="1">
      <c r="A3327" s="198"/>
    </row>
    <row r="3328" spans="1:1" s="199" customFormat="1" ht="12" hidden="1" customHeight="1">
      <c r="A3328" s="198"/>
    </row>
    <row r="3329" spans="1:1" s="199" customFormat="1" ht="12" hidden="1" customHeight="1">
      <c r="A3329" s="198"/>
    </row>
    <row r="3330" spans="1:1" s="199" customFormat="1" ht="12" hidden="1" customHeight="1">
      <c r="A3330" s="198"/>
    </row>
    <row r="3331" spans="1:1" s="199" customFormat="1" ht="12" hidden="1" customHeight="1">
      <c r="A3331" s="198"/>
    </row>
    <row r="3332" spans="1:1" s="199" customFormat="1" ht="12" hidden="1" customHeight="1">
      <c r="A3332" s="198"/>
    </row>
    <row r="3333" spans="1:1" s="199" customFormat="1" ht="12" hidden="1" customHeight="1">
      <c r="A3333" s="198"/>
    </row>
    <row r="3334" spans="1:1" s="199" customFormat="1" ht="12" hidden="1" customHeight="1">
      <c r="A3334" s="198"/>
    </row>
    <row r="3335" spans="1:1" s="199" customFormat="1" ht="12" hidden="1" customHeight="1">
      <c r="A3335" s="198"/>
    </row>
    <row r="3336" spans="1:1" s="199" customFormat="1" ht="12" hidden="1" customHeight="1">
      <c r="A3336" s="198"/>
    </row>
    <row r="3337" spans="1:1" s="199" customFormat="1" ht="12" hidden="1" customHeight="1">
      <c r="A3337" s="198"/>
    </row>
    <row r="3338" spans="1:1" s="199" customFormat="1" ht="12" hidden="1" customHeight="1">
      <c r="A3338" s="198"/>
    </row>
    <row r="3339" spans="1:1" s="199" customFormat="1" ht="12" hidden="1" customHeight="1">
      <c r="A3339" s="198"/>
    </row>
    <row r="3340" spans="1:1" s="199" customFormat="1" ht="12" hidden="1" customHeight="1">
      <c r="A3340" s="198"/>
    </row>
    <row r="3341" spans="1:1" s="199" customFormat="1" ht="12" hidden="1" customHeight="1">
      <c r="A3341" s="198"/>
    </row>
    <row r="3342" spans="1:1" s="199" customFormat="1" ht="12" hidden="1" customHeight="1">
      <c r="A3342" s="198"/>
    </row>
    <row r="3343" spans="1:1" s="199" customFormat="1" ht="12" hidden="1" customHeight="1">
      <c r="A3343" s="198"/>
    </row>
    <row r="3344" spans="1:1" s="199" customFormat="1" ht="12" hidden="1" customHeight="1">
      <c r="A3344" s="198"/>
    </row>
    <row r="3345" spans="1:1" s="199" customFormat="1" ht="12" hidden="1" customHeight="1">
      <c r="A3345" s="198"/>
    </row>
    <row r="3346" spans="1:1" s="199" customFormat="1" ht="12" hidden="1" customHeight="1">
      <c r="A3346" s="198"/>
    </row>
    <row r="3347" spans="1:1" s="199" customFormat="1" ht="12" hidden="1" customHeight="1">
      <c r="A3347" s="198"/>
    </row>
    <row r="3348" spans="1:1" s="199" customFormat="1" ht="12" hidden="1" customHeight="1">
      <c r="A3348" s="198"/>
    </row>
    <row r="3349" spans="1:1" s="199" customFormat="1" ht="12" hidden="1" customHeight="1">
      <c r="A3349" s="198"/>
    </row>
    <row r="3350" spans="1:1" s="199" customFormat="1" ht="12" hidden="1" customHeight="1">
      <c r="A3350" s="198"/>
    </row>
    <row r="3351" spans="1:1" s="199" customFormat="1" ht="12" hidden="1" customHeight="1">
      <c r="A3351" s="198"/>
    </row>
    <row r="3352" spans="1:1" s="199" customFormat="1" ht="12" hidden="1" customHeight="1">
      <c r="A3352" s="198"/>
    </row>
    <row r="3353" spans="1:1" s="199" customFormat="1" ht="12" hidden="1" customHeight="1">
      <c r="A3353" s="198"/>
    </row>
    <row r="3354" spans="1:1" s="199" customFormat="1" ht="12" hidden="1" customHeight="1">
      <c r="A3354" s="198"/>
    </row>
    <row r="3355" spans="1:1" s="199" customFormat="1" ht="12" hidden="1" customHeight="1">
      <c r="A3355" s="198"/>
    </row>
    <row r="3356" spans="1:1" s="199" customFormat="1" ht="12" hidden="1" customHeight="1">
      <c r="A3356" s="198"/>
    </row>
    <row r="3357" spans="1:1" s="199" customFormat="1" ht="12" hidden="1" customHeight="1">
      <c r="A3357" s="198"/>
    </row>
    <row r="3358" spans="1:1" s="199" customFormat="1" ht="12" hidden="1" customHeight="1">
      <c r="A3358" s="198"/>
    </row>
    <row r="3359" spans="1:1" s="199" customFormat="1" ht="12" hidden="1" customHeight="1">
      <c r="A3359" s="198"/>
    </row>
    <row r="3360" spans="1:1" s="199" customFormat="1" ht="12" hidden="1" customHeight="1">
      <c r="A3360" s="198"/>
    </row>
    <row r="3361" spans="1:1" s="199" customFormat="1" ht="12" hidden="1" customHeight="1">
      <c r="A3361" s="198"/>
    </row>
    <row r="3362" spans="1:1" s="199" customFormat="1" ht="12" hidden="1" customHeight="1">
      <c r="A3362" s="198"/>
    </row>
    <row r="3363" spans="1:1" s="199" customFormat="1" ht="12" hidden="1" customHeight="1">
      <c r="A3363" s="198"/>
    </row>
    <row r="3364" spans="1:1" s="199" customFormat="1" ht="12" hidden="1" customHeight="1">
      <c r="A3364" s="198"/>
    </row>
    <row r="3365" spans="1:1" s="199" customFormat="1" ht="12" hidden="1" customHeight="1">
      <c r="A3365" s="198"/>
    </row>
    <row r="3366" spans="1:1" s="199" customFormat="1" ht="12" hidden="1" customHeight="1">
      <c r="A3366" s="198"/>
    </row>
    <row r="3367" spans="1:1" s="199" customFormat="1" ht="12" hidden="1" customHeight="1">
      <c r="A3367" s="198"/>
    </row>
    <row r="3368" spans="1:1" s="199" customFormat="1" ht="12" hidden="1" customHeight="1">
      <c r="A3368" s="198"/>
    </row>
    <row r="3369" spans="1:1" s="199" customFormat="1" ht="12" hidden="1" customHeight="1">
      <c r="A3369" s="198"/>
    </row>
    <row r="3370" spans="1:1" s="199" customFormat="1" ht="12" hidden="1" customHeight="1">
      <c r="A3370" s="198"/>
    </row>
    <row r="3371" spans="1:1" s="199" customFormat="1" ht="12" hidden="1" customHeight="1">
      <c r="A3371" s="198"/>
    </row>
    <row r="3372" spans="1:1" s="199" customFormat="1" ht="12" hidden="1" customHeight="1">
      <c r="A3372" s="198"/>
    </row>
    <row r="3373" spans="1:1" s="199" customFormat="1" ht="12" hidden="1" customHeight="1">
      <c r="A3373" s="198"/>
    </row>
    <row r="3374" spans="1:1" s="199" customFormat="1" ht="12" hidden="1" customHeight="1">
      <c r="A3374" s="198"/>
    </row>
    <row r="3375" spans="1:1" s="199" customFormat="1" ht="12" hidden="1" customHeight="1">
      <c r="A3375" s="198"/>
    </row>
    <row r="3376" spans="1:1" s="199" customFormat="1" ht="12" hidden="1" customHeight="1">
      <c r="A3376" s="198"/>
    </row>
    <row r="3377" spans="1:1" s="199" customFormat="1" ht="12" hidden="1" customHeight="1">
      <c r="A3377" s="198"/>
    </row>
    <row r="3378" spans="1:1" s="199" customFormat="1" ht="12" hidden="1" customHeight="1">
      <c r="A3378" s="198"/>
    </row>
    <row r="3379" spans="1:1" s="199" customFormat="1" ht="12" hidden="1" customHeight="1">
      <c r="A3379" s="198"/>
    </row>
    <row r="3380" spans="1:1" s="199" customFormat="1" ht="12" hidden="1" customHeight="1">
      <c r="A3380" s="198"/>
    </row>
    <row r="3381" spans="1:1" s="199" customFormat="1" ht="12" hidden="1" customHeight="1">
      <c r="A3381" s="198"/>
    </row>
    <row r="3382" spans="1:1" s="199" customFormat="1" ht="12" hidden="1" customHeight="1">
      <c r="A3382" s="198"/>
    </row>
    <row r="3383" spans="1:1" s="199" customFormat="1" ht="12" hidden="1" customHeight="1">
      <c r="A3383" s="198"/>
    </row>
    <row r="3384" spans="1:1" s="199" customFormat="1" ht="12" hidden="1" customHeight="1">
      <c r="A3384" s="198"/>
    </row>
    <row r="3385" spans="1:1" s="199" customFormat="1" ht="12" hidden="1" customHeight="1">
      <c r="A3385" s="198"/>
    </row>
    <row r="3386" spans="1:1" s="199" customFormat="1" ht="12" hidden="1" customHeight="1">
      <c r="A3386" s="198"/>
    </row>
    <row r="3387" spans="1:1" s="199" customFormat="1" ht="12" hidden="1" customHeight="1">
      <c r="A3387" s="198"/>
    </row>
    <row r="3388" spans="1:1" s="199" customFormat="1" ht="12" hidden="1" customHeight="1">
      <c r="A3388" s="198"/>
    </row>
    <row r="3389" spans="1:1" s="199" customFormat="1" ht="12" hidden="1" customHeight="1">
      <c r="A3389" s="198"/>
    </row>
    <row r="3390" spans="1:1" s="199" customFormat="1" ht="12" hidden="1" customHeight="1">
      <c r="A3390" s="198"/>
    </row>
    <row r="3391" spans="1:1" s="199" customFormat="1" ht="12" hidden="1" customHeight="1">
      <c r="A3391" s="198"/>
    </row>
    <row r="3392" spans="1:1" s="199" customFormat="1" ht="12" hidden="1" customHeight="1">
      <c r="A3392" s="198"/>
    </row>
    <row r="3393" spans="1:1" s="199" customFormat="1" ht="12" hidden="1" customHeight="1">
      <c r="A3393" s="198"/>
    </row>
    <row r="3394" spans="1:1" s="199" customFormat="1" ht="12" hidden="1" customHeight="1">
      <c r="A3394" s="198"/>
    </row>
    <row r="3395" spans="1:1" s="199" customFormat="1" ht="12" hidden="1" customHeight="1">
      <c r="A3395" s="198"/>
    </row>
    <row r="3396" spans="1:1" s="199" customFormat="1" ht="12" hidden="1" customHeight="1">
      <c r="A3396" s="198"/>
    </row>
    <row r="3397" spans="1:1" s="199" customFormat="1" ht="12" hidden="1" customHeight="1">
      <c r="A3397" s="198"/>
    </row>
    <row r="3398" spans="1:1" s="199" customFormat="1" ht="12" hidden="1" customHeight="1">
      <c r="A3398" s="198"/>
    </row>
    <row r="3399" spans="1:1" s="199" customFormat="1" ht="12" hidden="1" customHeight="1">
      <c r="A3399" s="198"/>
    </row>
    <row r="3400" spans="1:1" s="199" customFormat="1" ht="12" hidden="1" customHeight="1">
      <c r="A3400" s="198"/>
    </row>
    <row r="3401" spans="1:1" s="199" customFormat="1" ht="12" hidden="1" customHeight="1">
      <c r="A3401" s="198"/>
    </row>
    <row r="3402" spans="1:1" s="199" customFormat="1" ht="12" hidden="1" customHeight="1">
      <c r="A3402" s="198"/>
    </row>
    <row r="3403" spans="1:1" s="199" customFormat="1" ht="12" hidden="1" customHeight="1">
      <c r="A3403" s="198"/>
    </row>
    <row r="3404" spans="1:1" s="199" customFormat="1" ht="12" hidden="1" customHeight="1">
      <c r="A3404" s="198"/>
    </row>
    <row r="3405" spans="1:1" s="199" customFormat="1" ht="12" hidden="1" customHeight="1">
      <c r="A3405" s="198"/>
    </row>
    <row r="3406" spans="1:1" s="199" customFormat="1" ht="12" hidden="1" customHeight="1">
      <c r="A3406" s="198"/>
    </row>
    <row r="3407" spans="1:1" s="199" customFormat="1" ht="12" hidden="1" customHeight="1">
      <c r="A3407" s="198"/>
    </row>
    <row r="3408" spans="1:1" s="199" customFormat="1" ht="12" hidden="1" customHeight="1">
      <c r="A3408" s="198"/>
    </row>
    <row r="3409" spans="1:1" s="199" customFormat="1" ht="12" hidden="1" customHeight="1">
      <c r="A3409" s="198"/>
    </row>
    <row r="3410" spans="1:1" s="199" customFormat="1" ht="12" hidden="1" customHeight="1">
      <c r="A3410" s="198"/>
    </row>
    <row r="3411" spans="1:1" s="199" customFormat="1" ht="12" hidden="1" customHeight="1">
      <c r="A3411" s="198"/>
    </row>
    <row r="3412" spans="1:1" s="199" customFormat="1" ht="12" hidden="1" customHeight="1">
      <c r="A3412" s="198"/>
    </row>
    <row r="3413" spans="1:1" s="199" customFormat="1" ht="12" hidden="1" customHeight="1">
      <c r="A3413" s="198"/>
    </row>
    <row r="3414" spans="1:1" s="199" customFormat="1" ht="12" hidden="1" customHeight="1">
      <c r="A3414" s="198"/>
    </row>
    <row r="3415" spans="1:1" s="199" customFormat="1" ht="12" hidden="1" customHeight="1">
      <c r="A3415" s="198"/>
    </row>
    <row r="3416" spans="1:1" s="199" customFormat="1" ht="12" hidden="1" customHeight="1">
      <c r="A3416" s="198"/>
    </row>
    <row r="3417" spans="1:1" s="199" customFormat="1" ht="12" hidden="1" customHeight="1">
      <c r="A3417" s="198"/>
    </row>
    <row r="3418" spans="1:1" s="199" customFormat="1" ht="12" hidden="1" customHeight="1">
      <c r="A3418" s="198"/>
    </row>
    <row r="3419" spans="1:1" s="199" customFormat="1" ht="12" hidden="1" customHeight="1">
      <c r="A3419" s="198"/>
    </row>
    <row r="3420" spans="1:1" s="199" customFormat="1" ht="12" hidden="1" customHeight="1">
      <c r="A3420" s="198"/>
    </row>
    <row r="3421" spans="1:1" s="199" customFormat="1" ht="12" hidden="1" customHeight="1">
      <c r="A3421" s="198"/>
    </row>
    <row r="3422" spans="1:1" s="199" customFormat="1" ht="12" hidden="1" customHeight="1">
      <c r="A3422" s="198"/>
    </row>
    <row r="3423" spans="1:1" s="199" customFormat="1" ht="12" hidden="1" customHeight="1">
      <c r="A3423" s="198"/>
    </row>
    <row r="3424" spans="1:1" s="199" customFormat="1" ht="12" hidden="1" customHeight="1">
      <c r="A3424" s="198"/>
    </row>
    <row r="3425" spans="1:1" s="199" customFormat="1" ht="12" hidden="1" customHeight="1">
      <c r="A3425" s="198"/>
    </row>
    <row r="3426" spans="1:1" s="199" customFormat="1" ht="12" hidden="1" customHeight="1">
      <c r="A3426" s="198"/>
    </row>
    <row r="3427" spans="1:1" s="199" customFormat="1" ht="12" hidden="1" customHeight="1">
      <c r="A3427" s="198"/>
    </row>
    <row r="3428" spans="1:1" s="199" customFormat="1" ht="12" hidden="1" customHeight="1">
      <c r="A3428" s="198"/>
    </row>
    <row r="3429" spans="1:1" s="199" customFormat="1" ht="12" hidden="1" customHeight="1">
      <c r="A3429" s="198"/>
    </row>
    <row r="3430" spans="1:1" s="199" customFormat="1" ht="12" hidden="1" customHeight="1">
      <c r="A3430" s="198"/>
    </row>
    <row r="3431" spans="1:1" s="199" customFormat="1" ht="12" hidden="1" customHeight="1">
      <c r="A3431" s="198"/>
    </row>
    <row r="3432" spans="1:1" s="199" customFormat="1" ht="12" hidden="1" customHeight="1">
      <c r="A3432" s="198"/>
    </row>
    <row r="3433" spans="1:1" s="199" customFormat="1" ht="12" hidden="1" customHeight="1">
      <c r="A3433" s="198"/>
    </row>
    <row r="3434" spans="1:1" s="199" customFormat="1" ht="12" hidden="1" customHeight="1">
      <c r="A3434" s="198"/>
    </row>
    <row r="3435" spans="1:1" s="199" customFormat="1" ht="12" hidden="1" customHeight="1">
      <c r="A3435" s="198"/>
    </row>
    <row r="3436" spans="1:1" s="199" customFormat="1" ht="12" hidden="1" customHeight="1">
      <c r="A3436" s="198"/>
    </row>
    <row r="3437" spans="1:1" s="199" customFormat="1" ht="12" hidden="1" customHeight="1">
      <c r="A3437" s="198"/>
    </row>
    <row r="3438" spans="1:1" s="199" customFormat="1" ht="12" hidden="1" customHeight="1">
      <c r="A3438" s="198"/>
    </row>
    <row r="3439" spans="1:1" s="199" customFormat="1" ht="12" hidden="1" customHeight="1">
      <c r="A3439" s="198"/>
    </row>
    <row r="3440" spans="1:1" s="199" customFormat="1" ht="12" hidden="1" customHeight="1">
      <c r="A3440" s="198"/>
    </row>
    <row r="3441" spans="1:1" s="199" customFormat="1" ht="12" hidden="1" customHeight="1">
      <c r="A3441" s="198"/>
    </row>
    <row r="3442" spans="1:1" s="199" customFormat="1" ht="12" hidden="1" customHeight="1">
      <c r="A3442" s="198"/>
    </row>
    <row r="3443" spans="1:1" s="199" customFormat="1" ht="12" hidden="1" customHeight="1">
      <c r="A3443" s="198"/>
    </row>
    <row r="3444" spans="1:1" s="199" customFormat="1" ht="12" hidden="1" customHeight="1">
      <c r="A3444" s="198"/>
    </row>
    <row r="3445" spans="1:1" s="199" customFormat="1" ht="12" hidden="1" customHeight="1">
      <c r="A3445" s="198"/>
    </row>
    <row r="3446" spans="1:1" s="199" customFormat="1" ht="12" hidden="1" customHeight="1">
      <c r="A3446" s="198"/>
    </row>
    <row r="3447" spans="1:1" s="199" customFormat="1" ht="12" hidden="1" customHeight="1">
      <c r="A3447" s="198"/>
    </row>
    <row r="3448" spans="1:1" s="199" customFormat="1" ht="12" hidden="1" customHeight="1">
      <c r="A3448" s="198"/>
    </row>
    <row r="3449" spans="1:1" s="199" customFormat="1" ht="12" hidden="1" customHeight="1">
      <c r="A3449" s="198"/>
    </row>
    <row r="3450" spans="1:1" s="199" customFormat="1" ht="12" hidden="1" customHeight="1">
      <c r="A3450" s="198"/>
    </row>
    <row r="3451" spans="1:1" s="199" customFormat="1" ht="12" hidden="1" customHeight="1">
      <c r="A3451" s="198"/>
    </row>
    <row r="3452" spans="1:1" s="199" customFormat="1" ht="12" hidden="1" customHeight="1">
      <c r="A3452" s="198"/>
    </row>
    <row r="3453" spans="1:1" s="199" customFormat="1" ht="12" hidden="1" customHeight="1">
      <c r="A3453" s="198"/>
    </row>
    <row r="3454" spans="1:1" s="199" customFormat="1" ht="12" hidden="1" customHeight="1">
      <c r="A3454" s="198"/>
    </row>
    <row r="3455" spans="1:1" s="199" customFormat="1" ht="12" hidden="1" customHeight="1">
      <c r="A3455" s="198"/>
    </row>
    <row r="3456" spans="1:1" s="199" customFormat="1" ht="12" hidden="1" customHeight="1">
      <c r="A3456" s="198"/>
    </row>
    <row r="3457" spans="1:1" s="199" customFormat="1" ht="12" hidden="1" customHeight="1">
      <c r="A3457" s="198"/>
    </row>
    <row r="3458" spans="1:1" s="199" customFormat="1" ht="12" hidden="1" customHeight="1">
      <c r="A3458" s="198"/>
    </row>
    <row r="3459" spans="1:1" s="199" customFormat="1" ht="12" hidden="1" customHeight="1">
      <c r="A3459" s="198"/>
    </row>
    <row r="3460" spans="1:1" s="199" customFormat="1" ht="12" hidden="1" customHeight="1">
      <c r="A3460" s="198"/>
    </row>
    <row r="3461" spans="1:1" s="199" customFormat="1" ht="12" hidden="1" customHeight="1">
      <c r="A3461" s="198"/>
    </row>
    <row r="3462" spans="1:1" s="199" customFormat="1" ht="12" hidden="1" customHeight="1">
      <c r="A3462" s="198"/>
    </row>
    <row r="3463" spans="1:1" s="199" customFormat="1" ht="12" hidden="1" customHeight="1">
      <c r="A3463" s="198"/>
    </row>
    <row r="3464" spans="1:1" s="199" customFormat="1" ht="12" hidden="1" customHeight="1">
      <c r="A3464" s="198"/>
    </row>
    <row r="3465" spans="1:1" s="199" customFormat="1" ht="12" hidden="1" customHeight="1">
      <c r="A3465" s="198"/>
    </row>
    <row r="3466" spans="1:1" s="199" customFormat="1" ht="12" hidden="1" customHeight="1">
      <c r="A3466" s="198"/>
    </row>
    <row r="3467" spans="1:1" s="199" customFormat="1" ht="12" hidden="1" customHeight="1">
      <c r="A3467" s="198"/>
    </row>
    <row r="3468" spans="1:1" s="199" customFormat="1" ht="12" hidden="1" customHeight="1">
      <c r="A3468" s="198"/>
    </row>
    <row r="3469" spans="1:1" s="199" customFormat="1" ht="12" hidden="1" customHeight="1">
      <c r="A3469" s="198"/>
    </row>
    <row r="3470" spans="1:1" s="199" customFormat="1" ht="12" hidden="1" customHeight="1">
      <c r="A3470" s="198"/>
    </row>
    <row r="3471" spans="1:1" s="199" customFormat="1" ht="12" hidden="1" customHeight="1">
      <c r="A3471" s="198"/>
    </row>
    <row r="3472" spans="1:1" s="199" customFormat="1" ht="12" hidden="1" customHeight="1">
      <c r="A3472" s="198"/>
    </row>
    <row r="3473" spans="1:1" s="199" customFormat="1" ht="12" hidden="1" customHeight="1">
      <c r="A3473" s="198"/>
    </row>
    <row r="3474" spans="1:1" s="199" customFormat="1" ht="12" hidden="1" customHeight="1">
      <c r="A3474" s="198"/>
    </row>
    <row r="3475" spans="1:1" s="199" customFormat="1" ht="12" hidden="1" customHeight="1">
      <c r="A3475" s="198"/>
    </row>
    <row r="3476" spans="1:1" s="199" customFormat="1" ht="12" hidden="1" customHeight="1">
      <c r="A3476" s="198"/>
    </row>
    <row r="3477" spans="1:1" s="199" customFormat="1" ht="12" hidden="1" customHeight="1">
      <c r="A3477" s="198"/>
    </row>
    <row r="3478" spans="1:1" s="199" customFormat="1" ht="12" hidden="1" customHeight="1">
      <c r="A3478" s="198"/>
    </row>
    <row r="3479" spans="1:1" s="199" customFormat="1" ht="12" hidden="1" customHeight="1">
      <c r="A3479" s="198"/>
    </row>
    <row r="3480" spans="1:1" s="199" customFormat="1" ht="12" hidden="1" customHeight="1">
      <c r="A3480" s="198"/>
    </row>
    <row r="3481" spans="1:1" s="199" customFormat="1" ht="12" hidden="1" customHeight="1">
      <c r="A3481" s="198"/>
    </row>
    <row r="3482" spans="1:1" s="199" customFormat="1" ht="12" hidden="1" customHeight="1">
      <c r="A3482" s="198"/>
    </row>
    <row r="3483" spans="1:1" s="199" customFormat="1" ht="12" hidden="1" customHeight="1">
      <c r="A3483" s="198"/>
    </row>
    <row r="3484" spans="1:1" s="199" customFormat="1" ht="12" hidden="1" customHeight="1">
      <c r="A3484" s="198"/>
    </row>
    <row r="3485" spans="1:1" s="199" customFormat="1" ht="12" hidden="1" customHeight="1">
      <c r="A3485" s="198"/>
    </row>
    <row r="3486" spans="1:1" s="199" customFormat="1" ht="12" hidden="1" customHeight="1">
      <c r="A3486" s="198"/>
    </row>
    <row r="3487" spans="1:1" s="199" customFormat="1" ht="12" hidden="1" customHeight="1">
      <c r="A3487" s="198"/>
    </row>
    <row r="3488" spans="1:1" s="199" customFormat="1" ht="12" hidden="1" customHeight="1">
      <c r="A3488" s="198"/>
    </row>
    <row r="3489" spans="1:1" s="199" customFormat="1" ht="12" hidden="1" customHeight="1">
      <c r="A3489" s="198"/>
    </row>
    <row r="3490" spans="1:1" s="199" customFormat="1" ht="12" hidden="1" customHeight="1">
      <c r="A3490" s="198"/>
    </row>
    <row r="3491" spans="1:1" s="199" customFormat="1" ht="12" hidden="1" customHeight="1">
      <c r="A3491" s="198"/>
    </row>
    <row r="3492" spans="1:1" s="199" customFormat="1" ht="12" hidden="1" customHeight="1">
      <c r="A3492" s="198"/>
    </row>
    <row r="3493" spans="1:1" s="199" customFormat="1" ht="12" hidden="1" customHeight="1">
      <c r="A3493" s="198"/>
    </row>
    <row r="3494" spans="1:1" s="199" customFormat="1" ht="12" hidden="1" customHeight="1">
      <c r="A3494" s="198"/>
    </row>
    <row r="3495" spans="1:1" s="199" customFormat="1" ht="12" hidden="1" customHeight="1">
      <c r="A3495" s="198"/>
    </row>
    <row r="3496" spans="1:1" s="199" customFormat="1" ht="12" hidden="1" customHeight="1">
      <c r="A3496" s="198"/>
    </row>
    <row r="3497" spans="1:1" s="199" customFormat="1" ht="12" hidden="1" customHeight="1">
      <c r="A3497" s="198"/>
    </row>
    <row r="3498" spans="1:1" s="199" customFormat="1" ht="12" hidden="1" customHeight="1">
      <c r="A3498" s="198"/>
    </row>
    <row r="3499" spans="1:1" s="199" customFormat="1" ht="12" hidden="1" customHeight="1">
      <c r="A3499" s="198"/>
    </row>
    <row r="3500" spans="1:1" s="199" customFormat="1" ht="12" hidden="1" customHeight="1">
      <c r="A3500" s="198"/>
    </row>
    <row r="3501" spans="1:1" s="199" customFormat="1" ht="12" hidden="1" customHeight="1">
      <c r="A3501" s="198"/>
    </row>
    <row r="3502" spans="1:1" s="199" customFormat="1" ht="12" hidden="1" customHeight="1">
      <c r="A3502" s="198"/>
    </row>
    <row r="3503" spans="1:1" s="199" customFormat="1" ht="12" hidden="1" customHeight="1">
      <c r="A3503" s="198"/>
    </row>
    <row r="3504" spans="1:1" s="199" customFormat="1" ht="12" hidden="1" customHeight="1">
      <c r="A3504" s="198"/>
    </row>
    <row r="3505" spans="1:1" s="199" customFormat="1" ht="12" hidden="1" customHeight="1">
      <c r="A3505" s="198"/>
    </row>
    <row r="3506" spans="1:1" s="199" customFormat="1" ht="12" hidden="1" customHeight="1">
      <c r="A3506" s="198"/>
    </row>
    <row r="3507" spans="1:1" s="199" customFormat="1" ht="12" hidden="1" customHeight="1">
      <c r="A3507" s="198"/>
    </row>
    <row r="3508" spans="1:1" s="199" customFormat="1" ht="12" hidden="1" customHeight="1">
      <c r="A3508" s="198"/>
    </row>
    <row r="3509" spans="1:1" s="199" customFormat="1" ht="12" hidden="1" customHeight="1">
      <c r="A3509" s="198"/>
    </row>
    <row r="3510" spans="1:1" s="199" customFormat="1" ht="12" hidden="1" customHeight="1">
      <c r="A3510" s="198"/>
    </row>
    <row r="3511" spans="1:1" s="199" customFormat="1" ht="12" hidden="1" customHeight="1">
      <c r="A3511" s="198"/>
    </row>
    <row r="3512" spans="1:1" s="199" customFormat="1" ht="12" hidden="1" customHeight="1">
      <c r="A3512" s="198"/>
    </row>
    <row r="3513" spans="1:1" s="199" customFormat="1" ht="12" hidden="1" customHeight="1">
      <c r="A3513" s="198"/>
    </row>
    <row r="3514" spans="1:1" s="199" customFormat="1" ht="12" hidden="1" customHeight="1">
      <c r="A3514" s="198"/>
    </row>
    <row r="3515" spans="1:1" s="199" customFormat="1" ht="12" hidden="1" customHeight="1">
      <c r="A3515" s="198"/>
    </row>
    <row r="3516" spans="1:1" s="199" customFormat="1" ht="12" hidden="1" customHeight="1">
      <c r="A3516" s="198"/>
    </row>
    <row r="3517" spans="1:1" s="199" customFormat="1" ht="12" hidden="1" customHeight="1">
      <c r="A3517" s="198"/>
    </row>
    <row r="3518" spans="1:1" s="199" customFormat="1" ht="12" hidden="1" customHeight="1">
      <c r="A3518" s="198"/>
    </row>
    <row r="3519" spans="1:1" s="199" customFormat="1" ht="12" hidden="1" customHeight="1">
      <c r="A3519" s="198"/>
    </row>
    <row r="3520" spans="1:1" s="199" customFormat="1" ht="12" hidden="1" customHeight="1">
      <c r="A3520" s="198"/>
    </row>
    <row r="3521" spans="1:1" s="199" customFormat="1" ht="12" hidden="1" customHeight="1">
      <c r="A3521" s="198"/>
    </row>
    <row r="3522" spans="1:1" s="199" customFormat="1" ht="12" hidden="1" customHeight="1">
      <c r="A3522" s="198"/>
    </row>
    <row r="3523" spans="1:1" s="199" customFormat="1" ht="12" hidden="1" customHeight="1">
      <c r="A3523" s="198"/>
    </row>
    <row r="3524" spans="1:1" s="199" customFormat="1" ht="12" hidden="1" customHeight="1">
      <c r="A3524" s="198"/>
    </row>
    <row r="3525" spans="1:1" s="199" customFormat="1" ht="12" hidden="1" customHeight="1">
      <c r="A3525" s="198"/>
    </row>
    <row r="3526" spans="1:1" s="199" customFormat="1" ht="12" hidden="1" customHeight="1">
      <c r="A3526" s="198"/>
    </row>
    <row r="3527" spans="1:1" s="199" customFormat="1" ht="12" hidden="1" customHeight="1">
      <c r="A3527" s="198"/>
    </row>
    <row r="3528" spans="1:1" s="199" customFormat="1" ht="12" hidden="1" customHeight="1">
      <c r="A3528" s="198"/>
    </row>
    <row r="3529" spans="1:1" s="199" customFormat="1" ht="12" hidden="1" customHeight="1">
      <c r="A3529" s="198"/>
    </row>
    <row r="3530" spans="1:1" s="199" customFormat="1" ht="12" hidden="1" customHeight="1">
      <c r="A3530" s="198"/>
    </row>
    <row r="3531" spans="1:1" s="199" customFormat="1" ht="12" hidden="1" customHeight="1">
      <c r="A3531" s="198"/>
    </row>
    <row r="3532" spans="1:1" s="199" customFormat="1" ht="12" hidden="1" customHeight="1">
      <c r="A3532" s="198"/>
    </row>
    <row r="3533" spans="1:1" s="199" customFormat="1" ht="12" hidden="1" customHeight="1">
      <c r="A3533" s="198"/>
    </row>
    <row r="3534" spans="1:1" s="199" customFormat="1" ht="12" hidden="1" customHeight="1">
      <c r="A3534" s="198"/>
    </row>
    <row r="3535" spans="1:1" s="199" customFormat="1" ht="12" hidden="1" customHeight="1">
      <c r="A3535" s="198"/>
    </row>
    <row r="3536" spans="1:1" s="199" customFormat="1" ht="12" hidden="1" customHeight="1">
      <c r="A3536" s="198"/>
    </row>
    <row r="3537" spans="1:1" s="199" customFormat="1" ht="12" hidden="1" customHeight="1">
      <c r="A3537" s="198"/>
    </row>
    <row r="3538" spans="1:1" s="199" customFormat="1" ht="12" hidden="1" customHeight="1">
      <c r="A3538" s="198"/>
    </row>
    <row r="3539" spans="1:1" s="199" customFormat="1" ht="12" hidden="1" customHeight="1">
      <c r="A3539" s="198"/>
    </row>
    <row r="3540" spans="1:1" s="199" customFormat="1" ht="12" hidden="1" customHeight="1">
      <c r="A3540" s="198"/>
    </row>
    <row r="3541" spans="1:1" s="199" customFormat="1" ht="12" hidden="1" customHeight="1">
      <c r="A3541" s="198"/>
    </row>
    <row r="3542" spans="1:1" s="199" customFormat="1" ht="12" hidden="1" customHeight="1">
      <c r="A3542" s="198"/>
    </row>
    <row r="3543" spans="1:1" s="199" customFormat="1" ht="12" hidden="1" customHeight="1">
      <c r="A3543" s="198"/>
    </row>
    <row r="3544" spans="1:1" s="199" customFormat="1" ht="12" hidden="1" customHeight="1">
      <c r="A3544" s="198"/>
    </row>
    <row r="3545" spans="1:1" s="199" customFormat="1" ht="12" hidden="1" customHeight="1">
      <c r="A3545" s="198"/>
    </row>
    <row r="3546" spans="1:1" s="199" customFormat="1" ht="12" hidden="1" customHeight="1">
      <c r="A3546" s="198"/>
    </row>
    <row r="3547" spans="1:1" s="199" customFormat="1" ht="12" hidden="1" customHeight="1">
      <c r="A3547" s="198"/>
    </row>
    <row r="3548" spans="1:1" s="199" customFormat="1" ht="12" hidden="1" customHeight="1">
      <c r="A3548" s="198"/>
    </row>
    <row r="3549" spans="1:1" s="199" customFormat="1" ht="12" hidden="1" customHeight="1">
      <c r="A3549" s="198"/>
    </row>
    <row r="3550" spans="1:1" s="199" customFormat="1" ht="12" hidden="1" customHeight="1">
      <c r="A3550" s="198"/>
    </row>
    <row r="3551" spans="1:1" s="199" customFormat="1" ht="12" hidden="1" customHeight="1">
      <c r="A3551" s="198"/>
    </row>
    <row r="3552" spans="1:1" s="199" customFormat="1" ht="12" hidden="1" customHeight="1">
      <c r="A3552" s="198"/>
    </row>
    <row r="3553" spans="1:1" s="199" customFormat="1" ht="12" hidden="1" customHeight="1">
      <c r="A3553" s="198"/>
    </row>
    <row r="3554" spans="1:1" s="199" customFormat="1" ht="12" hidden="1" customHeight="1">
      <c r="A3554" s="198"/>
    </row>
    <row r="3555" spans="1:1" s="199" customFormat="1" ht="12" hidden="1" customHeight="1">
      <c r="A3555" s="198"/>
    </row>
    <row r="3556" spans="1:1" s="199" customFormat="1" ht="12" hidden="1" customHeight="1">
      <c r="A3556" s="198"/>
    </row>
    <row r="3557" spans="1:1" s="199" customFormat="1" ht="12" hidden="1" customHeight="1">
      <c r="A3557" s="198"/>
    </row>
    <row r="3558" spans="1:1" s="199" customFormat="1" ht="12" hidden="1" customHeight="1">
      <c r="A3558" s="198"/>
    </row>
    <row r="3559" spans="1:1" s="199" customFormat="1" ht="12" hidden="1" customHeight="1">
      <c r="A3559" s="198"/>
    </row>
    <row r="3560" spans="1:1" s="199" customFormat="1" ht="12" hidden="1" customHeight="1">
      <c r="A3560" s="198"/>
    </row>
    <row r="3561" spans="1:1" s="199" customFormat="1" ht="12" hidden="1" customHeight="1">
      <c r="A3561" s="198"/>
    </row>
    <row r="3562" spans="1:1" s="199" customFormat="1" ht="12" hidden="1" customHeight="1">
      <c r="A3562" s="198"/>
    </row>
    <row r="3563" spans="1:1" s="199" customFormat="1" ht="12" hidden="1" customHeight="1">
      <c r="A3563" s="198"/>
    </row>
    <row r="3564" spans="1:1" s="199" customFormat="1" ht="12" hidden="1" customHeight="1">
      <c r="A3564" s="198"/>
    </row>
    <row r="3565" spans="1:1" s="199" customFormat="1" ht="12" hidden="1" customHeight="1">
      <c r="A3565" s="198"/>
    </row>
    <row r="3566" spans="1:1" s="199" customFormat="1" ht="12" hidden="1" customHeight="1">
      <c r="A3566" s="198"/>
    </row>
    <row r="3567" spans="1:1" s="199" customFormat="1" ht="12" hidden="1" customHeight="1">
      <c r="A3567" s="198"/>
    </row>
    <row r="3568" spans="1:1" s="199" customFormat="1" ht="12" hidden="1" customHeight="1">
      <c r="A3568" s="198"/>
    </row>
    <row r="3569" spans="1:1" s="199" customFormat="1" ht="12" hidden="1" customHeight="1">
      <c r="A3569" s="198"/>
    </row>
    <row r="3570" spans="1:1" s="199" customFormat="1" ht="12" hidden="1" customHeight="1">
      <c r="A3570" s="198"/>
    </row>
    <row r="3571" spans="1:1" s="199" customFormat="1" ht="12" hidden="1" customHeight="1">
      <c r="A3571" s="198"/>
    </row>
    <row r="3572" spans="1:1" s="199" customFormat="1" ht="12" hidden="1" customHeight="1">
      <c r="A3572" s="198"/>
    </row>
    <row r="3573" spans="1:1" s="199" customFormat="1" ht="12" hidden="1" customHeight="1">
      <c r="A3573" s="198"/>
    </row>
    <row r="3574" spans="1:1" s="199" customFormat="1" ht="12" hidden="1" customHeight="1">
      <c r="A3574" s="198"/>
    </row>
    <row r="3575" spans="1:1" s="199" customFormat="1" ht="12" hidden="1" customHeight="1">
      <c r="A3575" s="198"/>
    </row>
    <row r="3576" spans="1:1" s="199" customFormat="1" ht="12" hidden="1" customHeight="1">
      <c r="A3576" s="198"/>
    </row>
    <row r="3577" spans="1:1" s="199" customFormat="1" ht="12" hidden="1" customHeight="1">
      <c r="A3577" s="198"/>
    </row>
    <row r="3578" spans="1:1" s="199" customFormat="1" ht="12" hidden="1" customHeight="1">
      <c r="A3578" s="198"/>
    </row>
    <row r="3579" spans="1:1" s="199" customFormat="1" ht="12" hidden="1" customHeight="1">
      <c r="A3579" s="198"/>
    </row>
    <row r="3580" spans="1:1" s="199" customFormat="1" ht="12" hidden="1" customHeight="1">
      <c r="A3580" s="198"/>
    </row>
    <row r="3581" spans="1:1" s="199" customFormat="1" ht="12" hidden="1" customHeight="1">
      <c r="A3581" s="198"/>
    </row>
    <row r="3582" spans="1:1" s="199" customFormat="1" ht="12" hidden="1" customHeight="1">
      <c r="A3582" s="198"/>
    </row>
    <row r="3583" spans="1:1" s="199" customFormat="1" ht="12" hidden="1" customHeight="1">
      <c r="A3583" s="198"/>
    </row>
    <row r="3584" spans="1:1" s="199" customFormat="1" ht="12" hidden="1" customHeight="1">
      <c r="A3584" s="198"/>
    </row>
    <row r="3585" spans="1:1" s="199" customFormat="1" ht="12" hidden="1" customHeight="1">
      <c r="A3585" s="198"/>
    </row>
    <row r="3586" spans="1:1" s="199" customFormat="1" ht="12" hidden="1" customHeight="1">
      <c r="A3586" s="198"/>
    </row>
    <row r="3587" spans="1:1" s="199" customFormat="1" ht="12" hidden="1" customHeight="1">
      <c r="A3587" s="198"/>
    </row>
    <row r="3588" spans="1:1" s="199" customFormat="1" ht="12" hidden="1" customHeight="1">
      <c r="A3588" s="198"/>
    </row>
    <row r="3589" spans="1:1" s="199" customFormat="1" ht="12" hidden="1" customHeight="1">
      <c r="A3589" s="198"/>
    </row>
    <row r="3590" spans="1:1" s="199" customFormat="1" ht="12" hidden="1" customHeight="1">
      <c r="A3590" s="198"/>
    </row>
    <row r="3591" spans="1:1" s="199" customFormat="1" ht="12" hidden="1" customHeight="1">
      <c r="A3591" s="198"/>
    </row>
    <row r="3592" spans="1:1" s="199" customFormat="1" ht="12" hidden="1" customHeight="1">
      <c r="A3592" s="198"/>
    </row>
    <row r="3593" spans="1:1" s="199" customFormat="1" ht="12" hidden="1" customHeight="1">
      <c r="A3593" s="198"/>
    </row>
    <row r="3594" spans="1:1" s="199" customFormat="1" ht="12" hidden="1" customHeight="1">
      <c r="A3594" s="198"/>
    </row>
    <row r="3595" spans="1:1" s="199" customFormat="1" ht="12" hidden="1" customHeight="1">
      <c r="A3595" s="198"/>
    </row>
    <row r="3596" spans="1:1" s="199" customFormat="1" ht="12" hidden="1" customHeight="1">
      <c r="A3596" s="198"/>
    </row>
    <row r="3597" spans="1:1" s="199" customFormat="1" ht="12" hidden="1" customHeight="1">
      <c r="A3597" s="198"/>
    </row>
    <row r="3598" spans="1:1" s="199" customFormat="1" ht="12" hidden="1" customHeight="1">
      <c r="A3598" s="198"/>
    </row>
    <row r="3599" spans="1:1" s="199" customFormat="1" ht="12" hidden="1" customHeight="1">
      <c r="A3599" s="198"/>
    </row>
    <row r="3600" spans="1:1" s="199" customFormat="1" ht="12" hidden="1" customHeight="1">
      <c r="A3600" s="198"/>
    </row>
    <row r="3601" spans="1:1" s="199" customFormat="1" ht="12" hidden="1" customHeight="1">
      <c r="A3601" s="198"/>
    </row>
    <row r="3602" spans="1:1" s="199" customFormat="1" ht="12" hidden="1" customHeight="1">
      <c r="A3602" s="198"/>
    </row>
    <row r="3603" spans="1:1" s="199" customFormat="1" ht="12" hidden="1" customHeight="1">
      <c r="A3603" s="198"/>
    </row>
    <row r="3604" spans="1:1" s="199" customFormat="1" ht="12" hidden="1" customHeight="1">
      <c r="A3604" s="198"/>
    </row>
    <row r="3605" spans="1:1" s="199" customFormat="1" ht="12" hidden="1" customHeight="1">
      <c r="A3605" s="198"/>
    </row>
    <row r="3606" spans="1:1" s="199" customFormat="1" ht="12" hidden="1" customHeight="1">
      <c r="A3606" s="198"/>
    </row>
    <row r="3607" spans="1:1" s="199" customFormat="1" ht="12" hidden="1" customHeight="1">
      <c r="A3607" s="198"/>
    </row>
    <row r="3608" spans="1:1" s="199" customFormat="1" ht="12" hidden="1" customHeight="1">
      <c r="A3608" s="198"/>
    </row>
    <row r="3609" spans="1:1" s="199" customFormat="1" ht="12" hidden="1" customHeight="1">
      <c r="A3609" s="198"/>
    </row>
    <row r="3610" spans="1:1" s="199" customFormat="1" ht="12" hidden="1" customHeight="1">
      <c r="A3610" s="198"/>
    </row>
    <row r="3611" spans="1:1" s="199" customFormat="1" ht="12" hidden="1" customHeight="1">
      <c r="A3611" s="198"/>
    </row>
    <row r="3612" spans="1:1" s="199" customFormat="1" ht="12" hidden="1" customHeight="1">
      <c r="A3612" s="198"/>
    </row>
    <row r="3613" spans="1:1" s="199" customFormat="1" ht="12" hidden="1" customHeight="1">
      <c r="A3613" s="198"/>
    </row>
    <row r="3614" spans="1:1" s="199" customFormat="1" ht="12" hidden="1" customHeight="1">
      <c r="A3614" s="198"/>
    </row>
    <row r="3615" spans="1:1" s="199" customFormat="1" ht="12" hidden="1" customHeight="1">
      <c r="A3615" s="198"/>
    </row>
    <row r="3616" spans="1:1" s="199" customFormat="1" ht="12" hidden="1" customHeight="1">
      <c r="A3616" s="198"/>
    </row>
    <row r="3617" spans="1:1" s="199" customFormat="1" ht="12" hidden="1" customHeight="1">
      <c r="A3617" s="198"/>
    </row>
    <row r="3618" spans="1:1" s="199" customFormat="1" ht="12" hidden="1" customHeight="1">
      <c r="A3618" s="198"/>
    </row>
    <row r="3619" spans="1:1" s="199" customFormat="1" ht="12" hidden="1" customHeight="1">
      <c r="A3619" s="198"/>
    </row>
    <row r="3620" spans="1:1" s="199" customFormat="1" ht="12" hidden="1" customHeight="1">
      <c r="A3620" s="198"/>
    </row>
    <row r="3621" spans="1:1" s="199" customFormat="1" ht="12" hidden="1" customHeight="1">
      <c r="A3621" s="198"/>
    </row>
    <row r="3622" spans="1:1" s="199" customFormat="1" ht="12" hidden="1" customHeight="1">
      <c r="A3622" s="198"/>
    </row>
    <row r="3623" spans="1:1" s="199" customFormat="1" ht="12" hidden="1" customHeight="1">
      <c r="A3623" s="198"/>
    </row>
    <row r="3624" spans="1:1" s="199" customFormat="1" ht="12" hidden="1" customHeight="1">
      <c r="A3624" s="198"/>
    </row>
    <row r="3625" spans="1:1" s="199" customFormat="1" ht="12" hidden="1" customHeight="1">
      <c r="A3625" s="198"/>
    </row>
    <row r="3626" spans="1:1" s="199" customFormat="1" ht="12" hidden="1" customHeight="1">
      <c r="A3626" s="198"/>
    </row>
    <row r="3627" spans="1:1" s="199" customFormat="1" ht="12" hidden="1" customHeight="1">
      <c r="A3627" s="198"/>
    </row>
    <row r="3628" spans="1:1" s="199" customFormat="1" ht="12" hidden="1" customHeight="1">
      <c r="A3628" s="198"/>
    </row>
    <row r="3629" spans="1:1" s="199" customFormat="1" ht="12" hidden="1" customHeight="1">
      <c r="A3629" s="198"/>
    </row>
    <row r="3630" spans="1:1" s="199" customFormat="1" ht="12" hidden="1" customHeight="1">
      <c r="A3630" s="198"/>
    </row>
    <row r="3631" spans="1:1" s="199" customFormat="1" ht="12" hidden="1" customHeight="1">
      <c r="A3631" s="198"/>
    </row>
    <row r="3632" spans="1:1" s="199" customFormat="1" ht="12" hidden="1" customHeight="1">
      <c r="A3632" s="198"/>
    </row>
    <row r="3633" spans="1:1" s="199" customFormat="1" ht="12" hidden="1" customHeight="1">
      <c r="A3633" s="198"/>
    </row>
    <row r="3634" spans="1:1" s="199" customFormat="1" ht="12" hidden="1" customHeight="1">
      <c r="A3634" s="198"/>
    </row>
    <row r="3635" spans="1:1" s="199" customFormat="1" ht="12" hidden="1" customHeight="1">
      <c r="A3635" s="198"/>
    </row>
    <row r="3636" spans="1:1" s="199" customFormat="1" ht="12" hidden="1" customHeight="1">
      <c r="A3636" s="198"/>
    </row>
    <row r="3637" spans="1:1" s="199" customFormat="1" ht="12" hidden="1" customHeight="1">
      <c r="A3637" s="198"/>
    </row>
    <row r="3638" spans="1:1" s="199" customFormat="1" ht="12" hidden="1" customHeight="1">
      <c r="A3638" s="198"/>
    </row>
    <row r="3639" spans="1:1" s="199" customFormat="1" ht="12" hidden="1" customHeight="1">
      <c r="A3639" s="198"/>
    </row>
    <row r="3640" spans="1:1" s="199" customFormat="1" ht="12" hidden="1" customHeight="1">
      <c r="A3640" s="198"/>
    </row>
    <row r="3641" spans="1:1" s="199" customFormat="1" ht="12" hidden="1" customHeight="1">
      <c r="A3641" s="198"/>
    </row>
    <row r="3642" spans="1:1" s="199" customFormat="1" ht="12" hidden="1" customHeight="1">
      <c r="A3642" s="198"/>
    </row>
    <row r="3643" spans="1:1" s="199" customFormat="1" ht="12" hidden="1" customHeight="1">
      <c r="A3643" s="198"/>
    </row>
    <row r="3644" spans="1:1" s="199" customFormat="1" ht="12" hidden="1" customHeight="1">
      <c r="A3644" s="198"/>
    </row>
    <row r="3645" spans="1:1" s="199" customFormat="1" ht="12" hidden="1" customHeight="1">
      <c r="A3645" s="198"/>
    </row>
    <row r="3646" spans="1:1" s="199" customFormat="1" ht="12" hidden="1" customHeight="1">
      <c r="A3646" s="198"/>
    </row>
    <row r="3647" spans="1:1" s="199" customFormat="1" ht="12" hidden="1" customHeight="1">
      <c r="A3647" s="198"/>
    </row>
    <row r="3648" spans="1:1" s="199" customFormat="1" ht="12" hidden="1" customHeight="1">
      <c r="A3648" s="198"/>
    </row>
    <row r="3649" spans="1:1" s="199" customFormat="1" ht="12" hidden="1" customHeight="1">
      <c r="A3649" s="198"/>
    </row>
    <row r="3650" spans="1:1" s="199" customFormat="1" ht="12" hidden="1" customHeight="1">
      <c r="A3650" s="198"/>
    </row>
    <row r="3651" spans="1:1" s="199" customFormat="1" ht="12" hidden="1" customHeight="1">
      <c r="A3651" s="198"/>
    </row>
    <row r="3652" spans="1:1" s="199" customFormat="1" ht="12" hidden="1" customHeight="1">
      <c r="A3652" s="198"/>
    </row>
    <row r="3653" spans="1:1" s="199" customFormat="1" ht="12" hidden="1" customHeight="1">
      <c r="A3653" s="198"/>
    </row>
    <row r="3654" spans="1:1" s="199" customFormat="1" ht="12" hidden="1" customHeight="1">
      <c r="A3654" s="198"/>
    </row>
    <row r="3655" spans="1:1" s="199" customFormat="1" ht="12" hidden="1" customHeight="1">
      <c r="A3655" s="198"/>
    </row>
    <row r="3656" spans="1:1" s="199" customFormat="1" ht="12" hidden="1" customHeight="1">
      <c r="A3656" s="198"/>
    </row>
    <row r="3657" spans="1:1" s="199" customFormat="1" ht="12" hidden="1" customHeight="1">
      <c r="A3657" s="198"/>
    </row>
    <row r="3658" spans="1:1" s="199" customFormat="1" ht="12" hidden="1" customHeight="1">
      <c r="A3658" s="198"/>
    </row>
    <row r="3659" spans="1:1" s="199" customFormat="1" ht="12" hidden="1" customHeight="1">
      <c r="A3659" s="198"/>
    </row>
    <row r="3660" spans="1:1" s="199" customFormat="1" ht="12" hidden="1" customHeight="1">
      <c r="A3660" s="198"/>
    </row>
    <row r="3661" spans="1:1" s="199" customFormat="1" ht="12" hidden="1" customHeight="1">
      <c r="A3661" s="198"/>
    </row>
    <row r="3662" spans="1:1" s="199" customFormat="1" ht="12" hidden="1" customHeight="1">
      <c r="A3662" s="198"/>
    </row>
    <row r="3663" spans="1:1" s="199" customFormat="1" ht="12" hidden="1" customHeight="1">
      <c r="A3663" s="198"/>
    </row>
    <row r="3664" spans="1:1" s="199" customFormat="1" ht="12" hidden="1" customHeight="1">
      <c r="A3664" s="198"/>
    </row>
    <row r="3665" spans="1:1" s="199" customFormat="1" ht="12" hidden="1" customHeight="1">
      <c r="A3665" s="198"/>
    </row>
    <row r="3666" spans="1:1" s="199" customFormat="1" ht="12" hidden="1" customHeight="1">
      <c r="A3666" s="198"/>
    </row>
    <row r="3667" spans="1:1" s="199" customFormat="1" ht="12" hidden="1" customHeight="1">
      <c r="A3667" s="198"/>
    </row>
    <row r="3668" spans="1:1" s="199" customFormat="1" ht="12" hidden="1" customHeight="1">
      <c r="A3668" s="198"/>
    </row>
    <row r="3669" spans="1:1" s="199" customFormat="1" ht="12" hidden="1" customHeight="1">
      <c r="A3669" s="198"/>
    </row>
    <row r="3670" spans="1:1" s="199" customFormat="1" ht="12" hidden="1" customHeight="1">
      <c r="A3670" s="198"/>
    </row>
    <row r="3671" spans="1:1" s="199" customFormat="1" ht="12" hidden="1" customHeight="1">
      <c r="A3671" s="198"/>
    </row>
    <row r="3672" spans="1:1" s="199" customFormat="1" ht="12" hidden="1" customHeight="1">
      <c r="A3672" s="198"/>
    </row>
    <row r="3673" spans="1:1" s="199" customFormat="1" ht="12" hidden="1" customHeight="1">
      <c r="A3673" s="198"/>
    </row>
    <row r="3674" spans="1:1" s="199" customFormat="1" ht="12" hidden="1" customHeight="1">
      <c r="A3674" s="198"/>
    </row>
    <row r="3675" spans="1:1" s="199" customFormat="1" ht="12" hidden="1" customHeight="1">
      <c r="A3675" s="198"/>
    </row>
    <row r="3676" spans="1:1" s="199" customFormat="1" ht="12" hidden="1" customHeight="1">
      <c r="A3676" s="198"/>
    </row>
    <row r="3677" spans="1:1" s="199" customFormat="1" ht="12" hidden="1" customHeight="1">
      <c r="A3677" s="198"/>
    </row>
    <row r="3678" spans="1:1" s="199" customFormat="1" ht="12" hidden="1" customHeight="1">
      <c r="A3678" s="198"/>
    </row>
    <row r="3679" spans="1:1" s="199" customFormat="1" ht="12" hidden="1" customHeight="1">
      <c r="A3679" s="198"/>
    </row>
    <row r="3680" spans="1:1" s="199" customFormat="1" ht="12" hidden="1" customHeight="1">
      <c r="A3680" s="198"/>
    </row>
    <row r="3681" spans="1:1" s="199" customFormat="1" ht="12" hidden="1" customHeight="1">
      <c r="A3681" s="198"/>
    </row>
    <row r="3682" spans="1:1" s="199" customFormat="1" ht="12" hidden="1" customHeight="1">
      <c r="A3682" s="198"/>
    </row>
    <row r="3683" spans="1:1" s="199" customFormat="1" ht="12" hidden="1" customHeight="1">
      <c r="A3683" s="198"/>
    </row>
    <row r="3684" spans="1:1" s="199" customFormat="1" ht="12" hidden="1" customHeight="1">
      <c r="A3684" s="198"/>
    </row>
    <row r="3685" spans="1:1" s="199" customFormat="1" ht="12" hidden="1" customHeight="1">
      <c r="A3685" s="198"/>
    </row>
    <row r="3686" spans="1:1" s="199" customFormat="1" ht="12" hidden="1" customHeight="1">
      <c r="A3686" s="198"/>
    </row>
    <row r="3687" spans="1:1" s="199" customFormat="1" ht="12" hidden="1" customHeight="1">
      <c r="A3687" s="198"/>
    </row>
    <row r="3688" spans="1:1" s="199" customFormat="1" ht="12" hidden="1" customHeight="1">
      <c r="A3688" s="198"/>
    </row>
    <row r="3689" spans="1:1" s="199" customFormat="1" ht="12" hidden="1" customHeight="1">
      <c r="A3689" s="198"/>
    </row>
    <row r="3690" spans="1:1" s="199" customFormat="1" ht="12" hidden="1" customHeight="1">
      <c r="A3690" s="198"/>
    </row>
    <row r="3691" spans="1:1" s="199" customFormat="1" ht="12" hidden="1" customHeight="1">
      <c r="A3691" s="198"/>
    </row>
    <row r="3692" spans="1:1" s="199" customFormat="1" ht="12" hidden="1" customHeight="1">
      <c r="A3692" s="198"/>
    </row>
    <row r="3693" spans="1:1" s="199" customFormat="1" ht="12" hidden="1" customHeight="1">
      <c r="A3693" s="198"/>
    </row>
    <row r="3694" spans="1:1" s="199" customFormat="1" ht="12" hidden="1" customHeight="1">
      <c r="A3694" s="198"/>
    </row>
    <row r="3695" spans="1:1" s="199" customFormat="1" ht="12" hidden="1" customHeight="1">
      <c r="A3695" s="198"/>
    </row>
    <row r="3696" spans="1:1" s="199" customFormat="1" ht="12" hidden="1" customHeight="1">
      <c r="A3696" s="198"/>
    </row>
    <row r="3697" spans="1:1" s="199" customFormat="1" ht="12" hidden="1" customHeight="1">
      <c r="A3697" s="198"/>
    </row>
    <row r="3698" spans="1:1" s="199" customFormat="1" ht="12" hidden="1" customHeight="1">
      <c r="A3698" s="198"/>
    </row>
    <row r="3699" spans="1:1" s="199" customFormat="1" ht="12" hidden="1" customHeight="1">
      <c r="A3699" s="198"/>
    </row>
    <row r="3700" spans="1:1" s="199" customFormat="1" ht="12" hidden="1" customHeight="1">
      <c r="A3700" s="198"/>
    </row>
    <row r="3701" spans="1:1" s="199" customFormat="1" ht="12" hidden="1" customHeight="1">
      <c r="A3701" s="198"/>
    </row>
    <row r="3702" spans="1:1" s="199" customFormat="1" ht="12" hidden="1" customHeight="1">
      <c r="A3702" s="198"/>
    </row>
    <row r="3703" spans="1:1" s="199" customFormat="1" ht="12" hidden="1" customHeight="1">
      <c r="A3703" s="198"/>
    </row>
    <row r="3704" spans="1:1" s="199" customFormat="1" ht="12" hidden="1" customHeight="1">
      <c r="A3704" s="198"/>
    </row>
    <row r="3705" spans="1:1" s="199" customFormat="1" ht="12" hidden="1" customHeight="1">
      <c r="A3705" s="198"/>
    </row>
    <row r="3706" spans="1:1" s="199" customFormat="1" ht="12" hidden="1" customHeight="1">
      <c r="A3706" s="198"/>
    </row>
    <row r="3707" spans="1:1" s="199" customFormat="1" ht="12" hidden="1" customHeight="1">
      <c r="A3707" s="198"/>
    </row>
    <row r="3708" spans="1:1" s="199" customFormat="1" ht="12" hidden="1" customHeight="1">
      <c r="A3708" s="198"/>
    </row>
    <row r="3709" spans="1:1" s="199" customFormat="1" ht="12" hidden="1" customHeight="1">
      <c r="A3709" s="198"/>
    </row>
    <row r="3710" spans="1:1" s="199" customFormat="1" ht="12" hidden="1" customHeight="1">
      <c r="A3710" s="198"/>
    </row>
    <row r="3711" spans="1:1" s="199" customFormat="1" ht="12" hidden="1" customHeight="1">
      <c r="A3711" s="198"/>
    </row>
    <row r="3712" spans="1:1" s="199" customFormat="1" ht="12" hidden="1" customHeight="1">
      <c r="A3712" s="198"/>
    </row>
    <row r="3713" spans="1:1" s="199" customFormat="1" ht="12" hidden="1" customHeight="1">
      <c r="A3713" s="198"/>
    </row>
    <row r="3714" spans="1:1" s="199" customFormat="1" ht="12" hidden="1" customHeight="1">
      <c r="A3714" s="198"/>
    </row>
    <row r="3715" spans="1:1" s="199" customFormat="1" ht="12" hidden="1" customHeight="1">
      <c r="A3715" s="198"/>
    </row>
    <row r="3716" spans="1:1" s="199" customFormat="1" ht="12" hidden="1" customHeight="1">
      <c r="A3716" s="198"/>
    </row>
    <row r="3717" spans="1:1" s="199" customFormat="1" ht="12" hidden="1" customHeight="1">
      <c r="A3717" s="198"/>
    </row>
    <row r="3718" spans="1:1" s="199" customFormat="1" ht="12" hidden="1" customHeight="1">
      <c r="A3718" s="198"/>
    </row>
    <row r="3719" spans="1:1" s="199" customFormat="1" ht="12" hidden="1" customHeight="1">
      <c r="A3719" s="198"/>
    </row>
    <row r="3720" spans="1:1" s="199" customFormat="1" ht="12" hidden="1" customHeight="1">
      <c r="A3720" s="198"/>
    </row>
    <row r="3721" spans="1:1" s="199" customFormat="1" ht="12" hidden="1" customHeight="1">
      <c r="A3721" s="198"/>
    </row>
    <row r="3722" spans="1:1" s="199" customFormat="1" ht="12" hidden="1" customHeight="1">
      <c r="A3722" s="198"/>
    </row>
    <row r="3723" spans="1:1" s="199" customFormat="1" ht="12" hidden="1" customHeight="1">
      <c r="A3723" s="198"/>
    </row>
    <row r="3724" spans="1:1" s="199" customFormat="1" ht="12" hidden="1" customHeight="1">
      <c r="A3724" s="198"/>
    </row>
    <row r="3725" spans="1:1" s="199" customFormat="1" ht="12" hidden="1" customHeight="1">
      <c r="A3725" s="198"/>
    </row>
    <row r="3726" spans="1:1" s="199" customFormat="1" ht="12" hidden="1" customHeight="1">
      <c r="A3726" s="198"/>
    </row>
    <row r="3727" spans="1:1" s="199" customFormat="1" ht="12" hidden="1" customHeight="1">
      <c r="A3727" s="198"/>
    </row>
    <row r="3728" spans="1:1" s="199" customFormat="1" ht="12" hidden="1" customHeight="1">
      <c r="A3728" s="198"/>
    </row>
    <row r="3729" spans="1:1" s="199" customFormat="1" ht="12" hidden="1" customHeight="1">
      <c r="A3729" s="198"/>
    </row>
    <row r="3730" spans="1:1" s="199" customFormat="1" ht="12" hidden="1" customHeight="1">
      <c r="A3730" s="198"/>
    </row>
    <row r="3731" spans="1:1" s="199" customFormat="1" ht="12" hidden="1" customHeight="1">
      <c r="A3731" s="198"/>
    </row>
    <row r="3732" spans="1:1" s="199" customFormat="1" ht="12" hidden="1" customHeight="1">
      <c r="A3732" s="198"/>
    </row>
    <row r="3733" spans="1:1" s="199" customFormat="1" ht="12" hidden="1" customHeight="1">
      <c r="A3733" s="198"/>
    </row>
    <row r="3734" spans="1:1" s="199" customFormat="1" ht="12" hidden="1" customHeight="1">
      <c r="A3734" s="198"/>
    </row>
    <row r="3735" spans="1:1" s="199" customFormat="1" ht="12" hidden="1" customHeight="1">
      <c r="A3735" s="198"/>
    </row>
    <row r="3736" spans="1:1" s="199" customFormat="1" ht="12" hidden="1" customHeight="1">
      <c r="A3736" s="198"/>
    </row>
    <row r="3737" spans="1:1" s="199" customFormat="1" ht="12" hidden="1" customHeight="1">
      <c r="A3737" s="198"/>
    </row>
    <row r="3738" spans="1:1" s="199" customFormat="1" ht="12" hidden="1" customHeight="1">
      <c r="A3738" s="198"/>
    </row>
    <row r="3739" spans="1:1" s="199" customFormat="1" ht="12" hidden="1" customHeight="1">
      <c r="A3739" s="198"/>
    </row>
    <row r="3740" spans="1:1" s="199" customFormat="1" ht="12" hidden="1" customHeight="1">
      <c r="A3740" s="198"/>
    </row>
    <row r="3741" spans="1:1" s="199" customFormat="1" ht="12" hidden="1" customHeight="1">
      <c r="A3741" s="198"/>
    </row>
    <row r="3742" spans="1:1" s="199" customFormat="1" ht="12" hidden="1" customHeight="1">
      <c r="A3742" s="198"/>
    </row>
    <row r="3743" spans="1:1" s="199" customFormat="1" ht="12" hidden="1" customHeight="1">
      <c r="A3743" s="198"/>
    </row>
    <row r="3744" spans="1:1" s="199" customFormat="1" ht="12" hidden="1" customHeight="1">
      <c r="A3744" s="198"/>
    </row>
    <row r="3745" spans="1:1" s="199" customFormat="1" ht="12" hidden="1" customHeight="1">
      <c r="A3745" s="198"/>
    </row>
    <row r="3746" spans="1:1" s="199" customFormat="1" ht="12" hidden="1" customHeight="1">
      <c r="A3746" s="198"/>
    </row>
    <row r="3747" spans="1:1" s="199" customFormat="1" ht="12" hidden="1" customHeight="1">
      <c r="A3747" s="198"/>
    </row>
    <row r="3748" spans="1:1" s="199" customFormat="1" ht="12" hidden="1" customHeight="1">
      <c r="A3748" s="198"/>
    </row>
    <row r="3749" spans="1:1" s="199" customFormat="1" ht="12" hidden="1" customHeight="1">
      <c r="A3749" s="198"/>
    </row>
    <row r="3750" spans="1:1" s="199" customFormat="1" ht="12" hidden="1" customHeight="1">
      <c r="A3750" s="198"/>
    </row>
    <row r="3751" spans="1:1" s="199" customFormat="1" ht="12" hidden="1" customHeight="1">
      <c r="A3751" s="198"/>
    </row>
    <row r="3752" spans="1:1" s="199" customFormat="1" ht="12" hidden="1" customHeight="1">
      <c r="A3752" s="198"/>
    </row>
    <row r="3753" spans="1:1" s="199" customFormat="1" ht="12" hidden="1" customHeight="1">
      <c r="A3753" s="198"/>
    </row>
    <row r="3754" spans="1:1" s="199" customFormat="1" ht="12" hidden="1" customHeight="1">
      <c r="A3754" s="198"/>
    </row>
    <row r="3755" spans="1:1" s="199" customFormat="1" ht="12" hidden="1" customHeight="1">
      <c r="A3755" s="198"/>
    </row>
    <row r="3756" spans="1:1" s="199" customFormat="1" ht="12" hidden="1" customHeight="1">
      <c r="A3756" s="198"/>
    </row>
    <row r="3757" spans="1:1" s="199" customFormat="1" ht="12" hidden="1" customHeight="1">
      <c r="A3757" s="198"/>
    </row>
    <row r="3758" spans="1:1" s="199" customFormat="1" ht="12" hidden="1" customHeight="1">
      <c r="A3758" s="198"/>
    </row>
    <row r="3759" spans="1:1" s="199" customFormat="1" ht="12" hidden="1" customHeight="1">
      <c r="A3759" s="198"/>
    </row>
    <row r="3760" spans="1:1" s="199" customFormat="1" ht="12" hidden="1" customHeight="1">
      <c r="A3760" s="198"/>
    </row>
    <row r="3761" spans="1:1" s="199" customFormat="1" ht="12" hidden="1" customHeight="1">
      <c r="A3761" s="198"/>
    </row>
    <row r="3762" spans="1:1" s="199" customFormat="1" ht="12" hidden="1" customHeight="1">
      <c r="A3762" s="198"/>
    </row>
    <row r="3763" spans="1:1" s="199" customFormat="1" ht="12" hidden="1" customHeight="1">
      <c r="A3763" s="198"/>
    </row>
    <row r="3764" spans="1:1" s="199" customFormat="1" ht="12" hidden="1" customHeight="1">
      <c r="A3764" s="198"/>
    </row>
    <row r="3765" spans="1:1" s="199" customFormat="1" ht="12" hidden="1" customHeight="1">
      <c r="A3765" s="198"/>
    </row>
    <row r="3766" spans="1:1" s="199" customFormat="1" ht="12" hidden="1" customHeight="1">
      <c r="A3766" s="198"/>
    </row>
    <row r="3767" spans="1:1" s="199" customFormat="1" ht="12" hidden="1" customHeight="1">
      <c r="A3767" s="198"/>
    </row>
    <row r="3768" spans="1:1" s="199" customFormat="1" ht="12" hidden="1" customHeight="1">
      <c r="A3768" s="198"/>
    </row>
    <row r="3769" spans="1:1" s="199" customFormat="1" ht="12" hidden="1" customHeight="1">
      <c r="A3769" s="198"/>
    </row>
    <row r="3770" spans="1:1" s="199" customFormat="1" ht="12" hidden="1" customHeight="1">
      <c r="A3770" s="198"/>
    </row>
    <row r="3771" spans="1:1" s="199" customFormat="1" ht="12" hidden="1" customHeight="1">
      <c r="A3771" s="198"/>
    </row>
    <row r="3772" spans="1:1" s="199" customFormat="1" ht="12" hidden="1" customHeight="1">
      <c r="A3772" s="198"/>
    </row>
    <row r="3773" spans="1:1" s="199" customFormat="1" ht="12" hidden="1" customHeight="1">
      <c r="A3773" s="198"/>
    </row>
    <row r="3774" spans="1:1" s="199" customFormat="1" ht="12" hidden="1" customHeight="1">
      <c r="A3774" s="198"/>
    </row>
    <row r="3775" spans="1:1" s="199" customFormat="1" ht="12" hidden="1" customHeight="1">
      <c r="A3775" s="198"/>
    </row>
    <row r="3776" spans="1:1" s="199" customFormat="1" ht="12" hidden="1" customHeight="1">
      <c r="A3776" s="198"/>
    </row>
    <row r="3777" spans="1:1" s="199" customFormat="1" ht="12" hidden="1" customHeight="1">
      <c r="A3777" s="198"/>
    </row>
    <row r="3778" spans="1:1" s="199" customFormat="1" ht="12" hidden="1" customHeight="1">
      <c r="A3778" s="198"/>
    </row>
    <row r="3779" spans="1:1" s="199" customFormat="1" ht="12" hidden="1" customHeight="1">
      <c r="A3779" s="198"/>
    </row>
    <row r="3780" spans="1:1" s="199" customFormat="1" ht="12" hidden="1" customHeight="1">
      <c r="A3780" s="198"/>
    </row>
    <row r="3781" spans="1:1" s="199" customFormat="1" ht="12" hidden="1" customHeight="1">
      <c r="A3781" s="198"/>
    </row>
    <row r="3782" spans="1:1" s="199" customFormat="1" ht="12" hidden="1" customHeight="1">
      <c r="A3782" s="198"/>
    </row>
    <row r="3783" spans="1:1" s="199" customFormat="1" ht="12" hidden="1" customHeight="1">
      <c r="A3783" s="198"/>
    </row>
    <row r="3784" spans="1:1" s="199" customFormat="1" ht="12" hidden="1" customHeight="1">
      <c r="A3784" s="198"/>
    </row>
    <row r="3785" spans="1:1" s="199" customFormat="1" ht="12" hidden="1" customHeight="1">
      <c r="A3785" s="198"/>
    </row>
    <row r="3786" spans="1:1" s="199" customFormat="1" ht="12" hidden="1" customHeight="1">
      <c r="A3786" s="198"/>
    </row>
    <row r="3787" spans="1:1" s="199" customFormat="1" ht="12" hidden="1" customHeight="1">
      <c r="A3787" s="198"/>
    </row>
    <row r="3788" spans="1:1" s="199" customFormat="1" ht="12" hidden="1" customHeight="1">
      <c r="A3788" s="198"/>
    </row>
    <row r="3789" spans="1:1" s="199" customFormat="1" ht="12" hidden="1" customHeight="1">
      <c r="A3789" s="198"/>
    </row>
    <row r="3790" spans="1:1" s="199" customFormat="1" ht="12" hidden="1" customHeight="1">
      <c r="A3790" s="198"/>
    </row>
    <row r="3791" spans="1:1" s="199" customFormat="1" ht="12" hidden="1" customHeight="1">
      <c r="A3791" s="198"/>
    </row>
    <row r="3792" spans="1:1" s="199" customFormat="1" ht="12" hidden="1" customHeight="1">
      <c r="A3792" s="198"/>
    </row>
    <row r="3793" spans="1:1" s="199" customFormat="1" ht="12" hidden="1" customHeight="1">
      <c r="A3793" s="198"/>
    </row>
    <row r="3794" spans="1:1" s="199" customFormat="1" ht="12" hidden="1" customHeight="1">
      <c r="A3794" s="198"/>
    </row>
    <row r="3795" spans="1:1" s="199" customFormat="1" ht="12" hidden="1" customHeight="1">
      <c r="A3795" s="198"/>
    </row>
    <row r="3796" spans="1:1" s="199" customFormat="1" ht="12" hidden="1" customHeight="1">
      <c r="A3796" s="198"/>
    </row>
    <row r="3797" spans="1:1" s="199" customFormat="1" ht="12" hidden="1" customHeight="1">
      <c r="A3797" s="198"/>
    </row>
    <row r="3798" spans="1:1" s="199" customFormat="1" ht="12" hidden="1" customHeight="1">
      <c r="A3798" s="198"/>
    </row>
    <row r="3799" spans="1:1" s="199" customFormat="1" ht="12" hidden="1" customHeight="1">
      <c r="A3799" s="198"/>
    </row>
    <row r="3800" spans="1:1" s="199" customFormat="1" ht="12" hidden="1" customHeight="1">
      <c r="A3800" s="198"/>
    </row>
    <row r="3801" spans="1:1" s="199" customFormat="1" ht="12" hidden="1" customHeight="1">
      <c r="A3801" s="198"/>
    </row>
    <row r="3802" spans="1:1" s="199" customFormat="1" ht="12" hidden="1" customHeight="1">
      <c r="A3802" s="198"/>
    </row>
    <row r="3803" spans="1:1" s="199" customFormat="1" ht="12" hidden="1" customHeight="1">
      <c r="A3803" s="198"/>
    </row>
    <row r="3804" spans="1:1" s="199" customFormat="1" ht="12" hidden="1" customHeight="1">
      <c r="A3804" s="198"/>
    </row>
    <row r="3805" spans="1:1" s="199" customFormat="1" ht="12" hidden="1" customHeight="1">
      <c r="A3805" s="198"/>
    </row>
    <row r="3806" spans="1:1" s="199" customFormat="1" ht="12" hidden="1" customHeight="1">
      <c r="A3806" s="198"/>
    </row>
    <row r="3807" spans="1:1" s="199" customFormat="1" ht="12" hidden="1" customHeight="1">
      <c r="A3807" s="198"/>
    </row>
    <row r="3808" spans="1:1" s="199" customFormat="1" ht="12" hidden="1" customHeight="1">
      <c r="A3808" s="198"/>
    </row>
    <row r="3809" spans="1:1" s="199" customFormat="1" ht="12" hidden="1" customHeight="1">
      <c r="A3809" s="198"/>
    </row>
    <row r="3810" spans="1:1" s="199" customFormat="1" ht="12" hidden="1" customHeight="1">
      <c r="A3810" s="198"/>
    </row>
    <row r="3811" spans="1:1" s="199" customFormat="1" ht="12" hidden="1" customHeight="1">
      <c r="A3811" s="198"/>
    </row>
    <row r="3812" spans="1:1" s="199" customFormat="1" ht="12" hidden="1" customHeight="1">
      <c r="A3812" s="198"/>
    </row>
    <row r="3813" spans="1:1" s="199" customFormat="1" ht="12" hidden="1" customHeight="1">
      <c r="A3813" s="198"/>
    </row>
    <row r="3814" spans="1:1" s="199" customFormat="1" ht="12" hidden="1" customHeight="1">
      <c r="A3814" s="198"/>
    </row>
    <row r="3815" spans="1:1" s="199" customFormat="1" ht="12" hidden="1" customHeight="1">
      <c r="A3815" s="198"/>
    </row>
    <row r="3816" spans="1:1" s="199" customFormat="1" ht="12" hidden="1" customHeight="1">
      <c r="A3816" s="198"/>
    </row>
    <row r="3817" spans="1:1" s="199" customFormat="1" ht="12" hidden="1" customHeight="1">
      <c r="A3817" s="198"/>
    </row>
    <row r="3818" spans="1:1" s="199" customFormat="1" ht="12" hidden="1" customHeight="1">
      <c r="A3818" s="198"/>
    </row>
    <row r="3819" spans="1:1" s="199" customFormat="1" ht="12" hidden="1" customHeight="1">
      <c r="A3819" s="198"/>
    </row>
    <row r="3820" spans="1:1" s="199" customFormat="1" ht="12" hidden="1" customHeight="1">
      <c r="A3820" s="198"/>
    </row>
    <row r="3821" spans="1:1" s="199" customFormat="1" ht="12" hidden="1" customHeight="1">
      <c r="A3821" s="198"/>
    </row>
    <row r="3822" spans="1:1" s="199" customFormat="1" ht="12" hidden="1" customHeight="1">
      <c r="A3822" s="198"/>
    </row>
    <row r="3823" spans="1:1" s="199" customFormat="1" ht="12" hidden="1" customHeight="1">
      <c r="A3823" s="198"/>
    </row>
    <row r="3824" spans="1:1" s="199" customFormat="1" ht="12" hidden="1" customHeight="1">
      <c r="A3824" s="198"/>
    </row>
    <row r="3825" spans="1:1" s="199" customFormat="1" ht="12" hidden="1" customHeight="1">
      <c r="A3825" s="198"/>
    </row>
    <row r="3826" spans="1:1" s="199" customFormat="1" ht="12" hidden="1" customHeight="1">
      <c r="A3826" s="198"/>
    </row>
    <row r="3827" spans="1:1" s="199" customFormat="1" ht="12" hidden="1" customHeight="1">
      <c r="A3827" s="198"/>
    </row>
    <row r="3828" spans="1:1" s="199" customFormat="1" ht="12" hidden="1" customHeight="1">
      <c r="A3828" s="198"/>
    </row>
    <row r="3829" spans="1:1" s="199" customFormat="1" ht="12" hidden="1" customHeight="1">
      <c r="A3829" s="198"/>
    </row>
    <row r="3830" spans="1:1" s="199" customFormat="1" ht="12" hidden="1" customHeight="1">
      <c r="A3830" s="198"/>
    </row>
    <row r="3831" spans="1:1" s="199" customFormat="1" ht="12" hidden="1" customHeight="1">
      <c r="A3831" s="198"/>
    </row>
    <row r="3832" spans="1:1" s="199" customFormat="1" ht="12" hidden="1" customHeight="1">
      <c r="A3832" s="198"/>
    </row>
    <row r="3833" spans="1:1" s="199" customFormat="1" ht="12" hidden="1" customHeight="1">
      <c r="A3833" s="198"/>
    </row>
    <row r="3834" spans="1:1" s="199" customFormat="1" ht="12" hidden="1" customHeight="1">
      <c r="A3834" s="198"/>
    </row>
    <row r="3835" spans="1:1" s="199" customFormat="1" ht="12" hidden="1" customHeight="1">
      <c r="A3835" s="198"/>
    </row>
    <row r="3836" spans="1:1" s="199" customFormat="1" ht="12" hidden="1" customHeight="1">
      <c r="A3836" s="198"/>
    </row>
    <row r="3837" spans="1:1" s="199" customFormat="1" ht="12" hidden="1" customHeight="1">
      <c r="A3837" s="198"/>
    </row>
    <row r="3838" spans="1:1" s="199" customFormat="1" ht="12" hidden="1" customHeight="1">
      <c r="A3838" s="198"/>
    </row>
    <row r="3839" spans="1:1" s="199" customFormat="1" ht="12" hidden="1" customHeight="1">
      <c r="A3839" s="198"/>
    </row>
    <row r="3840" spans="1:1" s="199" customFormat="1" ht="12" hidden="1" customHeight="1">
      <c r="A3840" s="198"/>
    </row>
    <row r="3841" spans="1:1" s="199" customFormat="1" ht="12" hidden="1" customHeight="1">
      <c r="A3841" s="198"/>
    </row>
    <row r="3842" spans="1:1" s="199" customFormat="1" ht="12" hidden="1" customHeight="1">
      <c r="A3842" s="198"/>
    </row>
    <row r="3843" spans="1:1" s="199" customFormat="1" ht="12" hidden="1" customHeight="1">
      <c r="A3843" s="198"/>
    </row>
    <row r="3844" spans="1:1" s="199" customFormat="1" ht="12" hidden="1" customHeight="1">
      <c r="A3844" s="198"/>
    </row>
    <row r="3845" spans="1:1" s="199" customFormat="1" ht="12" hidden="1" customHeight="1">
      <c r="A3845" s="198"/>
    </row>
    <row r="3846" spans="1:1" s="199" customFormat="1" ht="12" hidden="1" customHeight="1">
      <c r="A3846" s="198"/>
    </row>
    <row r="3847" spans="1:1" s="199" customFormat="1" ht="12" hidden="1" customHeight="1">
      <c r="A3847" s="198"/>
    </row>
    <row r="3848" spans="1:1" s="199" customFormat="1" ht="12" hidden="1" customHeight="1">
      <c r="A3848" s="198"/>
    </row>
    <row r="3849" spans="1:1" s="199" customFormat="1" ht="12" hidden="1" customHeight="1">
      <c r="A3849" s="198"/>
    </row>
    <row r="3850" spans="1:1" s="199" customFormat="1" ht="12" hidden="1" customHeight="1">
      <c r="A3850" s="198"/>
    </row>
    <row r="3851" spans="1:1" s="199" customFormat="1" ht="12" hidden="1" customHeight="1">
      <c r="A3851" s="198"/>
    </row>
    <row r="3852" spans="1:1" s="199" customFormat="1" ht="12" hidden="1" customHeight="1">
      <c r="A3852" s="198"/>
    </row>
    <row r="3853" spans="1:1" s="199" customFormat="1" ht="12" hidden="1" customHeight="1">
      <c r="A3853" s="198"/>
    </row>
    <row r="3854" spans="1:1" s="199" customFormat="1" ht="12" hidden="1" customHeight="1">
      <c r="A3854" s="198"/>
    </row>
    <row r="3855" spans="1:1" s="199" customFormat="1" ht="12" hidden="1" customHeight="1">
      <c r="A3855" s="198"/>
    </row>
    <row r="3856" spans="1:1" s="199" customFormat="1" ht="12" hidden="1" customHeight="1">
      <c r="A3856" s="198"/>
    </row>
    <row r="3857" spans="1:1" s="199" customFormat="1" ht="12" hidden="1" customHeight="1">
      <c r="A3857" s="198"/>
    </row>
    <row r="3858" spans="1:1" s="199" customFormat="1" ht="12" hidden="1" customHeight="1">
      <c r="A3858" s="198"/>
    </row>
    <row r="3859" spans="1:1" s="199" customFormat="1" ht="12" hidden="1" customHeight="1">
      <c r="A3859" s="198"/>
    </row>
    <row r="3860" spans="1:1" s="199" customFormat="1" ht="12" hidden="1" customHeight="1">
      <c r="A3860" s="198"/>
    </row>
    <row r="3861" spans="1:1" s="199" customFormat="1" ht="12" hidden="1" customHeight="1">
      <c r="A3861" s="198"/>
    </row>
    <row r="3862" spans="1:1" s="199" customFormat="1" ht="12" hidden="1" customHeight="1">
      <c r="A3862" s="198"/>
    </row>
    <row r="3863" spans="1:1" s="199" customFormat="1" ht="12" hidden="1" customHeight="1">
      <c r="A3863" s="198"/>
    </row>
    <row r="3864" spans="1:1" s="199" customFormat="1" ht="12" hidden="1" customHeight="1">
      <c r="A3864" s="198"/>
    </row>
    <row r="3865" spans="1:1" s="199" customFormat="1" ht="12" hidden="1" customHeight="1">
      <c r="A3865" s="198"/>
    </row>
    <row r="3866" spans="1:1" s="199" customFormat="1" ht="12" hidden="1" customHeight="1">
      <c r="A3866" s="198"/>
    </row>
    <row r="3867" spans="1:1" s="199" customFormat="1" ht="12" hidden="1" customHeight="1">
      <c r="A3867" s="198"/>
    </row>
    <row r="3868" spans="1:1" s="199" customFormat="1" ht="12" hidden="1" customHeight="1">
      <c r="A3868" s="198"/>
    </row>
    <row r="3869" spans="1:1" s="199" customFormat="1" ht="12" hidden="1" customHeight="1">
      <c r="A3869" s="198"/>
    </row>
    <row r="3870" spans="1:1" s="199" customFormat="1" ht="12" hidden="1" customHeight="1">
      <c r="A3870" s="198"/>
    </row>
    <row r="3871" spans="1:1" s="199" customFormat="1" ht="12" hidden="1" customHeight="1">
      <c r="A3871" s="198"/>
    </row>
    <row r="3872" spans="1:1" s="199" customFormat="1" ht="12" hidden="1" customHeight="1">
      <c r="A3872" s="198"/>
    </row>
    <row r="3873" spans="1:1" s="199" customFormat="1" ht="12" hidden="1" customHeight="1">
      <c r="A3873" s="198"/>
    </row>
    <row r="3874" spans="1:1" s="199" customFormat="1" ht="12" hidden="1" customHeight="1">
      <c r="A3874" s="198"/>
    </row>
    <row r="3875" spans="1:1" s="199" customFormat="1" ht="12" hidden="1" customHeight="1">
      <c r="A3875" s="198"/>
    </row>
    <row r="3876" spans="1:1" s="199" customFormat="1" ht="12" hidden="1" customHeight="1">
      <c r="A3876" s="198"/>
    </row>
    <row r="3877" spans="1:1" s="199" customFormat="1" ht="12" hidden="1" customHeight="1">
      <c r="A3877" s="198"/>
    </row>
    <row r="3878" spans="1:1" s="199" customFormat="1" ht="12" hidden="1" customHeight="1">
      <c r="A3878" s="198"/>
    </row>
    <row r="3879" spans="1:1" s="199" customFormat="1" ht="12" hidden="1" customHeight="1">
      <c r="A3879" s="198"/>
    </row>
    <row r="3880" spans="1:1" s="199" customFormat="1" ht="12" hidden="1" customHeight="1">
      <c r="A3880" s="198"/>
    </row>
    <row r="3881" spans="1:1" s="199" customFormat="1" ht="12" hidden="1" customHeight="1">
      <c r="A3881" s="198"/>
    </row>
    <row r="3882" spans="1:1" s="199" customFormat="1" ht="12" hidden="1" customHeight="1">
      <c r="A3882" s="198"/>
    </row>
    <row r="3883" spans="1:1" s="199" customFormat="1" ht="12" hidden="1" customHeight="1">
      <c r="A3883" s="198"/>
    </row>
    <row r="3884" spans="1:1" s="199" customFormat="1" ht="12" hidden="1" customHeight="1">
      <c r="A3884" s="198"/>
    </row>
    <row r="3885" spans="1:1" s="199" customFormat="1" ht="12" hidden="1" customHeight="1">
      <c r="A3885" s="198"/>
    </row>
    <row r="3886" spans="1:1" s="199" customFormat="1" ht="12" hidden="1" customHeight="1">
      <c r="A3886" s="198"/>
    </row>
    <row r="3887" spans="1:1" s="199" customFormat="1" ht="12" hidden="1" customHeight="1">
      <c r="A3887" s="198"/>
    </row>
    <row r="3888" spans="1:1" s="199" customFormat="1" ht="12" hidden="1" customHeight="1">
      <c r="A3888" s="198"/>
    </row>
    <row r="3889" spans="1:1" s="199" customFormat="1" ht="12" hidden="1" customHeight="1">
      <c r="A3889" s="198"/>
    </row>
    <row r="3890" spans="1:1" s="199" customFormat="1" ht="12" hidden="1" customHeight="1">
      <c r="A3890" s="198"/>
    </row>
    <row r="3891" spans="1:1" s="199" customFormat="1" ht="12" hidden="1" customHeight="1">
      <c r="A3891" s="198"/>
    </row>
    <row r="3892" spans="1:1" s="199" customFormat="1" ht="12" hidden="1" customHeight="1">
      <c r="A3892" s="198"/>
    </row>
    <row r="3893" spans="1:1" s="199" customFormat="1" ht="12" hidden="1" customHeight="1">
      <c r="A3893" s="198"/>
    </row>
    <row r="3894" spans="1:1" s="199" customFormat="1" ht="12" hidden="1" customHeight="1">
      <c r="A3894" s="198"/>
    </row>
    <row r="3895" spans="1:1" s="199" customFormat="1" ht="12" hidden="1" customHeight="1">
      <c r="A3895" s="198"/>
    </row>
    <row r="3896" spans="1:1" s="199" customFormat="1" ht="12" hidden="1" customHeight="1">
      <c r="A3896" s="198"/>
    </row>
    <row r="3897" spans="1:1" s="199" customFormat="1" ht="12" hidden="1" customHeight="1">
      <c r="A3897" s="198"/>
    </row>
    <row r="3898" spans="1:1" s="199" customFormat="1" ht="12" hidden="1" customHeight="1">
      <c r="A3898" s="198"/>
    </row>
    <row r="3899" spans="1:1" s="199" customFormat="1" ht="12" hidden="1" customHeight="1">
      <c r="A3899" s="198"/>
    </row>
    <row r="3900" spans="1:1" s="199" customFormat="1" ht="12" hidden="1" customHeight="1">
      <c r="A3900" s="198"/>
    </row>
    <row r="3901" spans="1:1" s="199" customFormat="1" ht="12" hidden="1" customHeight="1">
      <c r="A3901" s="198"/>
    </row>
    <row r="3902" spans="1:1" s="199" customFormat="1" ht="12" hidden="1" customHeight="1">
      <c r="A3902" s="198"/>
    </row>
    <row r="3903" spans="1:1" s="199" customFormat="1" ht="12" hidden="1" customHeight="1">
      <c r="A3903" s="198"/>
    </row>
    <row r="3904" spans="1:1" s="199" customFormat="1" ht="12" hidden="1" customHeight="1">
      <c r="A3904" s="198"/>
    </row>
    <row r="3905" spans="1:1" s="199" customFormat="1" ht="12" hidden="1" customHeight="1">
      <c r="A3905" s="198"/>
    </row>
    <row r="3906" spans="1:1" s="199" customFormat="1" ht="12" hidden="1" customHeight="1">
      <c r="A3906" s="198"/>
    </row>
    <row r="3907" spans="1:1" s="199" customFormat="1" ht="12" hidden="1" customHeight="1">
      <c r="A3907" s="198"/>
    </row>
    <row r="3908" spans="1:1" s="199" customFormat="1" ht="12" hidden="1" customHeight="1">
      <c r="A3908" s="198"/>
    </row>
    <row r="3909" spans="1:1" s="199" customFormat="1" ht="12" hidden="1" customHeight="1">
      <c r="A3909" s="198"/>
    </row>
    <row r="3910" spans="1:1" s="199" customFormat="1" ht="12" hidden="1" customHeight="1">
      <c r="A3910" s="198"/>
    </row>
    <row r="3911" spans="1:1" s="199" customFormat="1" ht="12" hidden="1" customHeight="1">
      <c r="A3911" s="198"/>
    </row>
    <row r="3912" spans="1:1" s="199" customFormat="1" ht="12" hidden="1" customHeight="1">
      <c r="A3912" s="198"/>
    </row>
    <row r="3913" spans="1:1" s="199" customFormat="1" ht="12" hidden="1" customHeight="1">
      <c r="A3913" s="198"/>
    </row>
    <row r="3914" spans="1:1" s="199" customFormat="1" ht="12" hidden="1" customHeight="1">
      <c r="A3914" s="198"/>
    </row>
    <row r="3915" spans="1:1" s="199" customFormat="1" ht="12" hidden="1" customHeight="1">
      <c r="A3915" s="198"/>
    </row>
    <row r="3916" spans="1:1" s="199" customFormat="1" ht="12" hidden="1" customHeight="1">
      <c r="A3916" s="198"/>
    </row>
    <row r="3917" spans="1:1" s="199" customFormat="1" ht="12" hidden="1" customHeight="1">
      <c r="A3917" s="198"/>
    </row>
    <row r="3918" spans="1:1" s="199" customFormat="1" ht="12" hidden="1" customHeight="1">
      <c r="A3918" s="198"/>
    </row>
    <row r="3919" spans="1:1" s="199" customFormat="1" ht="12" hidden="1" customHeight="1">
      <c r="A3919" s="198"/>
    </row>
    <row r="3920" spans="1:1" s="199" customFormat="1" ht="12" hidden="1" customHeight="1">
      <c r="A3920" s="198"/>
    </row>
    <row r="3921" spans="1:1" s="199" customFormat="1" ht="12" hidden="1" customHeight="1">
      <c r="A3921" s="198"/>
    </row>
    <row r="3922" spans="1:1" s="199" customFormat="1" ht="12" hidden="1" customHeight="1">
      <c r="A3922" s="198"/>
    </row>
    <row r="3923" spans="1:1" s="199" customFormat="1" ht="12" hidden="1" customHeight="1">
      <c r="A3923" s="198"/>
    </row>
    <row r="3924" spans="1:1" s="199" customFormat="1" ht="12" hidden="1" customHeight="1">
      <c r="A3924" s="198"/>
    </row>
    <row r="3925" spans="1:1" s="199" customFormat="1" ht="12" hidden="1" customHeight="1">
      <c r="A3925" s="198"/>
    </row>
    <row r="3926" spans="1:1" s="199" customFormat="1" ht="12" hidden="1" customHeight="1">
      <c r="A3926" s="198"/>
    </row>
    <row r="3927" spans="1:1" s="199" customFormat="1" ht="12" hidden="1" customHeight="1">
      <c r="A3927" s="198"/>
    </row>
    <row r="3928" spans="1:1" s="199" customFormat="1" ht="12" hidden="1" customHeight="1">
      <c r="A3928" s="198"/>
    </row>
    <row r="3929" spans="1:1" s="199" customFormat="1" ht="12" hidden="1" customHeight="1">
      <c r="A3929" s="198"/>
    </row>
    <row r="3930" spans="1:1" s="199" customFormat="1" ht="12" hidden="1" customHeight="1">
      <c r="A3930" s="198"/>
    </row>
    <row r="3931" spans="1:1" s="199" customFormat="1" ht="12" hidden="1" customHeight="1">
      <c r="A3931" s="198"/>
    </row>
    <row r="3932" spans="1:1" s="199" customFormat="1" ht="12" hidden="1" customHeight="1">
      <c r="A3932" s="198"/>
    </row>
    <row r="3933" spans="1:1" s="199" customFormat="1" ht="12" hidden="1" customHeight="1">
      <c r="A3933" s="198"/>
    </row>
    <row r="3934" spans="1:1" s="199" customFormat="1" ht="12" hidden="1" customHeight="1">
      <c r="A3934" s="198"/>
    </row>
    <row r="3935" spans="1:1" s="199" customFormat="1" ht="12" hidden="1" customHeight="1">
      <c r="A3935" s="198"/>
    </row>
    <row r="3936" spans="1:1" s="199" customFormat="1" ht="12" hidden="1" customHeight="1">
      <c r="A3936" s="198"/>
    </row>
    <row r="3937" spans="1:1" s="199" customFormat="1" ht="12" hidden="1" customHeight="1">
      <c r="A3937" s="198"/>
    </row>
    <row r="3938" spans="1:1" s="199" customFormat="1" ht="12" hidden="1" customHeight="1">
      <c r="A3938" s="198"/>
    </row>
    <row r="3939" spans="1:1" s="199" customFormat="1" ht="12" hidden="1" customHeight="1">
      <c r="A3939" s="198"/>
    </row>
    <row r="3940" spans="1:1" s="199" customFormat="1" ht="12" hidden="1" customHeight="1">
      <c r="A3940" s="198"/>
    </row>
    <row r="3941" spans="1:1" s="199" customFormat="1" ht="12" hidden="1" customHeight="1">
      <c r="A3941" s="198"/>
    </row>
    <row r="3942" spans="1:1" s="199" customFormat="1" ht="12" hidden="1" customHeight="1">
      <c r="A3942" s="198"/>
    </row>
    <row r="3943" spans="1:1" s="199" customFormat="1" ht="12" hidden="1" customHeight="1">
      <c r="A3943" s="198"/>
    </row>
    <row r="3944" spans="1:1" s="199" customFormat="1" ht="12" hidden="1" customHeight="1">
      <c r="A3944" s="198"/>
    </row>
    <row r="3945" spans="1:1" s="199" customFormat="1" ht="12" hidden="1" customHeight="1">
      <c r="A3945" s="198"/>
    </row>
    <row r="3946" spans="1:1" s="199" customFormat="1" ht="12" hidden="1" customHeight="1">
      <c r="A3946" s="198"/>
    </row>
    <row r="3947" spans="1:1" s="199" customFormat="1" ht="12" hidden="1" customHeight="1">
      <c r="A3947" s="198"/>
    </row>
    <row r="3948" spans="1:1" s="199" customFormat="1" ht="12" hidden="1" customHeight="1">
      <c r="A3948" s="198"/>
    </row>
    <row r="3949" spans="1:1" s="199" customFormat="1" ht="12" hidden="1" customHeight="1">
      <c r="A3949" s="198"/>
    </row>
    <row r="3950" spans="1:1" s="199" customFormat="1" ht="12" hidden="1" customHeight="1">
      <c r="A3950" s="198"/>
    </row>
    <row r="3951" spans="1:1" s="199" customFormat="1" ht="12" hidden="1" customHeight="1">
      <c r="A3951" s="198"/>
    </row>
    <row r="3952" spans="1:1" s="199" customFormat="1" ht="12" hidden="1" customHeight="1">
      <c r="A3952" s="198"/>
    </row>
    <row r="3953" spans="1:1" s="199" customFormat="1" ht="12" hidden="1" customHeight="1">
      <c r="A3953" s="198"/>
    </row>
    <row r="3954" spans="1:1" s="199" customFormat="1" ht="12" hidden="1" customHeight="1">
      <c r="A3954" s="198"/>
    </row>
    <row r="3955" spans="1:1" s="199" customFormat="1" ht="12" hidden="1" customHeight="1">
      <c r="A3955" s="198"/>
    </row>
    <row r="3956" spans="1:1" s="199" customFormat="1" ht="12" hidden="1" customHeight="1">
      <c r="A3956" s="198"/>
    </row>
    <row r="3957" spans="1:1" s="199" customFormat="1" ht="12" hidden="1" customHeight="1">
      <c r="A3957" s="198"/>
    </row>
    <row r="3958" spans="1:1" s="199" customFormat="1" ht="12" hidden="1" customHeight="1">
      <c r="A3958" s="198"/>
    </row>
    <row r="3959" spans="1:1" s="199" customFormat="1" ht="12" hidden="1" customHeight="1">
      <c r="A3959" s="198"/>
    </row>
    <row r="3960" spans="1:1" s="199" customFormat="1" ht="12" hidden="1" customHeight="1">
      <c r="A3960" s="198"/>
    </row>
    <row r="3961" spans="1:1" s="199" customFormat="1" ht="12" hidden="1" customHeight="1">
      <c r="A3961" s="198"/>
    </row>
    <row r="3962" spans="1:1" s="199" customFormat="1" ht="12" hidden="1" customHeight="1">
      <c r="A3962" s="198"/>
    </row>
    <row r="3963" spans="1:1" s="199" customFormat="1" ht="12" hidden="1" customHeight="1">
      <c r="A3963" s="198"/>
    </row>
    <row r="3964" spans="1:1" s="199" customFormat="1" ht="12" hidden="1" customHeight="1">
      <c r="A3964" s="198"/>
    </row>
    <row r="3965" spans="1:1" s="199" customFormat="1" ht="12" hidden="1" customHeight="1">
      <c r="A3965" s="198"/>
    </row>
    <row r="3966" spans="1:1" s="199" customFormat="1" ht="12" hidden="1" customHeight="1">
      <c r="A3966" s="198"/>
    </row>
    <row r="3967" spans="1:1" s="199" customFormat="1" ht="12" hidden="1" customHeight="1">
      <c r="A3967" s="198"/>
    </row>
    <row r="3968" spans="1:1" s="199" customFormat="1" ht="12" hidden="1" customHeight="1">
      <c r="A3968" s="198"/>
    </row>
    <row r="3969" spans="1:1" s="199" customFormat="1" ht="12" hidden="1" customHeight="1">
      <c r="A3969" s="198"/>
    </row>
    <row r="3970" spans="1:1" s="199" customFormat="1" ht="12" hidden="1" customHeight="1">
      <c r="A3970" s="198"/>
    </row>
    <row r="3971" spans="1:1" s="199" customFormat="1" ht="12" hidden="1" customHeight="1">
      <c r="A3971" s="198"/>
    </row>
    <row r="3972" spans="1:1" s="199" customFormat="1" ht="12" hidden="1" customHeight="1">
      <c r="A3972" s="198"/>
    </row>
    <row r="3973" spans="1:1" s="199" customFormat="1" ht="12" hidden="1" customHeight="1">
      <c r="A3973" s="198"/>
    </row>
    <row r="3974" spans="1:1" s="199" customFormat="1" ht="12" hidden="1" customHeight="1">
      <c r="A3974" s="198"/>
    </row>
    <row r="3975" spans="1:1" s="199" customFormat="1" ht="12" hidden="1" customHeight="1">
      <c r="A3975" s="198"/>
    </row>
    <row r="3976" spans="1:1" s="199" customFormat="1" ht="12" hidden="1" customHeight="1">
      <c r="A3976" s="198"/>
    </row>
    <row r="3977" spans="1:1" s="199" customFormat="1" ht="12" hidden="1" customHeight="1">
      <c r="A3977" s="198"/>
    </row>
    <row r="3978" spans="1:1" s="199" customFormat="1" ht="12" hidden="1" customHeight="1">
      <c r="A3978" s="198"/>
    </row>
    <row r="3979" spans="1:1" s="199" customFormat="1" ht="12" hidden="1" customHeight="1">
      <c r="A3979" s="198"/>
    </row>
    <row r="3980" spans="1:1" s="199" customFormat="1" ht="12" hidden="1" customHeight="1">
      <c r="A3980" s="198"/>
    </row>
    <row r="3981" spans="1:1" s="199" customFormat="1" ht="12" hidden="1" customHeight="1">
      <c r="A3981" s="198"/>
    </row>
    <row r="3982" spans="1:1" s="199" customFormat="1" ht="12" hidden="1" customHeight="1">
      <c r="A3982" s="198"/>
    </row>
    <row r="3983" spans="1:1" s="199" customFormat="1" ht="12" hidden="1" customHeight="1">
      <c r="A3983" s="198"/>
    </row>
    <row r="3984" spans="1:1" s="199" customFormat="1" ht="12" hidden="1" customHeight="1">
      <c r="A3984" s="198"/>
    </row>
    <row r="3985" spans="1:1" s="199" customFormat="1" ht="12" hidden="1" customHeight="1">
      <c r="A3985" s="198"/>
    </row>
    <row r="3986" spans="1:1" s="199" customFormat="1" ht="12" hidden="1" customHeight="1">
      <c r="A3986" s="198"/>
    </row>
    <row r="3987" spans="1:1" s="199" customFormat="1" ht="12" hidden="1" customHeight="1">
      <c r="A3987" s="198"/>
    </row>
    <row r="3988" spans="1:1" s="199" customFormat="1" ht="12" hidden="1" customHeight="1">
      <c r="A3988" s="198"/>
    </row>
    <row r="3989" spans="1:1" s="199" customFormat="1" ht="12" hidden="1" customHeight="1">
      <c r="A3989" s="198"/>
    </row>
    <row r="3990" spans="1:1" s="199" customFormat="1" ht="12" hidden="1" customHeight="1">
      <c r="A3990" s="198"/>
    </row>
    <row r="3991" spans="1:1" s="199" customFormat="1" ht="12" hidden="1" customHeight="1">
      <c r="A3991" s="198"/>
    </row>
    <row r="3992" spans="1:1" s="199" customFormat="1" ht="12" hidden="1" customHeight="1">
      <c r="A3992" s="198"/>
    </row>
    <row r="3993" spans="1:1" s="199" customFormat="1" ht="12" hidden="1" customHeight="1">
      <c r="A3993" s="198"/>
    </row>
    <row r="3994" spans="1:1" s="199" customFormat="1" ht="12" hidden="1" customHeight="1">
      <c r="A3994" s="198"/>
    </row>
    <row r="3995" spans="1:1" s="199" customFormat="1" ht="12" hidden="1" customHeight="1">
      <c r="A3995" s="198"/>
    </row>
    <row r="3996" spans="1:1" s="199" customFormat="1" ht="12" hidden="1" customHeight="1">
      <c r="A3996" s="198"/>
    </row>
    <row r="3997" spans="1:1" s="199" customFormat="1" ht="12" hidden="1" customHeight="1">
      <c r="A3997" s="198"/>
    </row>
    <row r="3998" spans="1:1" s="199" customFormat="1" ht="12" hidden="1" customHeight="1">
      <c r="A3998" s="198"/>
    </row>
    <row r="3999" spans="1:1" s="199" customFormat="1" ht="12" hidden="1" customHeight="1">
      <c r="A3999" s="198"/>
    </row>
    <row r="4000" spans="1:1" s="199" customFormat="1" ht="12" hidden="1" customHeight="1">
      <c r="A4000" s="198"/>
    </row>
    <row r="4001" spans="1:1" s="199" customFormat="1" ht="12" hidden="1" customHeight="1">
      <c r="A4001" s="198"/>
    </row>
    <row r="4002" spans="1:1" s="199" customFormat="1" ht="12" hidden="1" customHeight="1">
      <c r="A4002" s="198"/>
    </row>
    <row r="4003" spans="1:1" s="199" customFormat="1" ht="12" hidden="1" customHeight="1">
      <c r="A4003" s="198"/>
    </row>
    <row r="4004" spans="1:1" s="199" customFormat="1" ht="12" hidden="1" customHeight="1">
      <c r="A4004" s="198"/>
    </row>
    <row r="4005" spans="1:1" s="199" customFormat="1" ht="12" hidden="1" customHeight="1">
      <c r="A4005" s="198"/>
    </row>
    <row r="4006" spans="1:1" s="199" customFormat="1" ht="12" hidden="1" customHeight="1">
      <c r="A4006" s="198"/>
    </row>
    <row r="4007" spans="1:1" s="199" customFormat="1" ht="12" hidden="1" customHeight="1">
      <c r="A4007" s="198"/>
    </row>
    <row r="4008" spans="1:1" s="199" customFormat="1" ht="12" hidden="1" customHeight="1">
      <c r="A4008" s="198"/>
    </row>
    <row r="4009" spans="1:1" s="199" customFormat="1" ht="12" hidden="1" customHeight="1">
      <c r="A4009" s="198"/>
    </row>
    <row r="4010" spans="1:1" s="199" customFormat="1" ht="12" hidden="1" customHeight="1">
      <c r="A4010" s="198"/>
    </row>
    <row r="4011" spans="1:1" s="199" customFormat="1" ht="12" hidden="1" customHeight="1">
      <c r="A4011" s="198"/>
    </row>
    <row r="4012" spans="1:1" s="199" customFormat="1" ht="12" hidden="1" customHeight="1">
      <c r="A4012" s="198"/>
    </row>
    <row r="4013" spans="1:1" s="199" customFormat="1" ht="12" hidden="1" customHeight="1">
      <c r="A4013" s="198"/>
    </row>
    <row r="4014" spans="1:1" s="199" customFormat="1" ht="12" hidden="1" customHeight="1">
      <c r="A4014" s="198"/>
    </row>
    <row r="4015" spans="1:1" s="199" customFormat="1" ht="12" hidden="1" customHeight="1">
      <c r="A4015" s="198"/>
    </row>
    <row r="4016" spans="1:1" s="199" customFormat="1" ht="12" hidden="1" customHeight="1">
      <c r="A4016" s="198"/>
    </row>
    <row r="4017" spans="1:1" s="199" customFormat="1" ht="12" hidden="1" customHeight="1">
      <c r="A4017" s="198"/>
    </row>
    <row r="4018" spans="1:1" s="199" customFormat="1" ht="12" hidden="1" customHeight="1">
      <c r="A4018" s="198"/>
    </row>
    <row r="4019" spans="1:1" s="199" customFormat="1" ht="12" hidden="1" customHeight="1">
      <c r="A4019" s="198"/>
    </row>
    <row r="4020" spans="1:1" s="199" customFormat="1" ht="12" hidden="1" customHeight="1">
      <c r="A4020" s="198"/>
    </row>
    <row r="4021" spans="1:1" s="199" customFormat="1" ht="12" hidden="1" customHeight="1">
      <c r="A4021" s="198"/>
    </row>
    <row r="4022" spans="1:1" s="199" customFormat="1" ht="12" hidden="1" customHeight="1">
      <c r="A4022" s="198"/>
    </row>
    <row r="4023" spans="1:1" s="199" customFormat="1" ht="12" hidden="1" customHeight="1">
      <c r="A4023" s="198"/>
    </row>
    <row r="4024" spans="1:1" s="199" customFormat="1" ht="12" hidden="1" customHeight="1">
      <c r="A4024" s="198"/>
    </row>
    <row r="4025" spans="1:1" s="199" customFormat="1" ht="12" hidden="1" customHeight="1">
      <c r="A4025" s="198"/>
    </row>
    <row r="4026" spans="1:1" s="199" customFormat="1" ht="12" hidden="1" customHeight="1">
      <c r="A4026" s="198"/>
    </row>
    <row r="4027" spans="1:1" s="199" customFormat="1" ht="12" hidden="1" customHeight="1">
      <c r="A4027" s="198"/>
    </row>
    <row r="4028" spans="1:1" s="199" customFormat="1" ht="12" hidden="1" customHeight="1">
      <c r="A4028" s="198"/>
    </row>
    <row r="4029" spans="1:1" s="199" customFormat="1" ht="12" hidden="1" customHeight="1">
      <c r="A4029" s="198"/>
    </row>
    <row r="4030" spans="1:1" s="199" customFormat="1" ht="12" hidden="1" customHeight="1">
      <c r="A4030" s="198"/>
    </row>
    <row r="4031" spans="1:1" s="199" customFormat="1" ht="12" hidden="1" customHeight="1">
      <c r="A4031" s="198"/>
    </row>
    <row r="4032" spans="1:1" s="199" customFormat="1" ht="12" hidden="1" customHeight="1">
      <c r="A4032" s="198"/>
    </row>
    <row r="4033" spans="1:1" s="199" customFormat="1" ht="12" hidden="1" customHeight="1">
      <c r="A4033" s="198"/>
    </row>
    <row r="4034" spans="1:1" s="199" customFormat="1" ht="12" hidden="1" customHeight="1">
      <c r="A4034" s="198"/>
    </row>
    <row r="4035" spans="1:1" s="199" customFormat="1" ht="12" hidden="1" customHeight="1">
      <c r="A4035" s="198"/>
    </row>
    <row r="4036" spans="1:1" s="199" customFormat="1" ht="12" hidden="1" customHeight="1">
      <c r="A4036" s="198"/>
    </row>
    <row r="4037" spans="1:1" s="199" customFormat="1" ht="12" hidden="1" customHeight="1">
      <c r="A4037" s="198"/>
    </row>
    <row r="4038" spans="1:1" s="199" customFormat="1" ht="12" hidden="1" customHeight="1">
      <c r="A4038" s="198"/>
    </row>
    <row r="4039" spans="1:1" s="199" customFormat="1" ht="12" hidden="1" customHeight="1">
      <c r="A4039" s="198"/>
    </row>
    <row r="4040" spans="1:1" s="199" customFormat="1" ht="12" hidden="1" customHeight="1">
      <c r="A4040" s="198"/>
    </row>
    <row r="4041" spans="1:1" s="199" customFormat="1" ht="12" hidden="1" customHeight="1">
      <c r="A4041" s="198"/>
    </row>
    <row r="4042" spans="1:1" s="199" customFormat="1" ht="12" hidden="1" customHeight="1">
      <c r="A4042" s="198"/>
    </row>
    <row r="4043" spans="1:1" s="199" customFormat="1" ht="12" hidden="1" customHeight="1">
      <c r="A4043" s="198"/>
    </row>
    <row r="4044" spans="1:1" s="199" customFormat="1" ht="12" hidden="1" customHeight="1">
      <c r="A4044" s="198"/>
    </row>
    <row r="4045" spans="1:1" s="199" customFormat="1" ht="12" hidden="1" customHeight="1">
      <c r="A4045" s="198"/>
    </row>
    <row r="4046" spans="1:1" s="199" customFormat="1" ht="12" hidden="1" customHeight="1">
      <c r="A4046" s="198"/>
    </row>
    <row r="4047" spans="1:1" s="199" customFormat="1" ht="12" hidden="1" customHeight="1">
      <c r="A4047" s="198"/>
    </row>
    <row r="4048" spans="1:1" s="199" customFormat="1" ht="12" hidden="1" customHeight="1">
      <c r="A4048" s="198"/>
    </row>
    <row r="4049" spans="1:1" s="199" customFormat="1" ht="12" hidden="1" customHeight="1">
      <c r="A4049" s="198"/>
    </row>
    <row r="4050" spans="1:1" s="199" customFormat="1" ht="12" hidden="1" customHeight="1">
      <c r="A4050" s="198"/>
    </row>
    <row r="4051" spans="1:1" s="199" customFormat="1" ht="12" hidden="1" customHeight="1">
      <c r="A4051" s="198"/>
    </row>
    <row r="4052" spans="1:1" s="199" customFormat="1" ht="12" hidden="1" customHeight="1">
      <c r="A4052" s="198"/>
    </row>
    <row r="4053" spans="1:1" s="199" customFormat="1" ht="12" hidden="1" customHeight="1">
      <c r="A4053" s="198"/>
    </row>
    <row r="4054" spans="1:1" s="199" customFormat="1" ht="12" hidden="1" customHeight="1">
      <c r="A4054" s="198"/>
    </row>
    <row r="4055" spans="1:1" s="199" customFormat="1" ht="12" hidden="1" customHeight="1">
      <c r="A4055" s="198"/>
    </row>
    <row r="4056" spans="1:1" s="199" customFormat="1" ht="12" hidden="1" customHeight="1">
      <c r="A4056" s="198"/>
    </row>
    <row r="4057" spans="1:1" s="199" customFormat="1" ht="12" hidden="1" customHeight="1">
      <c r="A4057" s="198"/>
    </row>
    <row r="4058" spans="1:1" s="199" customFormat="1" ht="12" hidden="1" customHeight="1">
      <c r="A4058" s="198"/>
    </row>
    <row r="4059" spans="1:1" s="199" customFormat="1" ht="12" hidden="1" customHeight="1">
      <c r="A4059" s="198"/>
    </row>
    <row r="4060" spans="1:1" s="199" customFormat="1" ht="12" hidden="1" customHeight="1">
      <c r="A4060" s="198"/>
    </row>
    <row r="4061" spans="1:1" s="199" customFormat="1" ht="12" hidden="1" customHeight="1">
      <c r="A4061" s="198"/>
    </row>
    <row r="4062" spans="1:1" s="199" customFormat="1" ht="12" hidden="1" customHeight="1">
      <c r="A4062" s="198"/>
    </row>
    <row r="4063" spans="1:1" s="199" customFormat="1" ht="12" hidden="1" customHeight="1">
      <c r="A4063" s="198"/>
    </row>
    <row r="4064" spans="1:1" s="199" customFormat="1" ht="12" hidden="1" customHeight="1">
      <c r="A4064" s="198"/>
    </row>
    <row r="4065" spans="1:1" s="199" customFormat="1" ht="12" hidden="1" customHeight="1">
      <c r="A4065" s="198"/>
    </row>
    <row r="4066" spans="1:1" s="199" customFormat="1" ht="12" hidden="1" customHeight="1">
      <c r="A4066" s="198"/>
    </row>
    <row r="4067" spans="1:1" s="199" customFormat="1" ht="12" hidden="1" customHeight="1">
      <c r="A4067" s="198"/>
    </row>
    <row r="4068" spans="1:1" s="199" customFormat="1" ht="12" hidden="1" customHeight="1">
      <c r="A4068" s="198"/>
    </row>
    <row r="4069" spans="1:1" s="199" customFormat="1" ht="12" hidden="1" customHeight="1">
      <c r="A4069" s="198"/>
    </row>
    <row r="4070" spans="1:1" s="199" customFormat="1" ht="12" hidden="1" customHeight="1">
      <c r="A4070" s="198"/>
    </row>
    <row r="4071" spans="1:1" s="199" customFormat="1" ht="12" hidden="1" customHeight="1">
      <c r="A4071" s="198"/>
    </row>
    <row r="4072" spans="1:1" s="199" customFormat="1" ht="12" hidden="1" customHeight="1">
      <c r="A4072" s="198"/>
    </row>
    <row r="4073" spans="1:1" s="199" customFormat="1" ht="12" hidden="1" customHeight="1">
      <c r="A4073" s="198"/>
    </row>
    <row r="4074" spans="1:1" s="199" customFormat="1" ht="12" hidden="1" customHeight="1">
      <c r="A4074" s="198"/>
    </row>
    <row r="4075" spans="1:1" s="199" customFormat="1" ht="12" hidden="1" customHeight="1">
      <c r="A4075" s="198"/>
    </row>
    <row r="4076" spans="1:1" s="199" customFormat="1" ht="12" hidden="1" customHeight="1">
      <c r="A4076" s="198"/>
    </row>
    <row r="4077" spans="1:1" s="199" customFormat="1" ht="12" hidden="1" customHeight="1">
      <c r="A4077" s="198"/>
    </row>
    <row r="4078" spans="1:1" s="199" customFormat="1" ht="12" hidden="1" customHeight="1">
      <c r="A4078" s="198"/>
    </row>
    <row r="4079" spans="1:1" s="199" customFormat="1" ht="12" hidden="1" customHeight="1">
      <c r="A4079" s="198"/>
    </row>
    <row r="4080" spans="1:1" s="199" customFormat="1" ht="12" hidden="1" customHeight="1">
      <c r="A4080" s="198"/>
    </row>
    <row r="4081" spans="1:1" s="199" customFormat="1" ht="12" hidden="1" customHeight="1">
      <c r="A4081" s="198"/>
    </row>
    <row r="4082" spans="1:1" s="199" customFormat="1" ht="12" hidden="1" customHeight="1">
      <c r="A4082" s="198"/>
    </row>
    <row r="4083" spans="1:1" s="199" customFormat="1" ht="12" hidden="1" customHeight="1">
      <c r="A4083" s="198"/>
    </row>
    <row r="4084" spans="1:1" s="199" customFormat="1" ht="12" hidden="1" customHeight="1">
      <c r="A4084" s="198"/>
    </row>
    <row r="4085" spans="1:1" s="199" customFormat="1" ht="12" hidden="1" customHeight="1">
      <c r="A4085" s="198"/>
    </row>
    <row r="4086" spans="1:1" s="199" customFormat="1" ht="12" hidden="1" customHeight="1">
      <c r="A4086" s="198"/>
    </row>
    <row r="4087" spans="1:1" s="199" customFormat="1" ht="12" hidden="1" customHeight="1">
      <c r="A4087" s="198"/>
    </row>
    <row r="4088" spans="1:1" s="199" customFormat="1" ht="12" hidden="1" customHeight="1">
      <c r="A4088" s="198"/>
    </row>
    <row r="4089" spans="1:1" s="199" customFormat="1" ht="12" hidden="1" customHeight="1">
      <c r="A4089" s="198"/>
    </row>
    <row r="4090" spans="1:1" s="199" customFormat="1" ht="12" hidden="1" customHeight="1">
      <c r="A4090" s="198"/>
    </row>
    <row r="4091" spans="1:1" s="199" customFormat="1" ht="12" hidden="1" customHeight="1">
      <c r="A4091" s="198"/>
    </row>
    <row r="4092" spans="1:1" s="199" customFormat="1" ht="12" hidden="1" customHeight="1">
      <c r="A4092" s="198"/>
    </row>
    <row r="4093" spans="1:1" s="199" customFormat="1" ht="12" hidden="1" customHeight="1">
      <c r="A4093" s="198"/>
    </row>
    <row r="4094" spans="1:1" s="199" customFormat="1" ht="12" hidden="1" customHeight="1">
      <c r="A4094" s="198"/>
    </row>
    <row r="4095" spans="1:1" s="199" customFormat="1" ht="12" hidden="1" customHeight="1">
      <c r="A4095" s="198"/>
    </row>
    <row r="4096" spans="1:1" s="199" customFormat="1" ht="12" hidden="1" customHeight="1">
      <c r="A4096" s="198"/>
    </row>
    <row r="4097" spans="1:1" s="199" customFormat="1" ht="12" hidden="1" customHeight="1">
      <c r="A4097" s="198"/>
    </row>
    <row r="4098" spans="1:1" s="199" customFormat="1" ht="12" hidden="1" customHeight="1">
      <c r="A4098" s="198"/>
    </row>
    <row r="4099" spans="1:1" s="199" customFormat="1" ht="12" hidden="1" customHeight="1">
      <c r="A4099" s="198"/>
    </row>
    <row r="4100" spans="1:1" s="199" customFormat="1" ht="12" hidden="1" customHeight="1">
      <c r="A4100" s="198"/>
    </row>
    <row r="4101" spans="1:1" s="199" customFormat="1" ht="12" hidden="1" customHeight="1">
      <c r="A4101" s="198"/>
    </row>
    <row r="4102" spans="1:1" s="199" customFormat="1" ht="12" hidden="1" customHeight="1">
      <c r="A4102" s="198"/>
    </row>
    <row r="4103" spans="1:1" s="199" customFormat="1" ht="12" hidden="1" customHeight="1">
      <c r="A4103" s="198"/>
    </row>
    <row r="4104" spans="1:1" s="199" customFormat="1" ht="12" hidden="1" customHeight="1">
      <c r="A4104" s="198"/>
    </row>
    <row r="4105" spans="1:1" s="199" customFormat="1" ht="12" hidden="1" customHeight="1">
      <c r="A4105" s="198"/>
    </row>
    <row r="4106" spans="1:1" s="199" customFormat="1" ht="12" hidden="1" customHeight="1">
      <c r="A4106" s="198"/>
    </row>
    <row r="4107" spans="1:1" s="199" customFormat="1" ht="12" hidden="1" customHeight="1">
      <c r="A4107" s="198"/>
    </row>
    <row r="4108" spans="1:1" s="199" customFormat="1" ht="12" hidden="1" customHeight="1">
      <c r="A4108" s="198"/>
    </row>
    <row r="4109" spans="1:1" s="199" customFormat="1" ht="12" hidden="1" customHeight="1">
      <c r="A4109" s="198"/>
    </row>
    <row r="4110" spans="1:1" s="199" customFormat="1" ht="12" hidden="1" customHeight="1">
      <c r="A4110" s="198"/>
    </row>
    <row r="4111" spans="1:1" s="199" customFormat="1" ht="12" hidden="1" customHeight="1">
      <c r="A4111" s="198"/>
    </row>
    <row r="4112" spans="1:1" s="199" customFormat="1" ht="12" hidden="1" customHeight="1">
      <c r="A4112" s="198"/>
    </row>
    <row r="4113" spans="1:1" s="199" customFormat="1" ht="12" hidden="1" customHeight="1">
      <c r="A4113" s="198"/>
    </row>
    <row r="4114" spans="1:1" s="199" customFormat="1" ht="12" hidden="1" customHeight="1">
      <c r="A4114" s="198"/>
    </row>
    <row r="4115" spans="1:1" s="199" customFormat="1" ht="12" hidden="1" customHeight="1">
      <c r="A4115" s="198"/>
    </row>
    <row r="4116" spans="1:1" s="199" customFormat="1" ht="12" hidden="1" customHeight="1">
      <c r="A4116" s="198"/>
    </row>
    <row r="4117" spans="1:1" s="199" customFormat="1" ht="12" hidden="1" customHeight="1">
      <c r="A4117" s="198"/>
    </row>
    <row r="4118" spans="1:1" s="199" customFormat="1" ht="12" hidden="1" customHeight="1">
      <c r="A4118" s="198"/>
    </row>
    <row r="4119" spans="1:1" s="199" customFormat="1" ht="12" hidden="1" customHeight="1">
      <c r="A4119" s="198"/>
    </row>
    <row r="4120" spans="1:1" s="199" customFormat="1" ht="12" hidden="1" customHeight="1">
      <c r="A4120" s="198"/>
    </row>
    <row r="4121" spans="1:1" s="199" customFormat="1" ht="12" hidden="1" customHeight="1">
      <c r="A4121" s="198"/>
    </row>
    <row r="4122" spans="1:1" s="199" customFormat="1" ht="12" hidden="1" customHeight="1">
      <c r="A4122" s="198"/>
    </row>
    <row r="4123" spans="1:1" s="199" customFormat="1" ht="12" hidden="1" customHeight="1">
      <c r="A4123" s="198"/>
    </row>
    <row r="4124" spans="1:1" s="199" customFormat="1" ht="12" hidden="1" customHeight="1">
      <c r="A4124" s="198"/>
    </row>
    <row r="4125" spans="1:1" s="199" customFormat="1" ht="12" hidden="1" customHeight="1">
      <c r="A4125" s="198"/>
    </row>
    <row r="4126" spans="1:1" s="199" customFormat="1" ht="12" hidden="1" customHeight="1">
      <c r="A4126" s="198"/>
    </row>
    <row r="4127" spans="1:1" s="199" customFormat="1" ht="12" hidden="1" customHeight="1">
      <c r="A4127" s="198"/>
    </row>
    <row r="4128" spans="1:1" s="199" customFormat="1" ht="12" hidden="1" customHeight="1">
      <c r="A4128" s="198"/>
    </row>
    <row r="4129" spans="1:1" s="199" customFormat="1" ht="12" hidden="1" customHeight="1">
      <c r="A4129" s="198"/>
    </row>
    <row r="4130" spans="1:1" s="199" customFormat="1" ht="12" hidden="1" customHeight="1">
      <c r="A4130" s="198"/>
    </row>
    <row r="4131" spans="1:1" s="199" customFormat="1" ht="12" hidden="1" customHeight="1">
      <c r="A4131" s="198"/>
    </row>
    <row r="4132" spans="1:1" s="199" customFormat="1" ht="12" hidden="1" customHeight="1">
      <c r="A4132" s="198"/>
    </row>
    <row r="4133" spans="1:1" s="199" customFormat="1" ht="12" hidden="1" customHeight="1">
      <c r="A4133" s="198"/>
    </row>
    <row r="4134" spans="1:1" s="199" customFormat="1" ht="12" hidden="1" customHeight="1">
      <c r="A4134" s="198"/>
    </row>
    <row r="4135" spans="1:1" s="199" customFormat="1" ht="12" hidden="1" customHeight="1">
      <c r="A4135" s="198"/>
    </row>
    <row r="4136" spans="1:1" s="199" customFormat="1" ht="12" hidden="1" customHeight="1">
      <c r="A4136" s="198"/>
    </row>
    <row r="4137" spans="1:1" s="199" customFormat="1" ht="12" hidden="1" customHeight="1">
      <c r="A4137" s="198"/>
    </row>
    <row r="4138" spans="1:1" s="199" customFormat="1" ht="12" hidden="1" customHeight="1">
      <c r="A4138" s="198"/>
    </row>
    <row r="4139" spans="1:1" s="199" customFormat="1" ht="12" hidden="1" customHeight="1">
      <c r="A4139" s="198"/>
    </row>
    <row r="4140" spans="1:1" s="199" customFormat="1" ht="12" hidden="1" customHeight="1">
      <c r="A4140" s="198"/>
    </row>
    <row r="4141" spans="1:1" s="199" customFormat="1" ht="12" hidden="1" customHeight="1">
      <c r="A4141" s="198"/>
    </row>
    <row r="4142" spans="1:1" s="199" customFormat="1" ht="12" hidden="1" customHeight="1">
      <c r="A4142" s="198"/>
    </row>
    <row r="4143" spans="1:1" s="199" customFormat="1" ht="12" hidden="1" customHeight="1">
      <c r="A4143" s="198"/>
    </row>
    <row r="4144" spans="1:1" s="199" customFormat="1" ht="12" hidden="1" customHeight="1">
      <c r="A4144" s="198"/>
    </row>
    <row r="4145" spans="1:1" s="199" customFormat="1" ht="12" hidden="1" customHeight="1">
      <c r="A4145" s="198"/>
    </row>
    <row r="4146" spans="1:1" s="199" customFormat="1" ht="12" hidden="1" customHeight="1">
      <c r="A4146" s="198"/>
    </row>
    <row r="4147" spans="1:1" s="199" customFormat="1" ht="12" hidden="1" customHeight="1">
      <c r="A4147" s="198"/>
    </row>
    <row r="4148" spans="1:1" s="199" customFormat="1" ht="12" hidden="1" customHeight="1">
      <c r="A4148" s="198"/>
    </row>
    <row r="4149" spans="1:1" s="199" customFormat="1" ht="12" hidden="1" customHeight="1">
      <c r="A4149" s="198"/>
    </row>
    <row r="4150" spans="1:1" s="199" customFormat="1" ht="12" hidden="1" customHeight="1">
      <c r="A4150" s="198"/>
    </row>
    <row r="4151" spans="1:1" s="199" customFormat="1" ht="12" hidden="1" customHeight="1">
      <c r="A4151" s="198"/>
    </row>
    <row r="4152" spans="1:1" s="199" customFormat="1" ht="12" hidden="1" customHeight="1">
      <c r="A4152" s="198"/>
    </row>
    <row r="4153" spans="1:1" s="199" customFormat="1" ht="12" hidden="1" customHeight="1">
      <c r="A4153" s="198"/>
    </row>
    <row r="4154" spans="1:1" s="199" customFormat="1" ht="12" hidden="1" customHeight="1">
      <c r="A4154" s="198"/>
    </row>
    <row r="4155" spans="1:1" s="199" customFormat="1" ht="12" hidden="1" customHeight="1">
      <c r="A4155" s="198"/>
    </row>
    <row r="4156" spans="1:1" s="199" customFormat="1" ht="12" hidden="1" customHeight="1">
      <c r="A4156" s="198"/>
    </row>
    <row r="4157" spans="1:1" s="199" customFormat="1" ht="12" hidden="1" customHeight="1">
      <c r="A4157" s="198"/>
    </row>
    <row r="4158" spans="1:1" s="199" customFormat="1" ht="12" hidden="1" customHeight="1">
      <c r="A4158" s="198"/>
    </row>
    <row r="4159" spans="1:1" s="199" customFormat="1" ht="12" hidden="1" customHeight="1">
      <c r="A4159" s="198"/>
    </row>
    <row r="4160" spans="1:1" s="199" customFormat="1" ht="12" hidden="1" customHeight="1">
      <c r="A4160" s="198"/>
    </row>
    <row r="4161" spans="1:1" s="199" customFormat="1" ht="12" hidden="1" customHeight="1">
      <c r="A4161" s="198"/>
    </row>
    <row r="4162" spans="1:1" s="199" customFormat="1" ht="12" hidden="1" customHeight="1">
      <c r="A4162" s="198"/>
    </row>
    <row r="4163" spans="1:1" s="199" customFormat="1" ht="12" hidden="1" customHeight="1">
      <c r="A4163" s="198"/>
    </row>
    <row r="4164" spans="1:1" s="199" customFormat="1" ht="12" hidden="1" customHeight="1">
      <c r="A4164" s="198"/>
    </row>
    <row r="4165" spans="1:1" s="199" customFormat="1" ht="12" hidden="1" customHeight="1">
      <c r="A4165" s="198"/>
    </row>
    <row r="4166" spans="1:1" s="199" customFormat="1" ht="12" hidden="1" customHeight="1">
      <c r="A4166" s="198"/>
    </row>
    <row r="4167" spans="1:1" s="199" customFormat="1" ht="12" hidden="1" customHeight="1">
      <c r="A4167" s="198"/>
    </row>
    <row r="4168" spans="1:1" s="199" customFormat="1" ht="12" hidden="1" customHeight="1">
      <c r="A4168" s="198"/>
    </row>
    <row r="4169" spans="1:1" s="199" customFormat="1" ht="12" hidden="1" customHeight="1">
      <c r="A4169" s="198"/>
    </row>
    <row r="4170" spans="1:1" s="199" customFormat="1" ht="12" hidden="1" customHeight="1">
      <c r="A4170" s="198"/>
    </row>
    <row r="4171" spans="1:1" s="199" customFormat="1" ht="12" hidden="1" customHeight="1">
      <c r="A4171" s="198"/>
    </row>
    <row r="4172" spans="1:1" s="199" customFormat="1" ht="12" hidden="1" customHeight="1">
      <c r="A4172" s="198"/>
    </row>
    <row r="4173" spans="1:1" s="199" customFormat="1" ht="12" hidden="1" customHeight="1">
      <c r="A4173" s="198"/>
    </row>
    <row r="4174" spans="1:1" s="199" customFormat="1" ht="12" hidden="1" customHeight="1">
      <c r="A4174" s="198"/>
    </row>
    <row r="4175" spans="1:1" s="199" customFormat="1" ht="12" hidden="1" customHeight="1">
      <c r="A4175" s="198"/>
    </row>
    <row r="4176" spans="1:1" s="199" customFormat="1" ht="12" hidden="1" customHeight="1">
      <c r="A4176" s="198"/>
    </row>
    <row r="4177" spans="1:1" s="199" customFormat="1" ht="12" hidden="1" customHeight="1">
      <c r="A4177" s="198"/>
    </row>
    <row r="4178" spans="1:1" s="199" customFormat="1" ht="12" hidden="1" customHeight="1">
      <c r="A4178" s="198"/>
    </row>
    <row r="4179" spans="1:1" s="199" customFormat="1" ht="12" hidden="1" customHeight="1">
      <c r="A4179" s="198"/>
    </row>
    <row r="4180" spans="1:1" s="199" customFormat="1" ht="12" hidden="1" customHeight="1">
      <c r="A4180" s="198"/>
    </row>
    <row r="4181" spans="1:1" s="199" customFormat="1" ht="12" hidden="1" customHeight="1">
      <c r="A4181" s="198"/>
    </row>
    <row r="4182" spans="1:1" s="199" customFormat="1" ht="12" hidden="1" customHeight="1">
      <c r="A4182" s="198"/>
    </row>
    <row r="4183" spans="1:1" s="199" customFormat="1" ht="12" hidden="1" customHeight="1">
      <c r="A4183" s="198"/>
    </row>
    <row r="4184" spans="1:1" s="199" customFormat="1" ht="12" hidden="1" customHeight="1">
      <c r="A4184" s="198"/>
    </row>
    <row r="4185" spans="1:1" s="199" customFormat="1" ht="12" hidden="1" customHeight="1">
      <c r="A4185" s="198"/>
    </row>
    <row r="4186" spans="1:1" s="199" customFormat="1" ht="12" hidden="1" customHeight="1">
      <c r="A4186" s="198"/>
    </row>
    <row r="4187" spans="1:1" s="199" customFormat="1" ht="12" hidden="1" customHeight="1">
      <c r="A4187" s="198"/>
    </row>
    <row r="4188" spans="1:1" s="199" customFormat="1" ht="12" hidden="1" customHeight="1">
      <c r="A4188" s="198"/>
    </row>
    <row r="4189" spans="1:1" s="199" customFormat="1" ht="12" hidden="1" customHeight="1">
      <c r="A4189" s="198"/>
    </row>
    <row r="4190" spans="1:1" s="199" customFormat="1" ht="12" hidden="1" customHeight="1">
      <c r="A4190" s="198"/>
    </row>
    <row r="4191" spans="1:1" s="199" customFormat="1" ht="12" hidden="1" customHeight="1">
      <c r="A4191" s="198"/>
    </row>
    <row r="4192" spans="1:1" s="199" customFormat="1" ht="12" hidden="1" customHeight="1">
      <c r="A4192" s="198"/>
    </row>
    <row r="4193" spans="1:1" s="199" customFormat="1" ht="12" hidden="1" customHeight="1">
      <c r="A4193" s="198"/>
    </row>
    <row r="4194" spans="1:1" s="199" customFormat="1" ht="12" hidden="1" customHeight="1">
      <c r="A4194" s="198"/>
    </row>
    <row r="4195" spans="1:1" s="199" customFormat="1" ht="12" hidden="1" customHeight="1">
      <c r="A4195" s="198"/>
    </row>
    <row r="4196" spans="1:1" s="199" customFormat="1" ht="12" hidden="1" customHeight="1">
      <c r="A4196" s="198"/>
    </row>
    <row r="4197" spans="1:1" s="199" customFormat="1" ht="12" hidden="1" customHeight="1">
      <c r="A4197" s="198"/>
    </row>
    <row r="4198" spans="1:1" s="199" customFormat="1" ht="12" hidden="1" customHeight="1">
      <c r="A4198" s="198"/>
    </row>
    <row r="4199" spans="1:1" s="199" customFormat="1" ht="12" hidden="1" customHeight="1">
      <c r="A4199" s="198"/>
    </row>
    <row r="4200" spans="1:1" s="199" customFormat="1" ht="12" hidden="1" customHeight="1">
      <c r="A4200" s="198"/>
    </row>
    <row r="4201" spans="1:1" s="199" customFormat="1" ht="12" hidden="1" customHeight="1">
      <c r="A4201" s="198"/>
    </row>
    <row r="4202" spans="1:1" s="199" customFormat="1" ht="12" hidden="1" customHeight="1">
      <c r="A4202" s="198"/>
    </row>
    <row r="4203" spans="1:1" s="199" customFormat="1" ht="12" hidden="1" customHeight="1">
      <c r="A4203" s="198"/>
    </row>
    <row r="4204" spans="1:1" s="199" customFormat="1" ht="12" hidden="1" customHeight="1">
      <c r="A4204" s="198"/>
    </row>
    <row r="4205" spans="1:1" s="199" customFormat="1" ht="12" hidden="1" customHeight="1">
      <c r="A4205" s="198"/>
    </row>
    <row r="4206" spans="1:1" s="199" customFormat="1" ht="12" hidden="1" customHeight="1">
      <c r="A4206" s="198"/>
    </row>
    <row r="4207" spans="1:1" s="199" customFormat="1" ht="12" hidden="1" customHeight="1">
      <c r="A4207" s="198"/>
    </row>
    <row r="4208" spans="1:1" s="199" customFormat="1" ht="12" hidden="1" customHeight="1">
      <c r="A4208" s="198"/>
    </row>
    <row r="4209" spans="1:1" s="199" customFormat="1" ht="12" hidden="1" customHeight="1">
      <c r="A4209" s="198"/>
    </row>
    <row r="4210" spans="1:1" s="199" customFormat="1" ht="12" hidden="1" customHeight="1">
      <c r="A4210" s="198"/>
    </row>
    <row r="4211" spans="1:1" s="199" customFormat="1" ht="12" hidden="1" customHeight="1">
      <c r="A4211" s="198"/>
    </row>
    <row r="4212" spans="1:1" s="199" customFormat="1" ht="12" hidden="1" customHeight="1">
      <c r="A4212" s="198"/>
    </row>
    <row r="4213" spans="1:1" s="199" customFormat="1" ht="12" hidden="1" customHeight="1">
      <c r="A4213" s="198"/>
    </row>
    <row r="4214" spans="1:1" s="199" customFormat="1" ht="12" hidden="1" customHeight="1">
      <c r="A4214" s="198"/>
    </row>
    <row r="4215" spans="1:1" s="199" customFormat="1" ht="12" hidden="1" customHeight="1">
      <c r="A4215" s="198"/>
    </row>
    <row r="4216" spans="1:1" s="199" customFormat="1" ht="12" hidden="1" customHeight="1">
      <c r="A4216" s="198"/>
    </row>
    <row r="4217" spans="1:1" s="199" customFormat="1" ht="12" hidden="1" customHeight="1">
      <c r="A4217" s="198"/>
    </row>
    <row r="4218" spans="1:1" s="199" customFormat="1" ht="12" hidden="1" customHeight="1">
      <c r="A4218" s="198"/>
    </row>
    <row r="4219" spans="1:1" s="199" customFormat="1" ht="12" hidden="1" customHeight="1">
      <c r="A4219" s="198"/>
    </row>
    <row r="4220" spans="1:1" s="199" customFormat="1" ht="12" hidden="1" customHeight="1">
      <c r="A4220" s="198"/>
    </row>
    <row r="4221" spans="1:1" s="199" customFormat="1" ht="12" hidden="1" customHeight="1">
      <c r="A4221" s="198"/>
    </row>
    <row r="4222" spans="1:1" s="199" customFormat="1" ht="12" hidden="1" customHeight="1">
      <c r="A4222" s="198"/>
    </row>
    <row r="4223" spans="1:1" s="199" customFormat="1" ht="12" hidden="1" customHeight="1">
      <c r="A4223" s="198"/>
    </row>
    <row r="4224" spans="1:1" s="199" customFormat="1" ht="12" hidden="1" customHeight="1">
      <c r="A4224" s="198"/>
    </row>
    <row r="4225" spans="1:1" s="199" customFormat="1" ht="12" hidden="1" customHeight="1">
      <c r="A4225" s="198"/>
    </row>
    <row r="4226" spans="1:1" s="199" customFormat="1" ht="12" hidden="1" customHeight="1">
      <c r="A4226" s="198"/>
    </row>
    <row r="4227" spans="1:1" s="199" customFormat="1" ht="12" hidden="1" customHeight="1">
      <c r="A4227" s="198"/>
    </row>
    <row r="4228" spans="1:1" s="199" customFormat="1" ht="12" hidden="1" customHeight="1">
      <c r="A4228" s="198"/>
    </row>
    <row r="4229" spans="1:1" s="199" customFormat="1" ht="12" hidden="1" customHeight="1">
      <c r="A4229" s="198"/>
    </row>
    <row r="4230" spans="1:1" s="199" customFormat="1" ht="12" hidden="1" customHeight="1">
      <c r="A4230" s="198"/>
    </row>
    <row r="4231" spans="1:1" s="199" customFormat="1" ht="12" hidden="1" customHeight="1">
      <c r="A4231" s="198"/>
    </row>
    <row r="4232" spans="1:1" s="199" customFormat="1" ht="12" hidden="1" customHeight="1">
      <c r="A4232" s="198"/>
    </row>
    <row r="4233" spans="1:1" s="199" customFormat="1" ht="12" hidden="1" customHeight="1">
      <c r="A4233" s="198"/>
    </row>
    <row r="4234" spans="1:1" s="199" customFormat="1" ht="12" hidden="1" customHeight="1">
      <c r="A4234" s="198"/>
    </row>
    <row r="4235" spans="1:1" s="199" customFormat="1" ht="12" hidden="1" customHeight="1">
      <c r="A4235" s="198"/>
    </row>
    <row r="4236" spans="1:1" s="199" customFormat="1" ht="12" hidden="1" customHeight="1">
      <c r="A4236" s="198"/>
    </row>
    <row r="4237" spans="1:1" s="199" customFormat="1" ht="12" hidden="1" customHeight="1">
      <c r="A4237" s="198"/>
    </row>
    <row r="4238" spans="1:1" s="199" customFormat="1" ht="12" hidden="1" customHeight="1">
      <c r="A4238" s="198"/>
    </row>
    <row r="4239" spans="1:1" s="199" customFormat="1" ht="12" hidden="1" customHeight="1">
      <c r="A4239" s="198"/>
    </row>
    <row r="4240" spans="1:1" s="199" customFormat="1" ht="12" hidden="1" customHeight="1">
      <c r="A4240" s="198"/>
    </row>
    <row r="4241" spans="1:1" s="199" customFormat="1" ht="12" hidden="1" customHeight="1">
      <c r="A4241" s="198"/>
    </row>
    <row r="4242" spans="1:1" s="199" customFormat="1" ht="12" hidden="1" customHeight="1">
      <c r="A4242" s="198"/>
    </row>
    <row r="4243" spans="1:1" s="199" customFormat="1" ht="12" hidden="1" customHeight="1">
      <c r="A4243" s="198"/>
    </row>
    <row r="4244" spans="1:1" s="199" customFormat="1" ht="12" hidden="1" customHeight="1">
      <c r="A4244" s="198"/>
    </row>
    <row r="4245" spans="1:1" s="199" customFormat="1" ht="12" hidden="1" customHeight="1">
      <c r="A4245" s="198"/>
    </row>
    <row r="4246" spans="1:1" s="199" customFormat="1" ht="12" hidden="1" customHeight="1">
      <c r="A4246" s="198"/>
    </row>
    <row r="4247" spans="1:1" s="199" customFormat="1" ht="12" hidden="1" customHeight="1">
      <c r="A4247" s="198"/>
    </row>
    <row r="4248" spans="1:1" s="199" customFormat="1" ht="12" hidden="1" customHeight="1">
      <c r="A4248" s="198"/>
    </row>
    <row r="4249" spans="1:1" s="199" customFormat="1" ht="12" hidden="1" customHeight="1">
      <c r="A4249" s="198"/>
    </row>
    <row r="4250" spans="1:1" s="199" customFormat="1" ht="12" hidden="1" customHeight="1">
      <c r="A4250" s="198"/>
    </row>
    <row r="4251" spans="1:1" s="199" customFormat="1" ht="12" hidden="1" customHeight="1">
      <c r="A4251" s="198"/>
    </row>
    <row r="4252" spans="1:1" s="199" customFormat="1" ht="12" hidden="1" customHeight="1">
      <c r="A4252" s="198"/>
    </row>
    <row r="4253" spans="1:1" s="199" customFormat="1" ht="12" hidden="1" customHeight="1">
      <c r="A4253" s="198"/>
    </row>
    <row r="4254" spans="1:1" s="199" customFormat="1" ht="12" hidden="1" customHeight="1">
      <c r="A4254" s="198"/>
    </row>
    <row r="4255" spans="1:1" s="199" customFormat="1" ht="12" hidden="1" customHeight="1">
      <c r="A4255" s="198"/>
    </row>
    <row r="4256" spans="1:1" s="199" customFormat="1" ht="12" hidden="1" customHeight="1">
      <c r="A4256" s="198"/>
    </row>
    <row r="4257" spans="1:1" s="199" customFormat="1" ht="12" hidden="1" customHeight="1">
      <c r="A4257" s="198"/>
    </row>
    <row r="4258" spans="1:1" s="199" customFormat="1" ht="12" hidden="1" customHeight="1">
      <c r="A4258" s="198"/>
    </row>
    <row r="4259" spans="1:1" s="199" customFormat="1" ht="12" hidden="1" customHeight="1">
      <c r="A4259" s="198"/>
    </row>
    <row r="4260" spans="1:1" s="199" customFormat="1" ht="12" hidden="1" customHeight="1">
      <c r="A4260" s="198"/>
    </row>
    <row r="4261" spans="1:1" s="199" customFormat="1" ht="12" hidden="1" customHeight="1">
      <c r="A4261" s="198"/>
    </row>
    <row r="4262" spans="1:1" s="199" customFormat="1" ht="12" hidden="1" customHeight="1">
      <c r="A4262" s="198"/>
    </row>
    <row r="4263" spans="1:1" s="199" customFormat="1" ht="12" hidden="1" customHeight="1">
      <c r="A4263" s="198"/>
    </row>
    <row r="4264" spans="1:1" s="199" customFormat="1" ht="12" hidden="1" customHeight="1">
      <c r="A4264" s="198"/>
    </row>
    <row r="4265" spans="1:1" s="199" customFormat="1" ht="12" hidden="1" customHeight="1">
      <c r="A4265" s="198"/>
    </row>
    <row r="4266" spans="1:1" s="199" customFormat="1" ht="12" hidden="1" customHeight="1">
      <c r="A4266" s="198"/>
    </row>
    <row r="4267" spans="1:1" s="199" customFormat="1" ht="12" hidden="1" customHeight="1">
      <c r="A4267" s="198"/>
    </row>
    <row r="4268" spans="1:1" s="199" customFormat="1" ht="12" hidden="1" customHeight="1">
      <c r="A4268" s="198"/>
    </row>
    <row r="4269" spans="1:1" s="199" customFormat="1" ht="12" hidden="1" customHeight="1">
      <c r="A4269" s="198"/>
    </row>
    <row r="4270" spans="1:1" s="199" customFormat="1" ht="12" hidden="1" customHeight="1">
      <c r="A4270" s="198"/>
    </row>
    <row r="4271" spans="1:1" s="199" customFormat="1" ht="12" hidden="1" customHeight="1">
      <c r="A4271" s="198"/>
    </row>
    <row r="4272" spans="1:1" s="199" customFormat="1" ht="12" hidden="1" customHeight="1">
      <c r="A4272" s="198"/>
    </row>
    <row r="4273" spans="1:1" s="199" customFormat="1" ht="12" hidden="1" customHeight="1">
      <c r="A4273" s="198"/>
    </row>
    <row r="4274" spans="1:1" s="199" customFormat="1" ht="12" hidden="1" customHeight="1">
      <c r="A4274" s="198"/>
    </row>
    <row r="4275" spans="1:1" s="199" customFormat="1" ht="12" hidden="1" customHeight="1">
      <c r="A4275" s="198"/>
    </row>
    <row r="4276" spans="1:1" s="199" customFormat="1" ht="12" hidden="1" customHeight="1">
      <c r="A4276" s="198"/>
    </row>
    <row r="4277" spans="1:1" s="199" customFormat="1" ht="12" hidden="1" customHeight="1">
      <c r="A4277" s="198"/>
    </row>
    <row r="4278" spans="1:1" s="199" customFormat="1" ht="12" hidden="1" customHeight="1">
      <c r="A4278" s="198"/>
    </row>
    <row r="4279" spans="1:1" s="199" customFormat="1" ht="12" hidden="1" customHeight="1">
      <c r="A4279" s="198"/>
    </row>
    <row r="4280" spans="1:1" s="199" customFormat="1" ht="12" hidden="1" customHeight="1">
      <c r="A4280" s="198"/>
    </row>
    <row r="4281" spans="1:1" s="199" customFormat="1" ht="12" hidden="1" customHeight="1">
      <c r="A4281" s="198"/>
    </row>
    <row r="4282" spans="1:1" s="199" customFormat="1" ht="12" hidden="1" customHeight="1">
      <c r="A4282" s="198"/>
    </row>
    <row r="4283" spans="1:1" s="199" customFormat="1" ht="12" hidden="1" customHeight="1">
      <c r="A4283" s="198"/>
    </row>
    <row r="4284" spans="1:1" s="199" customFormat="1" ht="12" hidden="1" customHeight="1">
      <c r="A4284" s="198"/>
    </row>
    <row r="4285" spans="1:1" s="199" customFormat="1" ht="12" hidden="1" customHeight="1">
      <c r="A4285" s="198"/>
    </row>
    <row r="4286" spans="1:1" s="199" customFormat="1" ht="12" hidden="1" customHeight="1">
      <c r="A4286" s="198"/>
    </row>
    <row r="4287" spans="1:1" s="199" customFormat="1" ht="12" hidden="1" customHeight="1">
      <c r="A4287" s="198"/>
    </row>
    <row r="4288" spans="1:1" s="199" customFormat="1" ht="12" hidden="1" customHeight="1">
      <c r="A4288" s="198"/>
    </row>
    <row r="4289" spans="1:1" s="199" customFormat="1" ht="12" hidden="1" customHeight="1">
      <c r="A4289" s="198"/>
    </row>
    <row r="4290" spans="1:1" s="199" customFormat="1" ht="12" hidden="1" customHeight="1">
      <c r="A4290" s="198"/>
    </row>
    <row r="4291" spans="1:1" s="199" customFormat="1" ht="12" hidden="1" customHeight="1">
      <c r="A4291" s="198"/>
    </row>
    <row r="4292" spans="1:1" s="199" customFormat="1" ht="12" hidden="1" customHeight="1">
      <c r="A4292" s="198"/>
    </row>
    <row r="4293" spans="1:1" s="199" customFormat="1" ht="12" hidden="1" customHeight="1">
      <c r="A4293" s="198"/>
    </row>
    <row r="4294" spans="1:1" s="199" customFormat="1" ht="12" hidden="1" customHeight="1">
      <c r="A4294" s="198"/>
    </row>
    <row r="4295" spans="1:1" s="199" customFormat="1" ht="12" hidden="1" customHeight="1">
      <c r="A4295" s="198"/>
    </row>
    <row r="4296" spans="1:1" s="199" customFormat="1" ht="12" hidden="1" customHeight="1">
      <c r="A4296" s="198"/>
    </row>
    <row r="4297" spans="1:1" s="199" customFormat="1" ht="12" hidden="1" customHeight="1">
      <c r="A4297" s="198"/>
    </row>
    <row r="4298" spans="1:1" s="199" customFormat="1" ht="12" hidden="1" customHeight="1">
      <c r="A4298" s="198"/>
    </row>
    <row r="4299" spans="1:1" s="199" customFormat="1" ht="12" hidden="1" customHeight="1">
      <c r="A4299" s="198"/>
    </row>
    <row r="4300" spans="1:1" s="199" customFormat="1" ht="12" hidden="1" customHeight="1">
      <c r="A4300" s="198"/>
    </row>
    <row r="4301" spans="1:1" s="199" customFormat="1" ht="12" hidden="1" customHeight="1">
      <c r="A4301" s="198"/>
    </row>
    <row r="4302" spans="1:1" s="199" customFormat="1" ht="12" hidden="1" customHeight="1">
      <c r="A4302" s="198"/>
    </row>
    <row r="4303" spans="1:1" s="199" customFormat="1" ht="12" hidden="1" customHeight="1">
      <c r="A4303" s="198"/>
    </row>
    <row r="4304" spans="1:1" s="199" customFormat="1" ht="12" hidden="1" customHeight="1">
      <c r="A4304" s="198"/>
    </row>
    <row r="4305" spans="1:1" s="199" customFormat="1" ht="12" hidden="1" customHeight="1">
      <c r="A4305" s="198"/>
    </row>
    <row r="4306" spans="1:1" s="199" customFormat="1" ht="12" hidden="1" customHeight="1">
      <c r="A4306" s="198"/>
    </row>
    <row r="4307" spans="1:1" s="199" customFormat="1" ht="12" hidden="1" customHeight="1">
      <c r="A4307" s="198"/>
    </row>
    <row r="4308" spans="1:1" s="199" customFormat="1" ht="12" hidden="1" customHeight="1">
      <c r="A4308" s="198"/>
    </row>
    <row r="4309" spans="1:1" s="199" customFormat="1" ht="12" hidden="1" customHeight="1">
      <c r="A4309" s="198"/>
    </row>
    <row r="4310" spans="1:1" s="199" customFormat="1" ht="12" hidden="1" customHeight="1">
      <c r="A4310" s="198"/>
    </row>
    <row r="4311" spans="1:1" s="199" customFormat="1" ht="12" hidden="1" customHeight="1">
      <c r="A4311" s="198"/>
    </row>
    <row r="4312" spans="1:1" s="199" customFormat="1" ht="12" hidden="1" customHeight="1">
      <c r="A4312" s="198"/>
    </row>
    <row r="4313" spans="1:1" s="199" customFormat="1" ht="12" hidden="1" customHeight="1">
      <c r="A4313" s="198"/>
    </row>
    <row r="4314" spans="1:1" s="199" customFormat="1" ht="12" hidden="1" customHeight="1">
      <c r="A4314" s="198"/>
    </row>
    <row r="4315" spans="1:1" s="199" customFormat="1" ht="12" hidden="1" customHeight="1">
      <c r="A4315" s="198"/>
    </row>
    <row r="4316" spans="1:1" s="199" customFormat="1" ht="12" hidden="1" customHeight="1">
      <c r="A4316" s="198"/>
    </row>
    <row r="4317" spans="1:1" s="199" customFormat="1" ht="12" hidden="1" customHeight="1">
      <c r="A4317" s="198"/>
    </row>
    <row r="4318" spans="1:1" s="199" customFormat="1" ht="12" hidden="1" customHeight="1">
      <c r="A4318" s="198"/>
    </row>
    <row r="4319" spans="1:1" s="199" customFormat="1" ht="12" hidden="1" customHeight="1">
      <c r="A4319" s="198"/>
    </row>
    <row r="4320" spans="1:1" s="199" customFormat="1" ht="12" hidden="1" customHeight="1">
      <c r="A4320" s="198"/>
    </row>
    <row r="4321" spans="1:1" s="199" customFormat="1" ht="12" hidden="1" customHeight="1">
      <c r="A4321" s="198"/>
    </row>
    <row r="4322" spans="1:1" s="199" customFormat="1" ht="12" hidden="1" customHeight="1">
      <c r="A4322" s="198"/>
    </row>
    <row r="4323" spans="1:1" s="199" customFormat="1" ht="12" hidden="1" customHeight="1">
      <c r="A4323" s="198"/>
    </row>
    <row r="4324" spans="1:1" s="199" customFormat="1" ht="12" hidden="1" customHeight="1">
      <c r="A4324" s="198"/>
    </row>
    <row r="4325" spans="1:1" s="199" customFormat="1" ht="12" hidden="1" customHeight="1">
      <c r="A4325" s="198"/>
    </row>
    <row r="4326" spans="1:1" s="199" customFormat="1" ht="12" hidden="1" customHeight="1">
      <c r="A4326" s="198"/>
    </row>
    <row r="4327" spans="1:1" s="199" customFormat="1" ht="12" hidden="1" customHeight="1">
      <c r="A4327" s="198"/>
    </row>
    <row r="4328" spans="1:1" s="199" customFormat="1" ht="12" hidden="1" customHeight="1">
      <c r="A4328" s="198"/>
    </row>
    <row r="4329" spans="1:1" s="199" customFormat="1" ht="12" hidden="1" customHeight="1">
      <c r="A4329" s="198"/>
    </row>
    <row r="4330" spans="1:1" s="199" customFormat="1" ht="12" hidden="1" customHeight="1">
      <c r="A4330" s="198"/>
    </row>
    <row r="4331" spans="1:1" s="199" customFormat="1" ht="12" hidden="1" customHeight="1">
      <c r="A4331" s="198"/>
    </row>
    <row r="4332" spans="1:1" s="199" customFormat="1" ht="12" hidden="1" customHeight="1">
      <c r="A4332" s="198"/>
    </row>
    <row r="4333" spans="1:1" s="199" customFormat="1" ht="12" hidden="1" customHeight="1">
      <c r="A4333" s="198"/>
    </row>
    <row r="4334" spans="1:1" s="199" customFormat="1" ht="12" hidden="1" customHeight="1">
      <c r="A4334" s="198"/>
    </row>
    <row r="4335" spans="1:1" s="199" customFormat="1" ht="12" hidden="1" customHeight="1">
      <c r="A4335" s="198"/>
    </row>
    <row r="4336" spans="1:1" s="199" customFormat="1" ht="12" hidden="1" customHeight="1">
      <c r="A4336" s="198"/>
    </row>
    <row r="4337" spans="1:1" s="199" customFormat="1" ht="12" hidden="1" customHeight="1">
      <c r="A4337" s="198"/>
    </row>
    <row r="4338" spans="1:1" s="199" customFormat="1" ht="12" hidden="1" customHeight="1">
      <c r="A4338" s="198"/>
    </row>
    <row r="4339" spans="1:1" s="199" customFormat="1" ht="12" hidden="1" customHeight="1">
      <c r="A4339" s="198"/>
    </row>
    <row r="4340" spans="1:1" s="199" customFormat="1" ht="12" hidden="1" customHeight="1">
      <c r="A4340" s="198"/>
    </row>
    <row r="4341" spans="1:1" s="199" customFormat="1" ht="12" hidden="1" customHeight="1">
      <c r="A4341" s="198"/>
    </row>
    <row r="4342" spans="1:1" s="199" customFormat="1" ht="12" hidden="1" customHeight="1">
      <c r="A4342" s="198"/>
    </row>
    <row r="4343" spans="1:1" s="199" customFormat="1" ht="12" hidden="1" customHeight="1">
      <c r="A4343" s="198"/>
    </row>
    <row r="4344" spans="1:1" s="199" customFormat="1" ht="12" hidden="1" customHeight="1">
      <c r="A4344" s="198"/>
    </row>
    <row r="4345" spans="1:1" s="199" customFormat="1" ht="12" hidden="1" customHeight="1">
      <c r="A4345" s="198"/>
    </row>
    <row r="4346" spans="1:1" s="199" customFormat="1" ht="12" hidden="1" customHeight="1">
      <c r="A4346" s="198"/>
    </row>
    <row r="4347" spans="1:1" s="199" customFormat="1" ht="12" hidden="1" customHeight="1">
      <c r="A4347" s="198"/>
    </row>
    <row r="4348" spans="1:1" s="199" customFormat="1" ht="12" hidden="1" customHeight="1">
      <c r="A4348" s="198"/>
    </row>
    <row r="4349" spans="1:1" s="199" customFormat="1" ht="12" hidden="1" customHeight="1">
      <c r="A4349" s="198"/>
    </row>
    <row r="4350" spans="1:1" s="199" customFormat="1" ht="12" hidden="1" customHeight="1">
      <c r="A4350" s="198"/>
    </row>
    <row r="4351" spans="1:1" s="199" customFormat="1" ht="12" hidden="1" customHeight="1">
      <c r="A4351" s="198"/>
    </row>
    <row r="4352" spans="1:1" s="199" customFormat="1" ht="12" hidden="1" customHeight="1">
      <c r="A4352" s="198"/>
    </row>
    <row r="4353" spans="1:1" s="199" customFormat="1" ht="12" hidden="1" customHeight="1">
      <c r="A4353" s="198"/>
    </row>
    <row r="4354" spans="1:1" s="199" customFormat="1" ht="12" hidden="1" customHeight="1">
      <c r="A4354" s="198"/>
    </row>
    <row r="4355" spans="1:1" s="199" customFormat="1" ht="12" hidden="1" customHeight="1">
      <c r="A4355" s="198"/>
    </row>
    <row r="4356" spans="1:1" s="199" customFormat="1" ht="12" hidden="1" customHeight="1">
      <c r="A4356" s="198"/>
    </row>
    <row r="4357" spans="1:1" s="199" customFormat="1" ht="12" hidden="1" customHeight="1">
      <c r="A4357" s="198"/>
    </row>
    <row r="4358" spans="1:1" s="199" customFormat="1" ht="12" hidden="1" customHeight="1">
      <c r="A4358" s="198"/>
    </row>
    <row r="4359" spans="1:1" s="199" customFormat="1" ht="12" hidden="1" customHeight="1">
      <c r="A4359" s="198"/>
    </row>
    <row r="4360" spans="1:1" s="199" customFormat="1" ht="12" hidden="1" customHeight="1">
      <c r="A4360" s="198"/>
    </row>
    <row r="4361" spans="1:1" s="199" customFormat="1" ht="12" hidden="1" customHeight="1">
      <c r="A4361" s="198"/>
    </row>
    <row r="4362" spans="1:1" s="199" customFormat="1" ht="12" hidden="1" customHeight="1">
      <c r="A4362" s="198"/>
    </row>
    <row r="4363" spans="1:1" s="199" customFormat="1" ht="12" hidden="1" customHeight="1">
      <c r="A4363" s="198"/>
    </row>
    <row r="4364" spans="1:1" s="199" customFormat="1" ht="12" hidden="1" customHeight="1">
      <c r="A4364" s="198"/>
    </row>
    <row r="4365" spans="1:1" s="199" customFormat="1" ht="12" hidden="1" customHeight="1">
      <c r="A4365" s="198"/>
    </row>
    <row r="4366" spans="1:1" s="199" customFormat="1" ht="12" hidden="1" customHeight="1">
      <c r="A4366" s="198"/>
    </row>
    <row r="4367" spans="1:1" s="199" customFormat="1" ht="12" hidden="1" customHeight="1">
      <c r="A4367" s="198"/>
    </row>
    <row r="4368" spans="1:1" s="199" customFormat="1" ht="12" hidden="1" customHeight="1">
      <c r="A4368" s="198"/>
    </row>
    <row r="4369" spans="1:1" s="199" customFormat="1" ht="12" hidden="1" customHeight="1">
      <c r="A4369" s="198"/>
    </row>
    <row r="4370" spans="1:1" s="199" customFormat="1" ht="12" hidden="1" customHeight="1">
      <c r="A4370" s="198"/>
    </row>
    <row r="4371" spans="1:1" s="199" customFormat="1" ht="12" hidden="1" customHeight="1">
      <c r="A4371" s="198"/>
    </row>
    <row r="4372" spans="1:1" s="199" customFormat="1" ht="12" hidden="1" customHeight="1">
      <c r="A4372" s="198"/>
    </row>
    <row r="4373" spans="1:1" s="199" customFormat="1" ht="12" hidden="1" customHeight="1">
      <c r="A4373" s="198"/>
    </row>
    <row r="4374" spans="1:1" s="199" customFormat="1" ht="12" hidden="1" customHeight="1">
      <c r="A4374" s="198"/>
    </row>
    <row r="4375" spans="1:1" s="199" customFormat="1" ht="12" hidden="1" customHeight="1">
      <c r="A4375" s="198"/>
    </row>
    <row r="4376" spans="1:1" s="199" customFormat="1" ht="12" hidden="1" customHeight="1">
      <c r="A4376" s="198"/>
    </row>
    <row r="4377" spans="1:1" s="199" customFormat="1" ht="12" hidden="1" customHeight="1">
      <c r="A4377" s="198"/>
    </row>
    <row r="4378" spans="1:1" s="199" customFormat="1" ht="12" hidden="1" customHeight="1">
      <c r="A4378" s="198"/>
    </row>
    <row r="4379" spans="1:1" s="199" customFormat="1" ht="12" hidden="1" customHeight="1">
      <c r="A4379" s="198"/>
    </row>
    <row r="4380" spans="1:1" s="199" customFormat="1" ht="12" hidden="1" customHeight="1">
      <c r="A4380" s="198"/>
    </row>
    <row r="4381" spans="1:1" s="199" customFormat="1" ht="12" hidden="1" customHeight="1">
      <c r="A4381" s="198"/>
    </row>
    <row r="4382" spans="1:1" s="199" customFormat="1" ht="12" hidden="1" customHeight="1">
      <c r="A4382" s="198"/>
    </row>
    <row r="4383" spans="1:1" s="199" customFormat="1" ht="12" hidden="1" customHeight="1">
      <c r="A4383" s="198"/>
    </row>
    <row r="4384" spans="1:1" s="199" customFormat="1" ht="12" hidden="1" customHeight="1">
      <c r="A4384" s="198"/>
    </row>
    <row r="4385" spans="1:1" s="199" customFormat="1" ht="12" hidden="1" customHeight="1">
      <c r="A4385" s="198"/>
    </row>
    <row r="4386" spans="1:1" s="199" customFormat="1" ht="12" hidden="1" customHeight="1">
      <c r="A4386" s="198"/>
    </row>
    <row r="4387" spans="1:1" s="199" customFormat="1" ht="12" hidden="1" customHeight="1">
      <c r="A4387" s="198"/>
    </row>
    <row r="4388" spans="1:1" s="199" customFormat="1" ht="12" hidden="1" customHeight="1">
      <c r="A4388" s="198"/>
    </row>
    <row r="4389" spans="1:1" s="199" customFormat="1" ht="12" hidden="1" customHeight="1">
      <c r="A4389" s="198"/>
    </row>
    <row r="4390" spans="1:1" s="199" customFormat="1" ht="12" hidden="1" customHeight="1">
      <c r="A4390" s="198"/>
    </row>
    <row r="4391" spans="1:1" s="199" customFormat="1" ht="12" hidden="1" customHeight="1">
      <c r="A4391" s="198"/>
    </row>
    <row r="4392" spans="1:1" s="199" customFormat="1" ht="12" hidden="1" customHeight="1">
      <c r="A4392" s="198"/>
    </row>
    <row r="4393" spans="1:1" s="199" customFormat="1" ht="12" hidden="1" customHeight="1">
      <c r="A4393" s="198"/>
    </row>
    <row r="4394" spans="1:1" s="199" customFormat="1" ht="12" hidden="1" customHeight="1">
      <c r="A4394" s="198"/>
    </row>
    <row r="4395" spans="1:1" s="199" customFormat="1" ht="12" hidden="1" customHeight="1">
      <c r="A4395" s="198"/>
    </row>
    <row r="4396" spans="1:1" s="199" customFormat="1" ht="12" hidden="1" customHeight="1">
      <c r="A4396" s="198"/>
    </row>
    <row r="4397" spans="1:1" s="199" customFormat="1" ht="12" hidden="1" customHeight="1">
      <c r="A4397" s="198"/>
    </row>
    <row r="4398" spans="1:1" s="199" customFormat="1" ht="12" hidden="1" customHeight="1">
      <c r="A4398" s="198"/>
    </row>
    <row r="4399" spans="1:1" s="199" customFormat="1" ht="12" hidden="1" customHeight="1">
      <c r="A4399" s="198"/>
    </row>
    <row r="4400" spans="1:1" s="199" customFormat="1" ht="12" hidden="1" customHeight="1">
      <c r="A4400" s="198"/>
    </row>
    <row r="4401" spans="1:1" s="199" customFormat="1" ht="12" hidden="1" customHeight="1">
      <c r="A4401" s="198"/>
    </row>
    <row r="4402" spans="1:1" s="199" customFormat="1" ht="12" hidden="1" customHeight="1">
      <c r="A4402" s="198"/>
    </row>
    <row r="4403" spans="1:1" s="199" customFormat="1" ht="12" hidden="1" customHeight="1">
      <c r="A4403" s="198"/>
    </row>
    <row r="4404" spans="1:1" s="199" customFormat="1" ht="12" hidden="1" customHeight="1">
      <c r="A4404" s="198"/>
    </row>
    <row r="4405" spans="1:1" s="199" customFormat="1" ht="12" hidden="1" customHeight="1">
      <c r="A4405" s="198"/>
    </row>
    <row r="4406" spans="1:1" s="199" customFormat="1" ht="12" hidden="1" customHeight="1">
      <c r="A4406" s="198"/>
    </row>
    <row r="4407" spans="1:1" s="199" customFormat="1" ht="12" hidden="1" customHeight="1">
      <c r="A4407" s="198"/>
    </row>
    <row r="4408" spans="1:1" s="199" customFormat="1" ht="12" hidden="1" customHeight="1">
      <c r="A4408" s="198"/>
    </row>
    <row r="4409" spans="1:1" s="199" customFormat="1" ht="12" hidden="1" customHeight="1">
      <c r="A4409" s="198"/>
    </row>
    <row r="4410" spans="1:1" s="199" customFormat="1" ht="12" hidden="1" customHeight="1">
      <c r="A4410" s="198"/>
    </row>
    <row r="4411" spans="1:1" s="199" customFormat="1" ht="12" hidden="1" customHeight="1">
      <c r="A4411" s="198"/>
    </row>
    <row r="4412" spans="1:1" s="199" customFormat="1" ht="12" hidden="1" customHeight="1">
      <c r="A4412" s="198"/>
    </row>
    <row r="4413" spans="1:1" s="199" customFormat="1" ht="12" hidden="1" customHeight="1">
      <c r="A4413" s="198"/>
    </row>
    <row r="4414" spans="1:1" s="199" customFormat="1" ht="12" hidden="1" customHeight="1">
      <c r="A4414" s="198"/>
    </row>
    <row r="4415" spans="1:1" s="199" customFormat="1" ht="12" hidden="1" customHeight="1">
      <c r="A4415" s="198"/>
    </row>
    <row r="4416" spans="1:1" s="199" customFormat="1" ht="12" hidden="1" customHeight="1">
      <c r="A4416" s="198"/>
    </row>
    <row r="4417" spans="1:1" s="199" customFormat="1" ht="12" hidden="1" customHeight="1">
      <c r="A4417" s="198"/>
    </row>
    <row r="4418" spans="1:1" s="199" customFormat="1" ht="12" hidden="1" customHeight="1">
      <c r="A4418" s="198"/>
    </row>
    <row r="4419" spans="1:1" s="199" customFormat="1" ht="12" hidden="1" customHeight="1">
      <c r="A4419" s="198"/>
    </row>
    <row r="4420" spans="1:1" s="199" customFormat="1" ht="12" hidden="1" customHeight="1">
      <c r="A4420" s="198"/>
    </row>
    <row r="4421" spans="1:1" s="199" customFormat="1" ht="12" hidden="1" customHeight="1">
      <c r="A4421" s="198"/>
    </row>
    <row r="4422" spans="1:1" s="199" customFormat="1" ht="12" hidden="1" customHeight="1">
      <c r="A4422" s="198"/>
    </row>
    <row r="4423" spans="1:1" s="199" customFormat="1" ht="12" hidden="1" customHeight="1">
      <c r="A4423" s="198"/>
    </row>
    <row r="4424" spans="1:1" s="199" customFormat="1" ht="12" hidden="1" customHeight="1">
      <c r="A4424" s="198"/>
    </row>
    <row r="4425" spans="1:1" s="199" customFormat="1" ht="12" hidden="1" customHeight="1">
      <c r="A4425" s="198"/>
    </row>
    <row r="4426" spans="1:1" s="199" customFormat="1" ht="12" hidden="1" customHeight="1">
      <c r="A4426" s="198"/>
    </row>
    <row r="4427" spans="1:1" s="199" customFormat="1" ht="12" hidden="1" customHeight="1">
      <c r="A4427" s="198"/>
    </row>
    <row r="4428" spans="1:1" s="199" customFormat="1" ht="12" hidden="1" customHeight="1">
      <c r="A4428" s="198"/>
    </row>
    <row r="4429" spans="1:1" s="199" customFormat="1" ht="12" hidden="1" customHeight="1">
      <c r="A4429" s="198"/>
    </row>
    <row r="4430" spans="1:1" s="199" customFormat="1" ht="12" hidden="1" customHeight="1">
      <c r="A4430" s="198"/>
    </row>
    <row r="4431" spans="1:1" s="199" customFormat="1" ht="12" hidden="1" customHeight="1">
      <c r="A4431" s="198"/>
    </row>
    <row r="4432" spans="1:1" s="199" customFormat="1" ht="12" hidden="1" customHeight="1">
      <c r="A4432" s="198"/>
    </row>
    <row r="4433" spans="1:1" s="199" customFormat="1" ht="12" hidden="1" customHeight="1">
      <c r="A4433" s="198"/>
    </row>
    <row r="4434" spans="1:1" s="199" customFormat="1" ht="12" hidden="1" customHeight="1">
      <c r="A4434" s="198"/>
    </row>
    <row r="4435" spans="1:1" s="199" customFormat="1" ht="12" hidden="1" customHeight="1">
      <c r="A4435" s="198"/>
    </row>
    <row r="4436" spans="1:1" s="199" customFormat="1" ht="12" hidden="1" customHeight="1">
      <c r="A4436" s="198"/>
    </row>
    <row r="4437" spans="1:1" s="199" customFormat="1" ht="12" hidden="1" customHeight="1">
      <c r="A4437" s="198"/>
    </row>
    <row r="4438" spans="1:1" s="199" customFormat="1" ht="12" hidden="1" customHeight="1">
      <c r="A4438" s="198"/>
    </row>
    <row r="4439" spans="1:1" s="199" customFormat="1" ht="12" hidden="1" customHeight="1">
      <c r="A4439" s="198"/>
    </row>
    <row r="4440" spans="1:1" s="199" customFormat="1" ht="12" hidden="1" customHeight="1">
      <c r="A4440" s="198"/>
    </row>
    <row r="4441" spans="1:1" s="199" customFormat="1" ht="12" hidden="1" customHeight="1">
      <c r="A4441" s="198"/>
    </row>
    <row r="4442" spans="1:1" s="199" customFormat="1" ht="12" hidden="1" customHeight="1">
      <c r="A4442" s="198"/>
    </row>
    <row r="4443" spans="1:1" s="199" customFormat="1" ht="12" hidden="1" customHeight="1">
      <c r="A4443" s="198"/>
    </row>
    <row r="4444" spans="1:1" s="199" customFormat="1" ht="12" hidden="1" customHeight="1">
      <c r="A4444" s="198"/>
    </row>
    <row r="4445" spans="1:1" s="199" customFormat="1" ht="12" hidden="1" customHeight="1">
      <c r="A4445" s="198"/>
    </row>
    <row r="4446" spans="1:1" s="199" customFormat="1" ht="12" hidden="1" customHeight="1">
      <c r="A4446" s="198"/>
    </row>
    <row r="4447" spans="1:1" s="199" customFormat="1" ht="12" hidden="1" customHeight="1">
      <c r="A4447" s="198"/>
    </row>
    <row r="4448" spans="1:1" s="199" customFormat="1" ht="12" hidden="1" customHeight="1">
      <c r="A4448" s="198"/>
    </row>
    <row r="4449" spans="1:1" s="199" customFormat="1" ht="12" hidden="1" customHeight="1">
      <c r="A4449" s="198"/>
    </row>
    <row r="4450" spans="1:1" s="199" customFormat="1" ht="12" hidden="1" customHeight="1">
      <c r="A4450" s="198"/>
    </row>
    <row r="4451" spans="1:1" s="199" customFormat="1" ht="12" hidden="1" customHeight="1">
      <c r="A4451" s="198"/>
    </row>
    <row r="4452" spans="1:1" s="199" customFormat="1" ht="12" hidden="1" customHeight="1">
      <c r="A4452" s="198"/>
    </row>
    <row r="4453" spans="1:1" s="199" customFormat="1" ht="12" hidden="1" customHeight="1">
      <c r="A4453" s="198"/>
    </row>
    <row r="4454" spans="1:1" s="199" customFormat="1" ht="12" hidden="1" customHeight="1">
      <c r="A4454" s="198"/>
    </row>
    <row r="4455" spans="1:1" s="199" customFormat="1" ht="12" hidden="1" customHeight="1">
      <c r="A4455" s="198"/>
    </row>
    <row r="4456" spans="1:1" s="199" customFormat="1" ht="12" hidden="1" customHeight="1">
      <c r="A4456" s="198"/>
    </row>
    <row r="4457" spans="1:1" s="199" customFormat="1" ht="12" hidden="1" customHeight="1">
      <c r="A4457" s="198"/>
    </row>
    <row r="4458" spans="1:1" s="199" customFormat="1" ht="12" hidden="1" customHeight="1">
      <c r="A4458" s="198"/>
    </row>
    <row r="4459" spans="1:1" s="199" customFormat="1" ht="12" hidden="1" customHeight="1">
      <c r="A4459" s="198"/>
    </row>
    <row r="4460" spans="1:1" s="199" customFormat="1" ht="12" hidden="1" customHeight="1">
      <c r="A4460" s="198"/>
    </row>
    <row r="4461" spans="1:1" s="199" customFormat="1" ht="12" hidden="1" customHeight="1">
      <c r="A4461" s="198"/>
    </row>
    <row r="4462" spans="1:1" s="199" customFormat="1" ht="12" hidden="1" customHeight="1">
      <c r="A4462" s="198"/>
    </row>
    <row r="4463" spans="1:1" s="199" customFormat="1" ht="12" hidden="1" customHeight="1">
      <c r="A4463" s="198"/>
    </row>
    <row r="4464" spans="1:1" s="199" customFormat="1" ht="12" hidden="1" customHeight="1">
      <c r="A4464" s="198"/>
    </row>
    <row r="4465" spans="1:1" s="199" customFormat="1" ht="12" hidden="1" customHeight="1">
      <c r="A4465" s="198"/>
    </row>
    <row r="4466" spans="1:1" s="199" customFormat="1" ht="12" hidden="1" customHeight="1">
      <c r="A4466" s="198"/>
    </row>
    <row r="4467" spans="1:1" s="199" customFormat="1" ht="12" hidden="1" customHeight="1">
      <c r="A4467" s="198"/>
    </row>
    <row r="4468" spans="1:1" s="199" customFormat="1" ht="12" hidden="1" customHeight="1">
      <c r="A4468" s="198"/>
    </row>
    <row r="4469" spans="1:1" s="199" customFormat="1" ht="12" hidden="1" customHeight="1">
      <c r="A4469" s="198"/>
    </row>
    <row r="4470" spans="1:1" s="199" customFormat="1" ht="12" hidden="1" customHeight="1">
      <c r="A4470" s="198"/>
    </row>
    <row r="4471" spans="1:1" s="199" customFormat="1" ht="12" hidden="1" customHeight="1">
      <c r="A4471" s="198"/>
    </row>
    <row r="4472" spans="1:1" s="199" customFormat="1" ht="12" hidden="1" customHeight="1">
      <c r="A4472" s="198"/>
    </row>
    <row r="4473" spans="1:1" s="199" customFormat="1" ht="12" hidden="1" customHeight="1">
      <c r="A4473" s="198"/>
    </row>
    <row r="4474" spans="1:1" s="199" customFormat="1" ht="12" hidden="1" customHeight="1">
      <c r="A4474" s="198"/>
    </row>
    <row r="4475" spans="1:1" s="199" customFormat="1" ht="12" hidden="1" customHeight="1">
      <c r="A4475" s="198"/>
    </row>
    <row r="4476" spans="1:1" s="199" customFormat="1" ht="12" hidden="1" customHeight="1">
      <c r="A4476" s="198"/>
    </row>
    <row r="4477" spans="1:1" s="199" customFormat="1" ht="12" hidden="1" customHeight="1">
      <c r="A4477" s="198"/>
    </row>
    <row r="4478" spans="1:1" s="199" customFormat="1" ht="12" hidden="1" customHeight="1">
      <c r="A4478" s="198"/>
    </row>
    <row r="4479" spans="1:1" s="199" customFormat="1" ht="12" hidden="1" customHeight="1">
      <c r="A4479" s="198"/>
    </row>
    <row r="4480" spans="1:1" s="199" customFormat="1" ht="12" hidden="1" customHeight="1">
      <c r="A4480" s="198"/>
    </row>
    <row r="4481" spans="1:1" s="199" customFormat="1" ht="12" hidden="1" customHeight="1">
      <c r="A4481" s="198"/>
    </row>
    <row r="4482" spans="1:1" s="199" customFormat="1" ht="12" hidden="1" customHeight="1">
      <c r="A4482" s="198"/>
    </row>
    <row r="4483" spans="1:1" s="199" customFormat="1" ht="12" hidden="1" customHeight="1">
      <c r="A4483" s="198"/>
    </row>
    <row r="4484" spans="1:1" s="199" customFormat="1" ht="12" hidden="1" customHeight="1">
      <c r="A4484" s="198"/>
    </row>
    <row r="4485" spans="1:1" s="199" customFormat="1" ht="12" hidden="1" customHeight="1">
      <c r="A4485" s="198"/>
    </row>
    <row r="4486" spans="1:1" s="199" customFormat="1" ht="12" hidden="1" customHeight="1">
      <c r="A4486" s="198"/>
    </row>
    <row r="4487" spans="1:1" s="199" customFormat="1" ht="12" hidden="1" customHeight="1">
      <c r="A4487" s="198"/>
    </row>
    <row r="4488" spans="1:1" s="199" customFormat="1" ht="12" hidden="1" customHeight="1">
      <c r="A4488" s="198"/>
    </row>
    <row r="4489" spans="1:1" s="199" customFormat="1" ht="12" hidden="1" customHeight="1">
      <c r="A4489" s="198"/>
    </row>
    <row r="4490" spans="1:1" s="199" customFormat="1" ht="12" hidden="1" customHeight="1">
      <c r="A4490" s="198"/>
    </row>
    <row r="4491" spans="1:1" s="199" customFormat="1" ht="12" hidden="1" customHeight="1">
      <c r="A4491" s="198"/>
    </row>
    <row r="4492" spans="1:1" s="199" customFormat="1" ht="12" hidden="1" customHeight="1">
      <c r="A4492" s="198"/>
    </row>
    <row r="4493" spans="1:1" s="199" customFormat="1" ht="12" hidden="1" customHeight="1">
      <c r="A4493" s="198"/>
    </row>
    <row r="4494" spans="1:1" s="199" customFormat="1" ht="12" hidden="1" customHeight="1">
      <c r="A4494" s="198"/>
    </row>
    <row r="4495" spans="1:1" s="199" customFormat="1" ht="12" hidden="1" customHeight="1">
      <c r="A4495" s="198"/>
    </row>
    <row r="4496" spans="1:1" s="199" customFormat="1" ht="12" hidden="1" customHeight="1">
      <c r="A4496" s="198"/>
    </row>
    <row r="4497" spans="1:1" s="199" customFormat="1" ht="12" hidden="1" customHeight="1">
      <c r="A4497" s="198"/>
    </row>
    <row r="4498" spans="1:1" s="199" customFormat="1" ht="12" hidden="1" customHeight="1">
      <c r="A4498" s="198"/>
    </row>
    <row r="4499" spans="1:1" s="199" customFormat="1" ht="12" hidden="1" customHeight="1">
      <c r="A4499" s="198"/>
    </row>
    <row r="4500" spans="1:1" s="199" customFormat="1" ht="12" hidden="1" customHeight="1">
      <c r="A4500" s="198"/>
    </row>
    <row r="4501" spans="1:1" s="199" customFormat="1" ht="12" hidden="1" customHeight="1">
      <c r="A4501" s="198"/>
    </row>
    <row r="4502" spans="1:1" s="199" customFormat="1" ht="12" hidden="1" customHeight="1">
      <c r="A4502" s="198"/>
    </row>
    <row r="4503" spans="1:1" s="199" customFormat="1" ht="12" hidden="1" customHeight="1">
      <c r="A4503" s="198"/>
    </row>
    <row r="4504" spans="1:1" s="199" customFormat="1" ht="12" hidden="1" customHeight="1">
      <c r="A4504" s="198"/>
    </row>
    <row r="4505" spans="1:1" s="199" customFormat="1" ht="12" hidden="1" customHeight="1">
      <c r="A4505" s="198"/>
    </row>
    <row r="4506" spans="1:1" s="199" customFormat="1" ht="12" hidden="1" customHeight="1">
      <c r="A4506" s="198"/>
    </row>
    <row r="4507" spans="1:1" s="199" customFormat="1" ht="12" hidden="1" customHeight="1">
      <c r="A4507" s="198"/>
    </row>
    <row r="4508" spans="1:1" s="199" customFormat="1" ht="12" hidden="1" customHeight="1">
      <c r="A4508" s="198"/>
    </row>
    <row r="4509" spans="1:1" s="199" customFormat="1" ht="12" hidden="1" customHeight="1">
      <c r="A4509" s="198"/>
    </row>
    <row r="4510" spans="1:1" s="199" customFormat="1" ht="12" hidden="1" customHeight="1">
      <c r="A4510" s="198"/>
    </row>
    <row r="4511" spans="1:1" s="199" customFormat="1" ht="12" hidden="1" customHeight="1">
      <c r="A4511" s="198"/>
    </row>
    <row r="4512" spans="1:1" s="199" customFormat="1" ht="12" hidden="1" customHeight="1">
      <c r="A4512" s="198"/>
    </row>
    <row r="4513" spans="1:1" s="199" customFormat="1" ht="12" hidden="1" customHeight="1">
      <c r="A4513" s="198"/>
    </row>
    <row r="4514" spans="1:1" s="199" customFormat="1" ht="12" hidden="1" customHeight="1">
      <c r="A4514" s="198"/>
    </row>
    <row r="4515" spans="1:1" s="199" customFormat="1" ht="12" hidden="1" customHeight="1">
      <c r="A4515" s="198"/>
    </row>
    <row r="4516" spans="1:1" s="199" customFormat="1" ht="12" hidden="1" customHeight="1">
      <c r="A4516" s="198"/>
    </row>
    <row r="4517" spans="1:1" s="199" customFormat="1" ht="12" hidden="1" customHeight="1">
      <c r="A4517" s="198"/>
    </row>
    <row r="4518" spans="1:1" s="199" customFormat="1" ht="12" hidden="1" customHeight="1">
      <c r="A4518" s="198"/>
    </row>
    <row r="4519" spans="1:1" s="199" customFormat="1" ht="12" hidden="1" customHeight="1">
      <c r="A4519" s="198"/>
    </row>
    <row r="4520" spans="1:1" s="199" customFormat="1" ht="12" hidden="1" customHeight="1">
      <c r="A4520" s="198"/>
    </row>
    <row r="4521" spans="1:1" s="199" customFormat="1" ht="12" hidden="1" customHeight="1">
      <c r="A4521" s="198"/>
    </row>
    <row r="4522" spans="1:1" s="199" customFormat="1" ht="12" hidden="1" customHeight="1">
      <c r="A4522" s="198"/>
    </row>
    <row r="4523" spans="1:1" s="199" customFormat="1" ht="12" hidden="1" customHeight="1">
      <c r="A4523" s="198"/>
    </row>
    <row r="4524" spans="1:1" s="199" customFormat="1" ht="12" hidden="1" customHeight="1">
      <c r="A4524" s="198"/>
    </row>
    <row r="4525" spans="1:1" s="199" customFormat="1" ht="12" hidden="1" customHeight="1">
      <c r="A4525" s="198"/>
    </row>
    <row r="4526" spans="1:1" s="199" customFormat="1" ht="12" hidden="1" customHeight="1">
      <c r="A4526" s="198"/>
    </row>
    <row r="4527" spans="1:1" s="199" customFormat="1" ht="12" hidden="1" customHeight="1">
      <c r="A4527" s="198"/>
    </row>
    <row r="4528" spans="1:1" s="199" customFormat="1" ht="12" hidden="1" customHeight="1">
      <c r="A4528" s="198"/>
    </row>
    <row r="4529" spans="1:1" s="199" customFormat="1" ht="12" hidden="1" customHeight="1">
      <c r="A4529" s="198"/>
    </row>
    <row r="4530" spans="1:1" s="199" customFormat="1" ht="12" hidden="1" customHeight="1">
      <c r="A4530" s="198"/>
    </row>
    <row r="4531" spans="1:1" s="199" customFormat="1" ht="12" hidden="1" customHeight="1">
      <c r="A4531" s="198"/>
    </row>
    <row r="4532" spans="1:1" s="199" customFormat="1" ht="12" hidden="1" customHeight="1">
      <c r="A4532" s="198"/>
    </row>
    <row r="4533" spans="1:1" s="199" customFormat="1" ht="12" hidden="1" customHeight="1">
      <c r="A4533" s="198"/>
    </row>
    <row r="4534" spans="1:1" s="199" customFormat="1" ht="12" hidden="1" customHeight="1">
      <c r="A4534" s="198"/>
    </row>
    <row r="4535" spans="1:1" s="199" customFormat="1" ht="12" hidden="1" customHeight="1">
      <c r="A4535" s="198"/>
    </row>
    <row r="4536" spans="1:1" s="199" customFormat="1" ht="12" hidden="1" customHeight="1">
      <c r="A4536" s="198"/>
    </row>
    <row r="4537" spans="1:1" s="199" customFormat="1" ht="12" hidden="1" customHeight="1">
      <c r="A4537" s="198"/>
    </row>
    <row r="4538" spans="1:1" s="199" customFormat="1" ht="12" hidden="1" customHeight="1">
      <c r="A4538" s="198"/>
    </row>
    <row r="4539" spans="1:1" s="199" customFormat="1" ht="12" hidden="1" customHeight="1">
      <c r="A4539" s="198"/>
    </row>
    <row r="4540" spans="1:1" s="199" customFormat="1" ht="12" hidden="1" customHeight="1">
      <c r="A4540" s="198"/>
    </row>
    <row r="4541" spans="1:1" s="199" customFormat="1" ht="12" hidden="1" customHeight="1">
      <c r="A4541" s="198"/>
    </row>
    <row r="4542" spans="1:1" s="199" customFormat="1" ht="12" hidden="1" customHeight="1">
      <c r="A4542" s="198"/>
    </row>
    <row r="4543" spans="1:1" s="199" customFormat="1" ht="12" hidden="1" customHeight="1">
      <c r="A4543" s="198"/>
    </row>
    <row r="4544" spans="1:1" s="199" customFormat="1" ht="12" hidden="1" customHeight="1">
      <c r="A4544" s="198"/>
    </row>
    <row r="4545" spans="1:1" s="199" customFormat="1" ht="12" hidden="1" customHeight="1">
      <c r="A4545" s="198"/>
    </row>
    <row r="4546" spans="1:1" s="199" customFormat="1" ht="12" hidden="1" customHeight="1">
      <c r="A4546" s="198"/>
    </row>
    <row r="4547" spans="1:1" s="199" customFormat="1" ht="12" hidden="1" customHeight="1">
      <c r="A4547" s="198"/>
    </row>
    <row r="4548" spans="1:1" s="199" customFormat="1" ht="12" hidden="1" customHeight="1">
      <c r="A4548" s="198"/>
    </row>
    <row r="4549" spans="1:1" s="199" customFormat="1" ht="12" hidden="1" customHeight="1">
      <c r="A4549" s="198"/>
    </row>
    <row r="4550" spans="1:1" s="199" customFormat="1" ht="12" hidden="1" customHeight="1">
      <c r="A4550" s="198"/>
    </row>
    <row r="4551" spans="1:1" s="199" customFormat="1" ht="12" hidden="1" customHeight="1">
      <c r="A4551" s="198"/>
    </row>
    <row r="4552" spans="1:1" s="199" customFormat="1" ht="12" hidden="1" customHeight="1">
      <c r="A4552" s="198"/>
    </row>
    <row r="4553" spans="1:1" s="199" customFormat="1" ht="12" hidden="1" customHeight="1">
      <c r="A4553" s="198"/>
    </row>
    <row r="4554" spans="1:1" s="199" customFormat="1" ht="12" hidden="1" customHeight="1">
      <c r="A4554" s="198"/>
    </row>
    <row r="4555" spans="1:1" s="199" customFormat="1" ht="12" hidden="1" customHeight="1">
      <c r="A4555" s="198"/>
    </row>
    <row r="4556" spans="1:1" s="199" customFormat="1" ht="12" hidden="1" customHeight="1">
      <c r="A4556" s="198"/>
    </row>
    <row r="4557" spans="1:1" s="199" customFormat="1" ht="12" hidden="1" customHeight="1">
      <c r="A4557" s="198"/>
    </row>
    <row r="4558" spans="1:1" s="199" customFormat="1" ht="12" hidden="1" customHeight="1">
      <c r="A4558" s="198"/>
    </row>
    <row r="4559" spans="1:1" s="199" customFormat="1" ht="12" hidden="1" customHeight="1">
      <c r="A4559" s="198"/>
    </row>
    <row r="4560" spans="1:1" s="199" customFormat="1" ht="12" hidden="1" customHeight="1">
      <c r="A4560" s="198"/>
    </row>
    <row r="4561" spans="1:1" s="199" customFormat="1" ht="12" hidden="1" customHeight="1">
      <c r="A4561" s="198"/>
    </row>
    <row r="4562" spans="1:1" s="199" customFormat="1" ht="12" hidden="1" customHeight="1">
      <c r="A4562" s="198"/>
    </row>
    <row r="4563" spans="1:1" s="199" customFormat="1" ht="12" hidden="1" customHeight="1">
      <c r="A4563" s="198"/>
    </row>
    <row r="4564" spans="1:1" s="199" customFormat="1" ht="12" hidden="1" customHeight="1">
      <c r="A4564" s="198"/>
    </row>
    <row r="4565" spans="1:1" s="199" customFormat="1" ht="12" hidden="1" customHeight="1">
      <c r="A4565" s="198"/>
    </row>
    <row r="4566" spans="1:1" s="199" customFormat="1" ht="12" hidden="1" customHeight="1">
      <c r="A4566" s="198"/>
    </row>
    <row r="4567" spans="1:1" s="199" customFormat="1" ht="12" hidden="1" customHeight="1">
      <c r="A4567" s="198"/>
    </row>
    <row r="4568" spans="1:1" s="199" customFormat="1" ht="12" hidden="1" customHeight="1">
      <c r="A4568" s="198"/>
    </row>
    <row r="4569" spans="1:1" s="199" customFormat="1" ht="12" hidden="1" customHeight="1">
      <c r="A4569" s="198"/>
    </row>
    <row r="4570" spans="1:1" s="199" customFormat="1" ht="12" hidden="1" customHeight="1">
      <c r="A4570" s="198"/>
    </row>
    <row r="4571" spans="1:1" s="199" customFormat="1" ht="12" hidden="1" customHeight="1">
      <c r="A4571" s="198"/>
    </row>
    <row r="4572" spans="1:1" s="199" customFormat="1" ht="12" hidden="1" customHeight="1">
      <c r="A4572" s="198"/>
    </row>
    <row r="4573" spans="1:1" s="199" customFormat="1" ht="12" hidden="1" customHeight="1">
      <c r="A4573" s="198"/>
    </row>
    <row r="4574" spans="1:1" s="199" customFormat="1" ht="12" hidden="1" customHeight="1">
      <c r="A4574" s="198"/>
    </row>
    <row r="4575" spans="1:1" s="199" customFormat="1" ht="12" hidden="1" customHeight="1">
      <c r="A4575" s="198"/>
    </row>
    <row r="4576" spans="1:1" s="199" customFormat="1" ht="12" hidden="1" customHeight="1">
      <c r="A4576" s="198"/>
    </row>
    <row r="4577" spans="1:1" s="199" customFormat="1" ht="12" hidden="1" customHeight="1">
      <c r="A4577" s="198"/>
    </row>
    <row r="4578" spans="1:1" s="199" customFormat="1" ht="12" hidden="1" customHeight="1">
      <c r="A4578" s="198"/>
    </row>
    <row r="4579" spans="1:1" s="199" customFormat="1" ht="12" hidden="1" customHeight="1">
      <c r="A4579" s="198"/>
    </row>
    <row r="4580" spans="1:1" s="199" customFormat="1" ht="12" hidden="1" customHeight="1">
      <c r="A4580" s="198"/>
    </row>
    <row r="4581" spans="1:1" s="199" customFormat="1" ht="12" hidden="1" customHeight="1">
      <c r="A4581" s="198"/>
    </row>
    <row r="4582" spans="1:1" s="199" customFormat="1" ht="12" hidden="1" customHeight="1">
      <c r="A4582" s="198"/>
    </row>
    <row r="4583" spans="1:1" s="199" customFormat="1" ht="12" hidden="1" customHeight="1">
      <c r="A4583" s="198"/>
    </row>
    <row r="4584" spans="1:1" s="199" customFormat="1" ht="12" hidden="1" customHeight="1">
      <c r="A4584" s="198"/>
    </row>
    <row r="4585" spans="1:1" s="199" customFormat="1" ht="12" hidden="1" customHeight="1">
      <c r="A4585" s="198"/>
    </row>
    <row r="4586" spans="1:1" s="199" customFormat="1" ht="12" hidden="1" customHeight="1">
      <c r="A4586" s="198"/>
    </row>
    <row r="4587" spans="1:1" s="199" customFormat="1" ht="12" hidden="1" customHeight="1">
      <c r="A4587" s="198"/>
    </row>
    <row r="4588" spans="1:1" s="199" customFormat="1" ht="12" hidden="1" customHeight="1">
      <c r="A4588" s="198"/>
    </row>
    <row r="4589" spans="1:1" s="199" customFormat="1" ht="12" hidden="1" customHeight="1">
      <c r="A4589" s="198"/>
    </row>
    <row r="4590" spans="1:1" s="199" customFormat="1" ht="12" hidden="1" customHeight="1">
      <c r="A4590" s="198"/>
    </row>
    <row r="4591" spans="1:1" s="199" customFormat="1" ht="12" hidden="1" customHeight="1">
      <c r="A4591" s="198"/>
    </row>
    <row r="4592" spans="1:1" s="199" customFormat="1" ht="12" hidden="1" customHeight="1">
      <c r="A4592" s="198"/>
    </row>
    <row r="4593" spans="1:1" s="199" customFormat="1" ht="12" hidden="1" customHeight="1">
      <c r="A4593" s="198"/>
    </row>
    <row r="4594" spans="1:1" s="199" customFormat="1" ht="12" hidden="1" customHeight="1">
      <c r="A4594" s="198"/>
    </row>
    <row r="4595" spans="1:1" s="199" customFormat="1" ht="12" hidden="1" customHeight="1">
      <c r="A4595" s="198"/>
    </row>
    <row r="4596" spans="1:1" s="199" customFormat="1" ht="12" hidden="1" customHeight="1">
      <c r="A4596" s="198"/>
    </row>
    <row r="4597" spans="1:1" s="199" customFormat="1" ht="12" hidden="1" customHeight="1">
      <c r="A4597" s="198"/>
    </row>
    <row r="4598" spans="1:1" s="199" customFormat="1" ht="12" hidden="1" customHeight="1">
      <c r="A4598" s="198"/>
    </row>
    <row r="4599" spans="1:1" s="199" customFormat="1" ht="12" hidden="1" customHeight="1">
      <c r="A4599" s="198"/>
    </row>
    <row r="4600" spans="1:1" s="199" customFormat="1" ht="12" hidden="1" customHeight="1">
      <c r="A4600" s="198"/>
    </row>
    <row r="4601" spans="1:1" s="199" customFormat="1" ht="12" hidden="1" customHeight="1">
      <c r="A4601" s="198"/>
    </row>
    <row r="4602" spans="1:1" s="199" customFormat="1" ht="12" hidden="1" customHeight="1">
      <c r="A4602" s="198"/>
    </row>
    <row r="4603" spans="1:1" s="199" customFormat="1" ht="12" hidden="1" customHeight="1">
      <c r="A4603" s="198"/>
    </row>
    <row r="4604" spans="1:1" s="199" customFormat="1" ht="12" hidden="1" customHeight="1">
      <c r="A4604" s="198"/>
    </row>
    <row r="4605" spans="1:1" s="199" customFormat="1" ht="12" hidden="1" customHeight="1">
      <c r="A4605" s="198"/>
    </row>
    <row r="4606" spans="1:1" s="199" customFormat="1" ht="12" hidden="1" customHeight="1">
      <c r="A4606" s="198"/>
    </row>
    <row r="4607" spans="1:1" s="199" customFormat="1" ht="12" hidden="1" customHeight="1">
      <c r="A4607" s="198"/>
    </row>
    <row r="4608" spans="1:1" s="199" customFormat="1" ht="12" hidden="1" customHeight="1">
      <c r="A4608" s="198"/>
    </row>
    <row r="4609" spans="1:1" s="199" customFormat="1" ht="12" hidden="1" customHeight="1">
      <c r="A4609" s="198"/>
    </row>
    <row r="4610" spans="1:1" s="199" customFormat="1" ht="12" hidden="1" customHeight="1">
      <c r="A4610" s="198"/>
    </row>
    <row r="4611" spans="1:1" s="199" customFormat="1" ht="12" hidden="1" customHeight="1">
      <c r="A4611" s="198"/>
    </row>
    <row r="4612" spans="1:1" s="199" customFormat="1" ht="12" hidden="1" customHeight="1">
      <c r="A4612" s="198"/>
    </row>
    <row r="4613" spans="1:1" s="199" customFormat="1" ht="12" hidden="1" customHeight="1">
      <c r="A4613" s="198"/>
    </row>
    <row r="4614" spans="1:1" s="199" customFormat="1" ht="12" hidden="1" customHeight="1">
      <c r="A4614" s="198"/>
    </row>
    <row r="4615" spans="1:1" s="199" customFormat="1" ht="12" hidden="1" customHeight="1">
      <c r="A4615" s="198"/>
    </row>
    <row r="4616" spans="1:1" s="199" customFormat="1" ht="12" hidden="1" customHeight="1">
      <c r="A4616" s="198"/>
    </row>
    <row r="4617" spans="1:1" s="199" customFormat="1" ht="12" hidden="1" customHeight="1">
      <c r="A4617" s="198"/>
    </row>
    <row r="4618" spans="1:1" s="199" customFormat="1" ht="12" hidden="1" customHeight="1">
      <c r="A4618" s="198"/>
    </row>
    <row r="4619" spans="1:1" s="199" customFormat="1" ht="12" hidden="1" customHeight="1">
      <c r="A4619" s="198"/>
    </row>
    <row r="4620" spans="1:1" s="199" customFormat="1" ht="12" hidden="1" customHeight="1">
      <c r="A4620" s="198"/>
    </row>
    <row r="4621" spans="1:1" s="199" customFormat="1" ht="12" hidden="1" customHeight="1">
      <c r="A4621" s="198"/>
    </row>
    <row r="4622" spans="1:1" s="199" customFormat="1" ht="12" hidden="1" customHeight="1">
      <c r="A4622" s="198"/>
    </row>
    <row r="4623" spans="1:1" s="199" customFormat="1" ht="12" hidden="1" customHeight="1">
      <c r="A4623" s="198"/>
    </row>
    <row r="4624" spans="1:1" s="199" customFormat="1" ht="12" hidden="1" customHeight="1">
      <c r="A4624" s="198"/>
    </row>
    <row r="4625" spans="1:1" s="199" customFormat="1" ht="12" hidden="1" customHeight="1">
      <c r="A4625" s="198"/>
    </row>
    <row r="4626" spans="1:1" s="199" customFormat="1" ht="12" hidden="1" customHeight="1">
      <c r="A4626" s="198"/>
    </row>
    <row r="4627" spans="1:1" s="199" customFormat="1" ht="12" hidden="1" customHeight="1">
      <c r="A4627" s="198"/>
    </row>
    <row r="4628" spans="1:1" s="199" customFormat="1" ht="12" hidden="1" customHeight="1">
      <c r="A4628" s="198"/>
    </row>
    <row r="4629" spans="1:1" s="199" customFormat="1" ht="12" hidden="1" customHeight="1">
      <c r="A4629" s="198"/>
    </row>
    <row r="4630" spans="1:1" s="199" customFormat="1" ht="12" hidden="1" customHeight="1">
      <c r="A4630" s="198"/>
    </row>
    <row r="4631" spans="1:1" s="199" customFormat="1" ht="12" hidden="1" customHeight="1">
      <c r="A4631" s="198"/>
    </row>
    <row r="4632" spans="1:1" s="199" customFormat="1" ht="12" hidden="1" customHeight="1">
      <c r="A4632" s="198"/>
    </row>
    <row r="4633" spans="1:1" s="199" customFormat="1" ht="12" hidden="1" customHeight="1">
      <c r="A4633" s="198"/>
    </row>
    <row r="4634" spans="1:1" s="199" customFormat="1" ht="12" hidden="1" customHeight="1">
      <c r="A4634" s="198"/>
    </row>
    <row r="4635" spans="1:1" s="199" customFormat="1" ht="12" hidden="1" customHeight="1">
      <c r="A4635" s="198"/>
    </row>
    <row r="4636" spans="1:1" s="199" customFormat="1" ht="12" hidden="1" customHeight="1">
      <c r="A4636" s="198"/>
    </row>
    <row r="4637" spans="1:1" s="199" customFormat="1" ht="12" hidden="1" customHeight="1">
      <c r="A4637" s="198"/>
    </row>
    <row r="4638" spans="1:1" s="199" customFormat="1" ht="12" hidden="1" customHeight="1">
      <c r="A4638" s="198"/>
    </row>
    <row r="4639" spans="1:1" s="199" customFormat="1" ht="12" hidden="1" customHeight="1">
      <c r="A4639" s="198"/>
    </row>
    <row r="4640" spans="1:1" s="199" customFormat="1" ht="12" hidden="1" customHeight="1">
      <c r="A4640" s="198"/>
    </row>
    <row r="4641" spans="1:1" s="199" customFormat="1" ht="12" hidden="1" customHeight="1">
      <c r="A4641" s="198"/>
    </row>
    <row r="4642" spans="1:1" s="199" customFormat="1" ht="12" hidden="1" customHeight="1">
      <c r="A4642" s="198"/>
    </row>
    <row r="4643" spans="1:1" s="199" customFormat="1" ht="12" hidden="1" customHeight="1">
      <c r="A4643" s="198"/>
    </row>
    <row r="4644" spans="1:1" s="199" customFormat="1" ht="12" hidden="1" customHeight="1">
      <c r="A4644" s="198"/>
    </row>
    <row r="4645" spans="1:1" s="199" customFormat="1" ht="12" hidden="1" customHeight="1">
      <c r="A4645" s="198"/>
    </row>
    <row r="4646" spans="1:1" s="199" customFormat="1" ht="12" hidden="1" customHeight="1">
      <c r="A4646" s="198"/>
    </row>
    <row r="4647" spans="1:1" s="199" customFormat="1" ht="12" hidden="1" customHeight="1">
      <c r="A4647" s="198"/>
    </row>
    <row r="4648" spans="1:1" s="199" customFormat="1" ht="12" hidden="1" customHeight="1">
      <c r="A4648" s="198"/>
    </row>
    <row r="4649" spans="1:1" s="199" customFormat="1" ht="12" hidden="1" customHeight="1">
      <c r="A4649" s="198"/>
    </row>
    <row r="4650" spans="1:1" s="199" customFormat="1" ht="12" hidden="1" customHeight="1">
      <c r="A4650" s="198"/>
    </row>
    <row r="4651" spans="1:1" s="199" customFormat="1" ht="12" hidden="1" customHeight="1">
      <c r="A4651" s="198"/>
    </row>
    <row r="4652" spans="1:1" s="199" customFormat="1" ht="12" hidden="1" customHeight="1">
      <c r="A4652" s="198"/>
    </row>
    <row r="4653" spans="1:1" s="199" customFormat="1" ht="12" hidden="1" customHeight="1">
      <c r="A4653" s="198"/>
    </row>
    <row r="4654" spans="1:1" s="199" customFormat="1" ht="12" hidden="1" customHeight="1">
      <c r="A4654" s="198"/>
    </row>
    <row r="4655" spans="1:1" s="199" customFormat="1" ht="12" hidden="1" customHeight="1">
      <c r="A4655" s="198"/>
    </row>
    <row r="4656" spans="1:1" s="199" customFormat="1" ht="12" hidden="1" customHeight="1">
      <c r="A4656" s="198"/>
    </row>
    <row r="4657" spans="1:1" s="199" customFormat="1" ht="12" hidden="1" customHeight="1">
      <c r="A4657" s="198"/>
    </row>
    <row r="4658" spans="1:1" s="199" customFormat="1" ht="12" hidden="1" customHeight="1">
      <c r="A4658" s="198"/>
    </row>
    <row r="4659" spans="1:1" s="199" customFormat="1" ht="12" hidden="1" customHeight="1">
      <c r="A4659" s="198"/>
    </row>
    <row r="4660" spans="1:1" s="199" customFormat="1" ht="12" hidden="1" customHeight="1">
      <c r="A4660" s="198"/>
    </row>
    <row r="4661" spans="1:1" s="199" customFormat="1" ht="12" hidden="1" customHeight="1">
      <c r="A4661" s="198"/>
    </row>
    <row r="4662" spans="1:1" s="199" customFormat="1" ht="12" hidden="1" customHeight="1">
      <c r="A4662" s="198"/>
    </row>
    <row r="4663" spans="1:1" s="199" customFormat="1" ht="12" hidden="1" customHeight="1">
      <c r="A4663" s="198"/>
    </row>
    <row r="4664" spans="1:1" s="199" customFormat="1" ht="12" hidden="1" customHeight="1">
      <c r="A4664" s="198"/>
    </row>
    <row r="4665" spans="1:1" s="199" customFormat="1" ht="12" hidden="1" customHeight="1">
      <c r="A4665" s="198"/>
    </row>
    <row r="4666" spans="1:1" s="199" customFormat="1" ht="12" hidden="1" customHeight="1">
      <c r="A4666" s="198"/>
    </row>
    <row r="4667" spans="1:1" s="199" customFormat="1" ht="12" hidden="1" customHeight="1">
      <c r="A4667" s="198"/>
    </row>
    <row r="4668" spans="1:1" s="199" customFormat="1" ht="12" hidden="1" customHeight="1">
      <c r="A4668" s="198"/>
    </row>
    <row r="4669" spans="1:1" s="199" customFormat="1" ht="12" hidden="1" customHeight="1">
      <c r="A4669" s="198"/>
    </row>
    <row r="4670" spans="1:1" s="199" customFormat="1" ht="12" hidden="1" customHeight="1">
      <c r="A4670" s="198"/>
    </row>
    <row r="4671" spans="1:1" s="199" customFormat="1" ht="12" hidden="1" customHeight="1">
      <c r="A4671" s="198"/>
    </row>
    <row r="4672" spans="1:1" s="199" customFormat="1" ht="12" hidden="1" customHeight="1">
      <c r="A4672" s="198"/>
    </row>
    <row r="4673" spans="1:1" s="199" customFormat="1" ht="12" hidden="1" customHeight="1">
      <c r="A4673" s="198"/>
    </row>
    <row r="4674" spans="1:1" s="199" customFormat="1" ht="12" hidden="1" customHeight="1">
      <c r="A4674" s="198"/>
    </row>
    <row r="4675" spans="1:1" s="199" customFormat="1" ht="12" hidden="1" customHeight="1">
      <c r="A4675" s="198"/>
    </row>
    <row r="4676" spans="1:1" s="199" customFormat="1" ht="12" hidden="1" customHeight="1">
      <c r="A4676" s="198"/>
    </row>
    <row r="4677" spans="1:1" s="199" customFormat="1" ht="12" hidden="1" customHeight="1">
      <c r="A4677" s="198"/>
    </row>
    <row r="4678" spans="1:1" s="199" customFormat="1" ht="12" hidden="1" customHeight="1">
      <c r="A4678" s="198"/>
    </row>
    <row r="4679" spans="1:1" s="199" customFormat="1" ht="12" hidden="1" customHeight="1">
      <c r="A4679" s="198"/>
    </row>
    <row r="4680" spans="1:1" s="199" customFormat="1" ht="12" hidden="1" customHeight="1">
      <c r="A4680" s="198"/>
    </row>
    <row r="4681" spans="1:1" s="199" customFormat="1" ht="12" hidden="1" customHeight="1">
      <c r="A4681" s="198"/>
    </row>
    <row r="4682" spans="1:1" s="199" customFormat="1" ht="12" hidden="1" customHeight="1">
      <c r="A4682" s="198"/>
    </row>
    <row r="4683" spans="1:1" s="199" customFormat="1" ht="12" hidden="1" customHeight="1">
      <c r="A4683" s="198"/>
    </row>
    <row r="4684" spans="1:1" s="199" customFormat="1" ht="12" hidden="1" customHeight="1">
      <c r="A4684" s="198"/>
    </row>
    <row r="4685" spans="1:1" s="199" customFormat="1" ht="12" hidden="1" customHeight="1">
      <c r="A4685" s="198"/>
    </row>
    <row r="4686" spans="1:1" s="199" customFormat="1" ht="12" hidden="1" customHeight="1">
      <c r="A4686" s="198"/>
    </row>
    <row r="4687" spans="1:1" s="199" customFormat="1" ht="12" hidden="1" customHeight="1">
      <c r="A4687" s="198"/>
    </row>
    <row r="4688" spans="1:1" s="199" customFormat="1" ht="12" hidden="1" customHeight="1">
      <c r="A4688" s="198"/>
    </row>
    <row r="4689" spans="1:1" s="199" customFormat="1" ht="12" hidden="1" customHeight="1">
      <c r="A4689" s="198"/>
    </row>
    <row r="4690" spans="1:1" s="199" customFormat="1" ht="12" hidden="1" customHeight="1">
      <c r="A4690" s="198"/>
    </row>
    <row r="4691" spans="1:1" s="199" customFormat="1" ht="12" hidden="1" customHeight="1">
      <c r="A4691" s="198"/>
    </row>
    <row r="4692" spans="1:1" s="199" customFormat="1" ht="12" hidden="1" customHeight="1">
      <c r="A4692" s="198"/>
    </row>
    <row r="4693" spans="1:1" s="199" customFormat="1" ht="12" hidden="1" customHeight="1">
      <c r="A4693" s="198"/>
    </row>
    <row r="4694" spans="1:1" s="199" customFormat="1" ht="12" hidden="1" customHeight="1">
      <c r="A4694" s="198"/>
    </row>
    <row r="4695" spans="1:1" s="199" customFormat="1" ht="12" hidden="1" customHeight="1">
      <c r="A4695" s="198"/>
    </row>
    <row r="4696" spans="1:1" s="199" customFormat="1" ht="12" hidden="1" customHeight="1">
      <c r="A4696" s="198"/>
    </row>
    <row r="4697" spans="1:1" s="199" customFormat="1" ht="12" hidden="1" customHeight="1">
      <c r="A4697" s="198"/>
    </row>
    <row r="4698" spans="1:1" s="199" customFormat="1" ht="12" hidden="1" customHeight="1">
      <c r="A4698" s="198"/>
    </row>
    <row r="4699" spans="1:1" s="199" customFormat="1" ht="12" hidden="1" customHeight="1">
      <c r="A4699" s="198"/>
    </row>
    <row r="4700" spans="1:1" s="199" customFormat="1" ht="12" hidden="1" customHeight="1">
      <c r="A4700" s="198"/>
    </row>
    <row r="4701" spans="1:1" s="199" customFormat="1" ht="12" hidden="1" customHeight="1">
      <c r="A4701" s="198"/>
    </row>
    <row r="4702" spans="1:1" s="199" customFormat="1" ht="12" hidden="1" customHeight="1">
      <c r="A4702" s="198"/>
    </row>
    <row r="4703" spans="1:1" s="199" customFormat="1" ht="12" hidden="1" customHeight="1">
      <c r="A4703" s="198"/>
    </row>
    <row r="4704" spans="1:1" s="199" customFormat="1" ht="12" hidden="1" customHeight="1">
      <c r="A4704" s="198"/>
    </row>
    <row r="4705" spans="1:1" s="199" customFormat="1" ht="12" hidden="1" customHeight="1">
      <c r="A4705" s="198"/>
    </row>
    <row r="4706" spans="1:1" s="199" customFormat="1" ht="12" hidden="1" customHeight="1">
      <c r="A4706" s="198"/>
    </row>
    <row r="4707" spans="1:1" s="199" customFormat="1" ht="12" hidden="1" customHeight="1">
      <c r="A4707" s="198"/>
    </row>
    <row r="4708" spans="1:1" s="199" customFormat="1" ht="12" hidden="1" customHeight="1">
      <c r="A4708" s="198"/>
    </row>
    <row r="4709" spans="1:1" s="199" customFormat="1" ht="12" hidden="1" customHeight="1">
      <c r="A4709" s="198"/>
    </row>
    <row r="4710" spans="1:1" s="199" customFormat="1" ht="12" hidden="1" customHeight="1">
      <c r="A4710" s="198"/>
    </row>
    <row r="4711" spans="1:1" s="199" customFormat="1" ht="12" hidden="1" customHeight="1">
      <c r="A4711" s="198"/>
    </row>
    <row r="4712" spans="1:1" s="199" customFormat="1" ht="12" hidden="1" customHeight="1">
      <c r="A4712" s="198"/>
    </row>
    <row r="4713" spans="1:1" s="199" customFormat="1" ht="12" hidden="1" customHeight="1">
      <c r="A4713" s="198"/>
    </row>
    <row r="4714" spans="1:1" s="199" customFormat="1" ht="12" hidden="1" customHeight="1">
      <c r="A4714" s="198"/>
    </row>
    <row r="4715" spans="1:1" s="199" customFormat="1" ht="12" hidden="1" customHeight="1">
      <c r="A4715" s="198"/>
    </row>
    <row r="4716" spans="1:1" s="199" customFormat="1" ht="12" hidden="1" customHeight="1">
      <c r="A4716" s="198"/>
    </row>
    <row r="4717" spans="1:1" s="199" customFormat="1" ht="12" hidden="1" customHeight="1">
      <c r="A4717" s="198"/>
    </row>
    <row r="4718" spans="1:1" s="199" customFormat="1" ht="12" hidden="1" customHeight="1">
      <c r="A4718" s="198"/>
    </row>
    <row r="4719" spans="1:1" s="199" customFormat="1" ht="12" hidden="1" customHeight="1">
      <c r="A4719" s="198"/>
    </row>
    <row r="4720" spans="1:1" s="199" customFormat="1" ht="12" hidden="1" customHeight="1">
      <c r="A4720" s="198"/>
    </row>
    <row r="4721" spans="1:1" s="199" customFormat="1" ht="12" hidden="1" customHeight="1">
      <c r="A4721" s="198"/>
    </row>
    <row r="4722" spans="1:1" s="199" customFormat="1" ht="12" hidden="1" customHeight="1">
      <c r="A4722" s="198"/>
    </row>
    <row r="4723" spans="1:1" s="199" customFormat="1" ht="12" hidden="1" customHeight="1">
      <c r="A4723" s="198"/>
    </row>
    <row r="4724" spans="1:1" s="199" customFormat="1" ht="12" hidden="1" customHeight="1">
      <c r="A4724" s="198"/>
    </row>
    <row r="4725" spans="1:1" s="199" customFormat="1" ht="12" hidden="1" customHeight="1">
      <c r="A4725" s="198"/>
    </row>
    <row r="4726" spans="1:1" s="199" customFormat="1" ht="12" hidden="1" customHeight="1">
      <c r="A4726" s="198"/>
    </row>
    <row r="4727" spans="1:1" s="199" customFormat="1" ht="12" hidden="1" customHeight="1">
      <c r="A4727" s="198"/>
    </row>
    <row r="4728" spans="1:1" s="199" customFormat="1" ht="12" hidden="1" customHeight="1">
      <c r="A4728" s="198"/>
    </row>
    <row r="4729" spans="1:1" s="199" customFormat="1" ht="12" hidden="1" customHeight="1">
      <c r="A4729" s="198"/>
    </row>
    <row r="4730" spans="1:1" s="199" customFormat="1" ht="12" hidden="1" customHeight="1">
      <c r="A4730" s="198"/>
    </row>
    <row r="4731" spans="1:1" s="199" customFormat="1" ht="12" hidden="1" customHeight="1">
      <c r="A4731" s="198"/>
    </row>
    <row r="4732" spans="1:1" s="199" customFormat="1" ht="12" hidden="1" customHeight="1">
      <c r="A4732" s="198"/>
    </row>
    <row r="4733" spans="1:1" s="199" customFormat="1" ht="12" hidden="1" customHeight="1">
      <c r="A4733" s="198"/>
    </row>
    <row r="4734" spans="1:1" s="199" customFormat="1" ht="12" hidden="1" customHeight="1">
      <c r="A4734" s="198"/>
    </row>
    <row r="4735" spans="1:1" s="199" customFormat="1" ht="12" hidden="1" customHeight="1">
      <c r="A4735" s="198"/>
    </row>
    <row r="4736" spans="1:1" s="199" customFormat="1" ht="12" hidden="1" customHeight="1">
      <c r="A4736" s="198"/>
    </row>
    <row r="4737" spans="1:1" s="199" customFormat="1" ht="12" hidden="1" customHeight="1">
      <c r="A4737" s="198"/>
    </row>
    <row r="4738" spans="1:1" s="199" customFormat="1" ht="12" hidden="1" customHeight="1">
      <c r="A4738" s="198"/>
    </row>
    <row r="4739" spans="1:1" s="199" customFormat="1" ht="12" hidden="1" customHeight="1">
      <c r="A4739" s="198"/>
    </row>
    <row r="4740" spans="1:1" s="199" customFormat="1" ht="12" hidden="1" customHeight="1">
      <c r="A4740" s="198"/>
    </row>
    <row r="4741" spans="1:1" s="199" customFormat="1" ht="12" hidden="1" customHeight="1">
      <c r="A4741" s="198"/>
    </row>
    <row r="4742" spans="1:1" s="199" customFormat="1" ht="12" hidden="1" customHeight="1">
      <c r="A4742" s="198"/>
    </row>
    <row r="4743" spans="1:1" s="199" customFormat="1" ht="12" hidden="1" customHeight="1">
      <c r="A4743" s="198"/>
    </row>
    <row r="4744" spans="1:1" s="199" customFormat="1" ht="12" hidden="1" customHeight="1">
      <c r="A4744" s="198"/>
    </row>
    <row r="4745" spans="1:1" s="199" customFormat="1" ht="12" hidden="1" customHeight="1">
      <c r="A4745" s="198"/>
    </row>
    <row r="4746" spans="1:1" s="199" customFormat="1" ht="12" hidden="1" customHeight="1">
      <c r="A4746" s="198"/>
    </row>
    <row r="4747" spans="1:1" s="199" customFormat="1" ht="12" hidden="1" customHeight="1">
      <c r="A4747" s="198"/>
    </row>
    <row r="4748" spans="1:1" s="199" customFormat="1" ht="12" hidden="1" customHeight="1">
      <c r="A4748" s="198"/>
    </row>
    <row r="4749" spans="1:1" s="199" customFormat="1" ht="12" hidden="1" customHeight="1">
      <c r="A4749" s="198"/>
    </row>
    <row r="4750" spans="1:1" s="199" customFormat="1" ht="12" hidden="1" customHeight="1">
      <c r="A4750" s="198"/>
    </row>
    <row r="4751" spans="1:1" s="199" customFormat="1" ht="12" hidden="1" customHeight="1">
      <c r="A4751" s="198"/>
    </row>
    <row r="4752" spans="1:1" s="199" customFormat="1" ht="12" hidden="1" customHeight="1">
      <c r="A4752" s="198"/>
    </row>
    <row r="4753" spans="1:1" s="199" customFormat="1" ht="12" hidden="1" customHeight="1">
      <c r="A4753" s="198"/>
    </row>
    <row r="4754" spans="1:1" s="199" customFormat="1" ht="12" hidden="1" customHeight="1">
      <c r="A4754" s="198"/>
    </row>
    <row r="4755" spans="1:1" s="199" customFormat="1" ht="12" hidden="1" customHeight="1">
      <c r="A4755" s="198"/>
    </row>
    <row r="4756" spans="1:1" s="199" customFormat="1" ht="12" hidden="1" customHeight="1">
      <c r="A4756" s="198"/>
    </row>
    <row r="4757" spans="1:1" s="199" customFormat="1" ht="12" hidden="1" customHeight="1">
      <c r="A4757" s="198"/>
    </row>
    <row r="4758" spans="1:1" s="199" customFormat="1" ht="12" hidden="1" customHeight="1">
      <c r="A4758" s="198"/>
    </row>
    <row r="4759" spans="1:1" s="199" customFormat="1" ht="12" hidden="1" customHeight="1">
      <c r="A4759" s="198"/>
    </row>
    <row r="4760" spans="1:1" s="199" customFormat="1" ht="12" hidden="1" customHeight="1">
      <c r="A4760" s="198"/>
    </row>
    <row r="4761" spans="1:1" s="199" customFormat="1" ht="12" hidden="1" customHeight="1">
      <c r="A4761" s="198"/>
    </row>
    <row r="4762" spans="1:1" s="199" customFormat="1" ht="12" hidden="1" customHeight="1">
      <c r="A4762" s="198"/>
    </row>
    <row r="4763" spans="1:1" s="199" customFormat="1" ht="12" hidden="1" customHeight="1">
      <c r="A4763" s="198"/>
    </row>
    <row r="4764" spans="1:1" s="199" customFormat="1" ht="12" hidden="1" customHeight="1">
      <c r="A4764" s="198"/>
    </row>
    <row r="4765" spans="1:1" s="199" customFormat="1" ht="12" hidden="1" customHeight="1">
      <c r="A4765" s="198"/>
    </row>
    <row r="4766" spans="1:1" s="199" customFormat="1" ht="12" hidden="1" customHeight="1">
      <c r="A4766" s="198"/>
    </row>
    <row r="4767" spans="1:1" s="199" customFormat="1" ht="12" hidden="1" customHeight="1">
      <c r="A4767" s="198"/>
    </row>
    <row r="4768" spans="1:1" s="199" customFormat="1" ht="12" hidden="1" customHeight="1">
      <c r="A4768" s="198"/>
    </row>
    <row r="4769" spans="1:1" s="199" customFormat="1" ht="12" hidden="1" customHeight="1">
      <c r="A4769" s="198"/>
    </row>
    <row r="4770" spans="1:1" s="199" customFormat="1" ht="12" hidden="1" customHeight="1">
      <c r="A4770" s="198"/>
    </row>
    <row r="4771" spans="1:1" s="199" customFormat="1" ht="12" hidden="1" customHeight="1">
      <c r="A4771" s="198"/>
    </row>
    <row r="4772" spans="1:1" s="199" customFormat="1" ht="12" hidden="1" customHeight="1">
      <c r="A4772" s="198"/>
    </row>
    <row r="4773" spans="1:1" s="199" customFormat="1" ht="12" hidden="1" customHeight="1">
      <c r="A4773" s="198"/>
    </row>
    <row r="4774" spans="1:1" s="199" customFormat="1" ht="12" hidden="1" customHeight="1">
      <c r="A4774" s="198"/>
    </row>
    <row r="4775" spans="1:1" s="199" customFormat="1" ht="12" hidden="1" customHeight="1">
      <c r="A4775" s="198"/>
    </row>
    <row r="4776" spans="1:1" s="199" customFormat="1" ht="12" hidden="1" customHeight="1">
      <c r="A4776" s="198"/>
    </row>
    <row r="4777" spans="1:1" s="199" customFormat="1" ht="12" hidden="1" customHeight="1">
      <c r="A4777" s="198"/>
    </row>
    <row r="4778" spans="1:1" s="199" customFormat="1" ht="12" hidden="1" customHeight="1">
      <c r="A4778" s="198"/>
    </row>
    <row r="4779" spans="1:1" s="199" customFormat="1" ht="12" hidden="1" customHeight="1">
      <c r="A4779" s="198"/>
    </row>
    <row r="4780" spans="1:1" s="199" customFormat="1" ht="12" hidden="1" customHeight="1">
      <c r="A4780" s="198"/>
    </row>
    <row r="4781" spans="1:1" s="199" customFormat="1" ht="12" hidden="1" customHeight="1">
      <c r="A4781" s="198"/>
    </row>
    <row r="4782" spans="1:1" s="199" customFormat="1" ht="12" hidden="1" customHeight="1">
      <c r="A4782" s="198"/>
    </row>
    <row r="4783" spans="1:1" s="199" customFormat="1" ht="12" hidden="1" customHeight="1">
      <c r="A4783" s="198"/>
    </row>
    <row r="4784" spans="1:1" s="199" customFormat="1" ht="12" hidden="1" customHeight="1">
      <c r="A4784" s="198"/>
    </row>
    <row r="4785" spans="1:1" s="199" customFormat="1" ht="12" hidden="1" customHeight="1">
      <c r="A4785" s="198"/>
    </row>
    <row r="4786" spans="1:1" s="199" customFormat="1" ht="12" hidden="1" customHeight="1">
      <c r="A4786" s="198"/>
    </row>
    <row r="4787" spans="1:1" s="199" customFormat="1" ht="12" hidden="1" customHeight="1">
      <c r="A4787" s="198"/>
    </row>
    <row r="4788" spans="1:1" s="199" customFormat="1" ht="12" hidden="1" customHeight="1">
      <c r="A4788" s="198"/>
    </row>
    <row r="4789" spans="1:1" s="199" customFormat="1" ht="12" hidden="1" customHeight="1">
      <c r="A4789" s="198"/>
    </row>
    <row r="4790" spans="1:1" s="199" customFormat="1" ht="12" hidden="1" customHeight="1">
      <c r="A4790" s="198"/>
    </row>
    <row r="4791" spans="1:1" s="199" customFormat="1" ht="12" hidden="1" customHeight="1">
      <c r="A4791" s="198"/>
    </row>
    <row r="4792" spans="1:1" s="199" customFormat="1" ht="12" hidden="1" customHeight="1">
      <c r="A4792" s="198"/>
    </row>
    <row r="4793" spans="1:1" s="199" customFormat="1" ht="12" hidden="1" customHeight="1">
      <c r="A4793" s="198"/>
    </row>
    <row r="4794" spans="1:1" s="199" customFormat="1" ht="12" hidden="1" customHeight="1">
      <c r="A4794" s="198"/>
    </row>
    <row r="4795" spans="1:1" s="199" customFormat="1" ht="12" hidden="1" customHeight="1">
      <c r="A4795" s="198"/>
    </row>
    <row r="4796" spans="1:1" s="199" customFormat="1" ht="12" hidden="1" customHeight="1">
      <c r="A4796" s="198"/>
    </row>
    <row r="4797" spans="1:1" s="199" customFormat="1" ht="12" hidden="1" customHeight="1">
      <c r="A4797" s="198"/>
    </row>
    <row r="4798" spans="1:1" s="199" customFormat="1" ht="12" hidden="1" customHeight="1">
      <c r="A4798" s="198"/>
    </row>
    <row r="4799" spans="1:1" s="199" customFormat="1" ht="12" hidden="1" customHeight="1">
      <c r="A4799" s="198"/>
    </row>
    <row r="4800" spans="1:1" s="199" customFormat="1" ht="12" hidden="1" customHeight="1">
      <c r="A4800" s="198"/>
    </row>
    <row r="4801" spans="1:1" s="199" customFormat="1" ht="12" hidden="1" customHeight="1">
      <c r="A4801" s="198"/>
    </row>
    <row r="4802" spans="1:1" s="199" customFormat="1" ht="12" hidden="1" customHeight="1">
      <c r="A4802" s="198"/>
    </row>
    <row r="4803" spans="1:1" s="199" customFormat="1" ht="12" hidden="1" customHeight="1">
      <c r="A4803" s="198"/>
    </row>
    <row r="4804" spans="1:1" s="199" customFormat="1" ht="12" hidden="1" customHeight="1">
      <c r="A4804" s="198"/>
    </row>
    <row r="4805" spans="1:1" s="199" customFormat="1" ht="12" hidden="1" customHeight="1">
      <c r="A4805" s="198"/>
    </row>
    <row r="4806" spans="1:1" s="199" customFormat="1" ht="12" hidden="1" customHeight="1">
      <c r="A4806" s="198"/>
    </row>
    <row r="4807" spans="1:1" s="199" customFormat="1" ht="12" hidden="1" customHeight="1">
      <c r="A4807" s="198"/>
    </row>
    <row r="4808" spans="1:1" s="199" customFormat="1" ht="12" hidden="1" customHeight="1">
      <c r="A4808" s="198"/>
    </row>
    <row r="4809" spans="1:1" s="199" customFormat="1" ht="12" hidden="1" customHeight="1">
      <c r="A4809" s="198"/>
    </row>
    <row r="4810" spans="1:1" s="199" customFormat="1" ht="12" hidden="1" customHeight="1">
      <c r="A4810" s="198"/>
    </row>
    <row r="4811" spans="1:1" s="199" customFormat="1" ht="12" hidden="1" customHeight="1">
      <c r="A4811" s="198"/>
    </row>
    <row r="4812" spans="1:1" s="199" customFormat="1" ht="12" hidden="1" customHeight="1">
      <c r="A4812" s="198"/>
    </row>
    <row r="4813" spans="1:1" s="199" customFormat="1" ht="12" hidden="1" customHeight="1">
      <c r="A4813" s="198"/>
    </row>
    <row r="4814" spans="1:1" s="199" customFormat="1" ht="12" hidden="1" customHeight="1">
      <c r="A4814" s="198"/>
    </row>
    <row r="4815" spans="1:1" s="199" customFormat="1" ht="12" hidden="1" customHeight="1">
      <c r="A4815" s="198"/>
    </row>
    <row r="4816" spans="1:1" s="199" customFormat="1" ht="12" hidden="1" customHeight="1">
      <c r="A4816" s="198"/>
    </row>
    <row r="4817" spans="1:1" s="199" customFormat="1" ht="12" hidden="1" customHeight="1">
      <c r="A4817" s="198"/>
    </row>
    <row r="4818" spans="1:1" s="199" customFormat="1" ht="12" hidden="1" customHeight="1">
      <c r="A4818" s="198"/>
    </row>
    <row r="4819" spans="1:1" s="199" customFormat="1" ht="12" hidden="1" customHeight="1">
      <c r="A4819" s="198"/>
    </row>
    <row r="4820" spans="1:1" s="199" customFormat="1" ht="12" hidden="1" customHeight="1">
      <c r="A4820" s="198"/>
    </row>
    <row r="4821" spans="1:1" s="199" customFormat="1" ht="12" hidden="1" customHeight="1">
      <c r="A4821" s="198"/>
    </row>
    <row r="4822" spans="1:1" s="199" customFormat="1" ht="12" hidden="1" customHeight="1">
      <c r="A4822" s="198"/>
    </row>
    <row r="4823" spans="1:1" s="199" customFormat="1" ht="12" hidden="1" customHeight="1">
      <c r="A4823" s="198"/>
    </row>
    <row r="4824" spans="1:1" s="199" customFormat="1" ht="12" hidden="1" customHeight="1">
      <c r="A4824" s="198"/>
    </row>
    <row r="4825" spans="1:1" s="199" customFormat="1" ht="12" hidden="1" customHeight="1">
      <c r="A4825" s="198"/>
    </row>
    <row r="4826" spans="1:1" s="199" customFormat="1" ht="12" hidden="1" customHeight="1">
      <c r="A4826" s="198"/>
    </row>
    <row r="4827" spans="1:1" s="199" customFormat="1" ht="12" hidden="1" customHeight="1">
      <c r="A4827" s="198"/>
    </row>
    <row r="4828" spans="1:1" s="199" customFormat="1" ht="12" hidden="1" customHeight="1">
      <c r="A4828" s="198"/>
    </row>
    <row r="4829" spans="1:1" s="199" customFormat="1" ht="12" hidden="1" customHeight="1">
      <c r="A4829" s="198"/>
    </row>
    <row r="4830" spans="1:1" s="199" customFormat="1" ht="12" hidden="1" customHeight="1">
      <c r="A4830" s="198"/>
    </row>
    <row r="4831" spans="1:1" s="199" customFormat="1" ht="12" hidden="1" customHeight="1">
      <c r="A4831" s="198"/>
    </row>
    <row r="4832" spans="1:1" s="199" customFormat="1" ht="12" hidden="1" customHeight="1">
      <c r="A4832" s="198"/>
    </row>
    <row r="4833" spans="1:1" s="199" customFormat="1" ht="12" hidden="1" customHeight="1">
      <c r="A4833" s="198"/>
    </row>
    <row r="4834" spans="1:1" s="199" customFormat="1" ht="12" hidden="1" customHeight="1">
      <c r="A4834" s="198"/>
    </row>
    <row r="4835" spans="1:1" s="199" customFormat="1" ht="12" hidden="1" customHeight="1">
      <c r="A4835" s="198"/>
    </row>
    <row r="4836" spans="1:1" s="199" customFormat="1" ht="12" hidden="1" customHeight="1">
      <c r="A4836" s="198"/>
    </row>
    <row r="4837" spans="1:1" s="199" customFormat="1" ht="12" hidden="1" customHeight="1">
      <c r="A4837" s="198"/>
    </row>
    <row r="4838" spans="1:1" s="199" customFormat="1" ht="12" hidden="1" customHeight="1">
      <c r="A4838" s="198"/>
    </row>
    <row r="4839" spans="1:1" s="199" customFormat="1" ht="12" hidden="1" customHeight="1">
      <c r="A4839" s="198"/>
    </row>
    <row r="4840" spans="1:1" s="199" customFormat="1" ht="12" hidden="1" customHeight="1">
      <c r="A4840" s="198"/>
    </row>
    <row r="4841" spans="1:1" s="199" customFormat="1" ht="12" hidden="1" customHeight="1">
      <c r="A4841" s="198"/>
    </row>
    <row r="4842" spans="1:1" s="199" customFormat="1" ht="12" hidden="1" customHeight="1">
      <c r="A4842" s="198"/>
    </row>
    <row r="4843" spans="1:1" s="199" customFormat="1" ht="12" hidden="1" customHeight="1">
      <c r="A4843" s="198"/>
    </row>
    <row r="4844" spans="1:1" s="199" customFormat="1" ht="12" hidden="1" customHeight="1">
      <c r="A4844" s="198"/>
    </row>
    <row r="4845" spans="1:1" s="199" customFormat="1" ht="12" hidden="1" customHeight="1">
      <c r="A4845" s="198"/>
    </row>
    <row r="4846" spans="1:1" s="199" customFormat="1" ht="12" hidden="1" customHeight="1">
      <c r="A4846" s="198"/>
    </row>
    <row r="4847" spans="1:1" s="199" customFormat="1" ht="12" hidden="1" customHeight="1">
      <c r="A4847" s="198"/>
    </row>
    <row r="4848" spans="1:1" s="199" customFormat="1" ht="12" hidden="1" customHeight="1">
      <c r="A4848" s="198"/>
    </row>
    <row r="4849" spans="1:1" s="199" customFormat="1" ht="12" hidden="1" customHeight="1">
      <c r="A4849" s="198"/>
    </row>
    <row r="4850" spans="1:1" s="199" customFormat="1" ht="12" hidden="1" customHeight="1">
      <c r="A4850" s="198"/>
    </row>
    <row r="4851" spans="1:1" s="199" customFormat="1" ht="12" hidden="1" customHeight="1">
      <c r="A4851" s="198"/>
    </row>
    <row r="4852" spans="1:1" s="199" customFormat="1" ht="12" hidden="1" customHeight="1">
      <c r="A4852" s="198"/>
    </row>
    <row r="4853" spans="1:1" s="199" customFormat="1" ht="12" hidden="1" customHeight="1">
      <c r="A4853" s="198"/>
    </row>
    <row r="4854" spans="1:1" s="199" customFormat="1" ht="12" hidden="1" customHeight="1">
      <c r="A4854" s="198"/>
    </row>
    <row r="4855" spans="1:1" s="199" customFormat="1" ht="12" hidden="1" customHeight="1">
      <c r="A4855" s="198"/>
    </row>
    <row r="4856" spans="1:1" s="199" customFormat="1" ht="12" hidden="1" customHeight="1">
      <c r="A4856" s="198"/>
    </row>
    <row r="4857" spans="1:1" s="199" customFormat="1" ht="12" hidden="1" customHeight="1">
      <c r="A4857" s="198"/>
    </row>
    <row r="4858" spans="1:1" s="199" customFormat="1" ht="12" hidden="1" customHeight="1">
      <c r="A4858" s="198"/>
    </row>
    <row r="4859" spans="1:1" s="199" customFormat="1" ht="12" hidden="1" customHeight="1">
      <c r="A4859" s="198"/>
    </row>
    <row r="4860" spans="1:1" s="199" customFormat="1" ht="12" hidden="1" customHeight="1">
      <c r="A4860" s="198"/>
    </row>
    <row r="4861" spans="1:1" s="199" customFormat="1" ht="12" hidden="1" customHeight="1">
      <c r="A4861" s="198"/>
    </row>
    <row r="4862" spans="1:1" s="199" customFormat="1" ht="12" hidden="1" customHeight="1">
      <c r="A4862" s="198"/>
    </row>
    <row r="4863" spans="1:1" s="199" customFormat="1" ht="12" hidden="1" customHeight="1">
      <c r="A4863" s="198"/>
    </row>
    <row r="4864" spans="1:1" s="199" customFormat="1" ht="12" hidden="1" customHeight="1">
      <c r="A4864" s="198"/>
    </row>
    <row r="4865" spans="1:1" s="199" customFormat="1" ht="12" hidden="1" customHeight="1">
      <c r="A4865" s="198"/>
    </row>
    <row r="4866" spans="1:1" s="199" customFormat="1" ht="12" hidden="1" customHeight="1">
      <c r="A4866" s="198"/>
    </row>
    <row r="4867" spans="1:1" s="199" customFormat="1" ht="12" hidden="1" customHeight="1">
      <c r="A4867" s="198"/>
    </row>
    <row r="4868" spans="1:1" s="199" customFormat="1" ht="12" hidden="1" customHeight="1">
      <c r="A4868" s="198"/>
    </row>
    <row r="4869" spans="1:1" s="199" customFormat="1" ht="12" hidden="1" customHeight="1">
      <c r="A4869" s="198"/>
    </row>
    <row r="4870" spans="1:1" s="199" customFormat="1" ht="12" hidden="1" customHeight="1">
      <c r="A4870" s="198"/>
    </row>
    <row r="4871" spans="1:1" s="199" customFormat="1" ht="12" hidden="1" customHeight="1">
      <c r="A4871" s="198"/>
    </row>
    <row r="4872" spans="1:1" s="199" customFormat="1" ht="12" hidden="1" customHeight="1">
      <c r="A4872" s="198"/>
    </row>
    <row r="4873" spans="1:1" s="199" customFormat="1" ht="12" hidden="1" customHeight="1">
      <c r="A4873" s="198"/>
    </row>
    <row r="4874" spans="1:1" s="199" customFormat="1" ht="12" hidden="1" customHeight="1">
      <c r="A4874" s="198"/>
    </row>
    <row r="4875" spans="1:1" s="199" customFormat="1" ht="12" hidden="1" customHeight="1">
      <c r="A4875" s="198"/>
    </row>
    <row r="4876" spans="1:1" s="199" customFormat="1" ht="12" hidden="1" customHeight="1">
      <c r="A4876" s="198"/>
    </row>
    <row r="4877" spans="1:1" s="199" customFormat="1" ht="12" hidden="1" customHeight="1">
      <c r="A4877" s="198"/>
    </row>
    <row r="4878" spans="1:1" s="199" customFormat="1" ht="12" hidden="1" customHeight="1">
      <c r="A4878" s="198"/>
    </row>
    <row r="4879" spans="1:1" s="199" customFormat="1" ht="12" hidden="1" customHeight="1">
      <c r="A4879" s="198"/>
    </row>
    <row r="4880" spans="1:1" s="199" customFormat="1" ht="12" hidden="1" customHeight="1">
      <c r="A4880" s="198"/>
    </row>
    <row r="4881" spans="1:1" s="199" customFormat="1" ht="12" hidden="1" customHeight="1">
      <c r="A4881" s="198"/>
    </row>
    <row r="4882" spans="1:1" s="199" customFormat="1" ht="12" hidden="1" customHeight="1">
      <c r="A4882" s="198"/>
    </row>
    <row r="4883" spans="1:1" s="199" customFormat="1" ht="12" hidden="1" customHeight="1">
      <c r="A4883" s="198"/>
    </row>
    <row r="4884" spans="1:1" s="199" customFormat="1" ht="12" hidden="1" customHeight="1">
      <c r="A4884" s="198"/>
    </row>
    <row r="4885" spans="1:1" s="199" customFormat="1" ht="12" hidden="1" customHeight="1">
      <c r="A4885" s="198"/>
    </row>
    <row r="4886" spans="1:1" s="199" customFormat="1" ht="12" hidden="1" customHeight="1">
      <c r="A4886" s="198"/>
    </row>
    <row r="4887" spans="1:1" s="199" customFormat="1" ht="12" hidden="1" customHeight="1">
      <c r="A4887" s="198"/>
    </row>
    <row r="4888" spans="1:1" s="199" customFormat="1" ht="12" hidden="1" customHeight="1">
      <c r="A4888" s="198"/>
    </row>
    <row r="4889" spans="1:1" s="199" customFormat="1" ht="12" hidden="1" customHeight="1">
      <c r="A4889" s="198"/>
    </row>
    <row r="4890" spans="1:1" s="199" customFormat="1" ht="12" hidden="1" customHeight="1">
      <c r="A4890" s="198"/>
    </row>
    <row r="4891" spans="1:1" s="199" customFormat="1" ht="12" hidden="1" customHeight="1">
      <c r="A4891" s="198"/>
    </row>
    <row r="4892" spans="1:1" s="199" customFormat="1" ht="12" hidden="1" customHeight="1">
      <c r="A4892" s="198"/>
    </row>
    <row r="4893" spans="1:1" s="199" customFormat="1" ht="12" hidden="1" customHeight="1">
      <c r="A4893" s="198"/>
    </row>
    <row r="4894" spans="1:1" s="199" customFormat="1" ht="12" hidden="1" customHeight="1">
      <c r="A4894" s="198"/>
    </row>
    <row r="4895" spans="1:1" s="199" customFormat="1" ht="12" hidden="1" customHeight="1">
      <c r="A4895" s="198"/>
    </row>
    <row r="4896" spans="1:1" s="199" customFormat="1" ht="12" hidden="1" customHeight="1">
      <c r="A4896" s="198"/>
    </row>
    <row r="4897" spans="1:1" s="199" customFormat="1" ht="12" hidden="1" customHeight="1">
      <c r="A4897" s="198"/>
    </row>
    <row r="4898" spans="1:1" s="199" customFormat="1" ht="12" hidden="1" customHeight="1">
      <c r="A4898" s="198"/>
    </row>
    <row r="4899" spans="1:1" s="199" customFormat="1" ht="12" hidden="1" customHeight="1">
      <c r="A4899" s="198"/>
    </row>
    <row r="4900" spans="1:1" s="199" customFormat="1" ht="12" hidden="1" customHeight="1">
      <c r="A4900" s="198"/>
    </row>
    <row r="4901" spans="1:1" s="199" customFormat="1" ht="12" hidden="1" customHeight="1">
      <c r="A4901" s="198"/>
    </row>
    <row r="4902" spans="1:1" s="199" customFormat="1" ht="12" hidden="1" customHeight="1">
      <c r="A4902" s="198"/>
    </row>
    <row r="4903" spans="1:1" s="199" customFormat="1" ht="12" hidden="1" customHeight="1">
      <c r="A4903" s="198"/>
    </row>
    <row r="4904" spans="1:1" s="199" customFormat="1" ht="12" hidden="1" customHeight="1">
      <c r="A4904" s="198"/>
    </row>
    <row r="4905" spans="1:1" s="199" customFormat="1" ht="12" hidden="1" customHeight="1">
      <c r="A4905" s="198"/>
    </row>
    <row r="4906" spans="1:1" s="199" customFormat="1" ht="12" hidden="1" customHeight="1">
      <c r="A4906" s="198"/>
    </row>
    <row r="4907" spans="1:1" s="199" customFormat="1" ht="12" hidden="1" customHeight="1">
      <c r="A4907" s="198"/>
    </row>
    <row r="4908" spans="1:1" s="199" customFormat="1" ht="12" hidden="1" customHeight="1">
      <c r="A4908" s="198"/>
    </row>
    <row r="4909" spans="1:1" s="199" customFormat="1" ht="12" hidden="1" customHeight="1">
      <c r="A4909" s="198"/>
    </row>
    <row r="4910" spans="1:1" s="199" customFormat="1" ht="12" hidden="1" customHeight="1">
      <c r="A4910" s="198"/>
    </row>
    <row r="4911" spans="1:1" s="199" customFormat="1" ht="12" hidden="1" customHeight="1">
      <c r="A4911" s="198"/>
    </row>
    <row r="4912" spans="1:1" s="199" customFormat="1" ht="12" hidden="1" customHeight="1">
      <c r="A4912" s="198"/>
    </row>
    <row r="4913" spans="1:1" s="199" customFormat="1" ht="12" hidden="1" customHeight="1">
      <c r="A4913" s="198"/>
    </row>
    <row r="4914" spans="1:1" s="199" customFormat="1" ht="12" hidden="1" customHeight="1">
      <c r="A4914" s="198"/>
    </row>
    <row r="4915" spans="1:1" s="199" customFormat="1" ht="12" hidden="1" customHeight="1">
      <c r="A4915" s="198"/>
    </row>
    <row r="4916" spans="1:1" s="199" customFormat="1" ht="12" hidden="1" customHeight="1">
      <c r="A4916" s="198"/>
    </row>
    <row r="4917" spans="1:1" s="199" customFormat="1" ht="12" hidden="1" customHeight="1">
      <c r="A4917" s="198"/>
    </row>
    <row r="4918" spans="1:1" s="199" customFormat="1" ht="12" hidden="1" customHeight="1">
      <c r="A4918" s="198"/>
    </row>
    <row r="4919" spans="1:1" s="199" customFormat="1" ht="12" hidden="1" customHeight="1">
      <c r="A4919" s="198"/>
    </row>
    <row r="4920" spans="1:1" s="199" customFormat="1" ht="12" hidden="1" customHeight="1">
      <c r="A4920" s="198"/>
    </row>
    <row r="4921" spans="1:1" s="199" customFormat="1" ht="12" hidden="1" customHeight="1">
      <c r="A4921" s="198"/>
    </row>
    <row r="4922" spans="1:1" s="199" customFormat="1" ht="12" hidden="1" customHeight="1">
      <c r="A4922" s="198"/>
    </row>
    <row r="4923" spans="1:1" s="199" customFormat="1" ht="12" hidden="1" customHeight="1">
      <c r="A4923" s="198"/>
    </row>
    <row r="4924" spans="1:1" s="199" customFormat="1" ht="12" hidden="1" customHeight="1">
      <c r="A4924" s="198"/>
    </row>
    <row r="4925" spans="1:1" s="199" customFormat="1" ht="12" hidden="1" customHeight="1">
      <c r="A4925" s="198"/>
    </row>
    <row r="4926" spans="1:1" s="199" customFormat="1" ht="12" hidden="1" customHeight="1">
      <c r="A4926" s="198"/>
    </row>
    <row r="4927" spans="1:1" s="199" customFormat="1" ht="12" hidden="1" customHeight="1">
      <c r="A4927" s="198"/>
    </row>
    <row r="4928" spans="1:1" s="199" customFormat="1" ht="12" hidden="1" customHeight="1">
      <c r="A4928" s="198"/>
    </row>
    <row r="4929" spans="1:1" s="199" customFormat="1" ht="12" hidden="1" customHeight="1">
      <c r="A4929" s="198"/>
    </row>
    <row r="4930" spans="1:1" s="199" customFormat="1" ht="12" hidden="1" customHeight="1">
      <c r="A4930" s="198"/>
    </row>
    <row r="4931" spans="1:1" s="199" customFormat="1" ht="12" hidden="1" customHeight="1">
      <c r="A4931" s="198"/>
    </row>
    <row r="4932" spans="1:1" s="199" customFormat="1" ht="12" hidden="1" customHeight="1">
      <c r="A4932" s="198"/>
    </row>
    <row r="4933" spans="1:1" s="199" customFormat="1" ht="12" hidden="1" customHeight="1">
      <c r="A4933" s="198"/>
    </row>
    <row r="4934" spans="1:1" s="199" customFormat="1" ht="12" hidden="1" customHeight="1">
      <c r="A4934" s="198"/>
    </row>
    <row r="4935" spans="1:1" s="199" customFormat="1" ht="12" hidden="1" customHeight="1">
      <c r="A4935" s="198"/>
    </row>
    <row r="4936" spans="1:1" s="199" customFormat="1" ht="12" hidden="1" customHeight="1">
      <c r="A4936" s="198"/>
    </row>
    <row r="4937" spans="1:1" s="199" customFormat="1" ht="12" hidden="1" customHeight="1">
      <c r="A4937" s="198"/>
    </row>
    <row r="4938" spans="1:1" s="199" customFormat="1" ht="12" hidden="1" customHeight="1">
      <c r="A4938" s="198"/>
    </row>
    <row r="4939" spans="1:1" s="199" customFormat="1" ht="12" hidden="1" customHeight="1">
      <c r="A4939" s="198"/>
    </row>
    <row r="4940" spans="1:1" s="199" customFormat="1" ht="12" hidden="1" customHeight="1">
      <c r="A4940" s="198"/>
    </row>
    <row r="4941" spans="1:1" s="199" customFormat="1" ht="12" hidden="1" customHeight="1">
      <c r="A4941" s="198"/>
    </row>
    <row r="4942" spans="1:1" s="199" customFormat="1" ht="12" hidden="1" customHeight="1">
      <c r="A4942" s="198"/>
    </row>
    <row r="4943" spans="1:1" s="199" customFormat="1" ht="12" hidden="1" customHeight="1">
      <c r="A4943" s="198"/>
    </row>
    <row r="4944" spans="1:1" s="199" customFormat="1" ht="12" hidden="1" customHeight="1">
      <c r="A4944" s="198"/>
    </row>
    <row r="4945" spans="1:1" s="199" customFormat="1" ht="12" hidden="1" customHeight="1">
      <c r="A4945" s="198"/>
    </row>
    <row r="4946" spans="1:1" s="199" customFormat="1" ht="12" hidden="1" customHeight="1">
      <c r="A4946" s="198"/>
    </row>
    <row r="4947" spans="1:1" s="199" customFormat="1" ht="12" hidden="1" customHeight="1">
      <c r="A4947" s="198"/>
    </row>
    <row r="4948" spans="1:1" s="199" customFormat="1" ht="12" hidden="1" customHeight="1">
      <c r="A4948" s="198"/>
    </row>
    <row r="4949" spans="1:1" s="199" customFormat="1" ht="12" hidden="1" customHeight="1">
      <c r="A4949" s="198"/>
    </row>
    <row r="4950" spans="1:1" s="199" customFormat="1" ht="12" hidden="1" customHeight="1">
      <c r="A4950" s="198"/>
    </row>
    <row r="4951" spans="1:1" s="199" customFormat="1" ht="12" hidden="1" customHeight="1">
      <c r="A4951" s="198"/>
    </row>
    <row r="4952" spans="1:1" s="199" customFormat="1" ht="12" hidden="1" customHeight="1">
      <c r="A4952" s="198"/>
    </row>
    <row r="4953" spans="1:1" s="199" customFormat="1" ht="12" hidden="1" customHeight="1">
      <c r="A4953" s="198"/>
    </row>
    <row r="4954" spans="1:1" s="199" customFormat="1" ht="12" hidden="1" customHeight="1">
      <c r="A4954" s="198"/>
    </row>
    <row r="4955" spans="1:1" s="199" customFormat="1" ht="12" hidden="1" customHeight="1">
      <c r="A4955" s="198"/>
    </row>
    <row r="4956" spans="1:1" s="199" customFormat="1" ht="12" hidden="1" customHeight="1">
      <c r="A4956" s="198"/>
    </row>
    <row r="4957" spans="1:1" s="199" customFormat="1" ht="12" hidden="1" customHeight="1">
      <c r="A4957" s="198"/>
    </row>
    <row r="4958" spans="1:1" s="199" customFormat="1" ht="12" hidden="1" customHeight="1">
      <c r="A4958" s="198"/>
    </row>
    <row r="4959" spans="1:1" s="199" customFormat="1" ht="12" hidden="1" customHeight="1">
      <c r="A4959" s="198"/>
    </row>
    <row r="4960" spans="1:1" s="199" customFormat="1" ht="12" hidden="1" customHeight="1">
      <c r="A4960" s="198"/>
    </row>
    <row r="4961" spans="1:1" s="199" customFormat="1" ht="12" hidden="1" customHeight="1">
      <c r="A4961" s="198"/>
    </row>
    <row r="4962" spans="1:1" s="199" customFormat="1" ht="12" hidden="1" customHeight="1">
      <c r="A4962" s="198"/>
    </row>
    <row r="4963" spans="1:1" s="199" customFormat="1" ht="12" hidden="1" customHeight="1">
      <c r="A4963" s="198"/>
    </row>
    <row r="4964" spans="1:1" s="199" customFormat="1" ht="12" hidden="1" customHeight="1">
      <c r="A4964" s="198"/>
    </row>
    <row r="4965" spans="1:1" s="199" customFormat="1" ht="12" hidden="1" customHeight="1">
      <c r="A4965" s="198"/>
    </row>
    <row r="4966" spans="1:1" s="199" customFormat="1" ht="12" hidden="1" customHeight="1">
      <c r="A4966" s="198"/>
    </row>
    <row r="4967" spans="1:1" s="199" customFormat="1" ht="12" hidden="1" customHeight="1">
      <c r="A4967" s="198"/>
    </row>
    <row r="4968" spans="1:1" s="199" customFormat="1" ht="12" hidden="1" customHeight="1">
      <c r="A4968" s="198"/>
    </row>
    <row r="4969" spans="1:1" s="199" customFormat="1" ht="12" hidden="1" customHeight="1">
      <c r="A4969" s="198"/>
    </row>
    <row r="4970" spans="1:1" s="199" customFormat="1" ht="12" hidden="1" customHeight="1">
      <c r="A4970" s="198"/>
    </row>
    <row r="4971" spans="1:1" s="199" customFormat="1" ht="12" hidden="1" customHeight="1">
      <c r="A4971" s="198"/>
    </row>
    <row r="4972" spans="1:1" s="199" customFormat="1" ht="12" hidden="1" customHeight="1">
      <c r="A4972" s="198"/>
    </row>
    <row r="4973" spans="1:1" s="199" customFormat="1" ht="12" hidden="1" customHeight="1">
      <c r="A4973" s="198"/>
    </row>
    <row r="4974" spans="1:1" s="199" customFormat="1" ht="12" hidden="1" customHeight="1">
      <c r="A4974" s="198"/>
    </row>
    <row r="4975" spans="1:1" s="199" customFormat="1" ht="12" hidden="1" customHeight="1">
      <c r="A4975" s="198"/>
    </row>
    <row r="4976" spans="1:1" s="199" customFormat="1" ht="12" hidden="1" customHeight="1">
      <c r="A4976" s="198"/>
    </row>
    <row r="4977" spans="1:1" s="199" customFormat="1" ht="12" hidden="1" customHeight="1">
      <c r="A4977" s="198"/>
    </row>
    <row r="4978" spans="1:1" s="199" customFormat="1" ht="12" hidden="1" customHeight="1">
      <c r="A4978" s="198"/>
    </row>
    <row r="4979" spans="1:1" s="199" customFormat="1" ht="12" hidden="1" customHeight="1">
      <c r="A4979" s="198"/>
    </row>
    <row r="4980" spans="1:1" s="199" customFormat="1" ht="12" hidden="1" customHeight="1">
      <c r="A4980" s="198"/>
    </row>
    <row r="4981" spans="1:1" s="199" customFormat="1" ht="12" hidden="1" customHeight="1">
      <c r="A4981" s="198"/>
    </row>
    <row r="4982" spans="1:1" s="199" customFormat="1" ht="12" hidden="1" customHeight="1">
      <c r="A4982" s="198"/>
    </row>
    <row r="4983" spans="1:1" s="199" customFormat="1" ht="12" hidden="1" customHeight="1">
      <c r="A4983" s="198"/>
    </row>
    <row r="4984" spans="1:1" s="199" customFormat="1" ht="12" hidden="1" customHeight="1">
      <c r="A4984" s="198"/>
    </row>
    <row r="4985" spans="1:1" s="199" customFormat="1" ht="12" hidden="1" customHeight="1">
      <c r="A4985" s="198"/>
    </row>
    <row r="4986" spans="1:1" s="199" customFormat="1" ht="12" hidden="1" customHeight="1">
      <c r="A4986" s="198"/>
    </row>
    <row r="4987" spans="1:1" s="199" customFormat="1" ht="12" hidden="1" customHeight="1">
      <c r="A4987" s="198"/>
    </row>
    <row r="4988" spans="1:1" s="199" customFormat="1" ht="12" hidden="1" customHeight="1">
      <c r="A4988" s="198"/>
    </row>
    <row r="4989" spans="1:1" s="199" customFormat="1" ht="12" hidden="1" customHeight="1">
      <c r="A4989" s="198"/>
    </row>
    <row r="4990" spans="1:1" s="199" customFormat="1" ht="12" hidden="1" customHeight="1">
      <c r="A4990" s="198"/>
    </row>
    <row r="4991" spans="1:1" s="199" customFormat="1" ht="12" hidden="1" customHeight="1">
      <c r="A4991" s="198"/>
    </row>
    <row r="4992" spans="1:1" s="199" customFormat="1" ht="12" hidden="1" customHeight="1">
      <c r="A4992" s="198"/>
    </row>
    <row r="4993" spans="1:1" s="199" customFormat="1" ht="12" hidden="1" customHeight="1">
      <c r="A4993" s="198"/>
    </row>
    <row r="4994" spans="1:1" s="199" customFormat="1" ht="12" hidden="1" customHeight="1">
      <c r="A4994" s="198"/>
    </row>
    <row r="4995" spans="1:1" s="199" customFormat="1" ht="12" hidden="1" customHeight="1">
      <c r="A4995" s="198"/>
    </row>
    <row r="4996" spans="1:1" s="199" customFormat="1" ht="12" hidden="1" customHeight="1">
      <c r="A4996" s="198"/>
    </row>
    <row r="4997" spans="1:1" s="199" customFormat="1" ht="12" hidden="1" customHeight="1">
      <c r="A4997" s="198"/>
    </row>
    <row r="4998" spans="1:1" s="199" customFormat="1" ht="12" hidden="1" customHeight="1">
      <c r="A4998" s="198"/>
    </row>
    <row r="4999" spans="1:1" s="199" customFormat="1" ht="12" hidden="1" customHeight="1">
      <c r="A4999" s="198"/>
    </row>
    <row r="5000" spans="1:1" s="199" customFormat="1" ht="12" hidden="1" customHeight="1">
      <c r="A5000" s="198"/>
    </row>
    <row r="5001" spans="1:1" s="199" customFormat="1" ht="12" hidden="1" customHeight="1">
      <c r="A5001" s="198"/>
    </row>
    <row r="5002" spans="1:1" s="199" customFormat="1" ht="12" hidden="1" customHeight="1">
      <c r="A5002" s="198"/>
    </row>
    <row r="5003" spans="1:1" s="199" customFormat="1" ht="12" hidden="1" customHeight="1">
      <c r="A5003" s="198"/>
    </row>
    <row r="5004" spans="1:1" s="199" customFormat="1" ht="12" hidden="1" customHeight="1">
      <c r="A5004" s="198"/>
    </row>
    <row r="5005" spans="1:1" s="199" customFormat="1" ht="12" hidden="1" customHeight="1">
      <c r="A5005" s="198"/>
    </row>
    <row r="5006" spans="1:1" s="199" customFormat="1" ht="12" hidden="1" customHeight="1">
      <c r="A5006" s="198"/>
    </row>
    <row r="5007" spans="1:1" s="199" customFormat="1" ht="12" hidden="1" customHeight="1">
      <c r="A5007" s="198"/>
    </row>
    <row r="5008" spans="1:1" s="199" customFormat="1" ht="12" hidden="1" customHeight="1">
      <c r="A5008" s="198"/>
    </row>
    <row r="5009" spans="1:1" s="199" customFormat="1" ht="12" hidden="1" customHeight="1">
      <c r="A5009" s="198"/>
    </row>
    <row r="5010" spans="1:1" s="199" customFormat="1" ht="12" hidden="1" customHeight="1">
      <c r="A5010" s="198"/>
    </row>
    <row r="5011" spans="1:1" s="199" customFormat="1" ht="12" hidden="1" customHeight="1">
      <c r="A5011" s="198"/>
    </row>
    <row r="5012" spans="1:1" s="199" customFormat="1" ht="12" hidden="1" customHeight="1">
      <c r="A5012" s="198"/>
    </row>
    <row r="5013" spans="1:1" s="199" customFormat="1" ht="12" hidden="1" customHeight="1">
      <c r="A5013" s="198"/>
    </row>
    <row r="5014" spans="1:1" s="199" customFormat="1" ht="12" hidden="1" customHeight="1">
      <c r="A5014" s="198"/>
    </row>
    <row r="5015" spans="1:1" s="199" customFormat="1" ht="12" hidden="1" customHeight="1">
      <c r="A5015" s="198"/>
    </row>
    <row r="5016" spans="1:1" s="199" customFormat="1" ht="12" hidden="1" customHeight="1">
      <c r="A5016" s="198"/>
    </row>
    <row r="5017" spans="1:1" s="199" customFormat="1" ht="12" hidden="1" customHeight="1">
      <c r="A5017" s="198"/>
    </row>
    <row r="5018" spans="1:1" s="199" customFormat="1" ht="12" hidden="1" customHeight="1">
      <c r="A5018" s="198"/>
    </row>
    <row r="5019" spans="1:1" s="199" customFormat="1" ht="12" hidden="1" customHeight="1">
      <c r="A5019" s="198"/>
    </row>
    <row r="5020" spans="1:1" s="199" customFormat="1" ht="12" hidden="1" customHeight="1">
      <c r="A5020" s="198"/>
    </row>
    <row r="5021" spans="1:1" s="199" customFormat="1" ht="12" hidden="1" customHeight="1">
      <c r="A5021" s="198"/>
    </row>
    <row r="5022" spans="1:1" s="199" customFormat="1" ht="12" hidden="1" customHeight="1">
      <c r="A5022" s="198"/>
    </row>
    <row r="5023" spans="1:1" s="199" customFormat="1" ht="12" hidden="1" customHeight="1">
      <c r="A5023" s="198"/>
    </row>
    <row r="5024" spans="1:1" s="199" customFormat="1" ht="12" hidden="1" customHeight="1">
      <c r="A5024" s="198"/>
    </row>
    <row r="5025" spans="1:1" s="199" customFormat="1" ht="12" hidden="1" customHeight="1">
      <c r="A5025" s="198"/>
    </row>
    <row r="5026" spans="1:1" s="199" customFormat="1" ht="12" hidden="1" customHeight="1">
      <c r="A5026" s="198"/>
    </row>
    <row r="5027" spans="1:1" s="199" customFormat="1" ht="12" hidden="1" customHeight="1">
      <c r="A5027" s="198"/>
    </row>
    <row r="5028" spans="1:1" s="199" customFormat="1" ht="12" hidden="1" customHeight="1">
      <c r="A5028" s="198"/>
    </row>
    <row r="5029" spans="1:1" s="199" customFormat="1" ht="12" hidden="1" customHeight="1">
      <c r="A5029" s="198"/>
    </row>
    <row r="5030" spans="1:1" s="199" customFormat="1" ht="12" hidden="1" customHeight="1">
      <c r="A5030" s="198"/>
    </row>
    <row r="5031" spans="1:1" s="199" customFormat="1" ht="12" hidden="1" customHeight="1">
      <c r="A5031" s="198"/>
    </row>
    <row r="5032" spans="1:1" s="199" customFormat="1" ht="12" hidden="1" customHeight="1">
      <c r="A5032" s="198"/>
    </row>
    <row r="5033" spans="1:1" s="199" customFormat="1" ht="12" hidden="1" customHeight="1">
      <c r="A5033" s="198"/>
    </row>
    <row r="5034" spans="1:1" s="199" customFormat="1" ht="12" hidden="1" customHeight="1">
      <c r="A5034" s="198"/>
    </row>
    <row r="5035" spans="1:1" s="199" customFormat="1" ht="12" hidden="1" customHeight="1">
      <c r="A5035" s="198"/>
    </row>
    <row r="5036" spans="1:1" s="199" customFormat="1" ht="12" hidden="1" customHeight="1">
      <c r="A5036" s="198"/>
    </row>
    <row r="5037" spans="1:1" s="199" customFormat="1" ht="12" hidden="1" customHeight="1">
      <c r="A5037" s="198"/>
    </row>
    <row r="5038" spans="1:1" s="199" customFormat="1" ht="12" hidden="1" customHeight="1">
      <c r="A5038" s="198"/>
    </row>
    <row r="5039" spans="1:1" s="199" customFormat="1" ht="12" hidden="1" customHeight="1">
      <c r="A5039" s="198"/>
    </row>
    <row r="5040" spans="1:1" s="199" customFormat="1" ht="12" hidden="1" customHeight="1">
      <c r="A5040" s="198"/>
    </row>
    <row r="5041" spans="1:1" s="199" customFormat="1" ht="12" hidden="1" customHeight="1">
      <c r="A5041" s="198"/>
    </row>
    <row r="5042" spans="1:1" s="199" customFormat="1" ht="12" hidden="1" customHeight="1">
      <c r="A5042" s="198"/>
    </row>
    <row r="5043" spans="1:1" s="199" customFormat="1" ht="12" hidden="1" customHeight="1">
      <c r="A5043" s="198"/>
    </row>
    <row r="5044" spans="1:1" s="199" customFormat="1" ht="12" hidden="1" customHeight="1">
      <c r="A5044" s="198"/>
    </row>
    <row r="5045" spans="1:1" s="199" customFormat="1" ht="12" hidden="1" customHeight="1">
      <c r="A5045" s="198"/>
    </row>
    <row r="5046" spans="1:1" s="199" customFormat="1" ht="12" hidden="1" customHeight="1">
      <c r="A5046" s="198"/>
    </row>
    <row r="5047" spans="1:1" s="199" customFormat="1" ht="12" hidden="1" customHeight="1">
      <c r="A5047" s="198"/>
    </row>
    <row r="5048" spans="1:1" s="199" customFormat="1" ht="12" hidden="1" customHeight="1">
      <c r="A5048" s="198"/>
    </row>
    <row r="5049" spans="1:1" s="199" customFormat="1" ht="12" hidden="1" customHeight="1">
      <c r="A5049" s="198"/>
    </row>
    <row r="5050" spans="1:1" s="199" customFormat="1" ht="12" hidden="1" customHeight="1">
      <c r="A5050" s="198"/>
    </row>
    <row r="5051" spans="1:1" s="199" customFormat="1" ht="12" hidden="1" customHeight="1">
      <c r="A5051" s="198"/>
    </row>
    <row r="5052" spans="1:1" s="199" customFormat="1" ht="12" hidden="1" customHeight="1">
      <c r="A5052" s="198"/>
    </row>
    <row r="5053" spans="1:1" s="199" customFormat="1" ht="12" hidden="1" customHeight="1">
      <c r="A5053" s="198"/>
    </row>
    <row r="5054" spans="1:1" s="199" customFormat="1" ht="12" hidden="1" customHeight="1">
      <c r="A5054" s="198"/>
    </row>
    <row r="5055" spans="1:1" s="199" customFormat="1" ht="12" hidden="1" customHeight="1">
      <c r="A5055" s="198"/>
    </row>
    <row r="5056" spans="1:1" s="199" customFormat="1" ht="12" hidden="1" customHeight="1">
      <c r="A5056" s="198"/>
    </row>
    <row r="5057" spans="1:1" s="199" customFormat="1" ht="12" hidden="1" customHeight="1">
      <c r="A5057" s="198"/>
    </row>
    <row r="5058" spans="1:1" s="199" customFormat="1" ht="12" hidden="1" customHeight="1">
      <c r="A5058" s="198"/>
    </row>
    <row r="5059" spans="1:1" s="199" customFormat="1" ht="12" hidden="1" customHeight="1">
      <c r="A5059" s="198"/>
    </row>
    <row r="5060" spans="1:1" s="199" customFormat="1" ht="12" hidden="1" customHeight="1">
      <c r="A5060" s="198"/>
    </row>
    <row r="5061" spans="1:1" s="199" customFormat="1" ht="12" hidden="1" customHeight="1">
      <c r="A5061" s="198"/>
    </row>
    <row r="5062" spans="1:1" s="199" customFormat="1" ht="12" hidden="1" customHeight="1">
      <c r="A5062" s="198"/>
    </row>
    <row r="5063" spans="1:1" s="199" customFormat="1" ht="12" hidden="1" customHeight="1">
      <c r="A5063" s="198"/>
    </row>
    <row r="5064" spans="1:1" s="199" customFormat="1" ht="12" hidden="1" customHeight="1">
      <c r="A5064" s="198"/>
    </row>
    <row r="5065" spans="1:1" s="199" customFormat="1" ht="12" hidden="1" customHeight="1">
      <c r="A5065" s="198"/>
    </row>
    <row r="5066" spans="1:1" s="199" customFormat="1" ht="12" hidden="1" customHeight="1">
      <c r="A5066" s="198"/>
    </row>
    <row r="5067" spans="1:1" s="199" customFormat="1" ht="12" hidden="1" customHeight="1">
      <c r="A5067" s="198"/>
    </row>
    <row r="5068" spans="1:1" s="199" customFormat="1" ht="12" hidden="1" customHeight="1">
      <c r="A5068" s="198"/>
    </row>
    <row r="5069" spans="1:1" s="199" customFormat="1" ht="12" hidden="1" customHeight="1">
      <c r="A5069" s="198"/>
    </row>
    <row r="5070" spans="1:1" s="199" customFormat="1" ht="12" hidden="1" customHeight="1">
      <c r="A5070" s="198"/>
    </row>
    <row r="5071" spans="1:1" s="199" customFormat="1" ht="12" hidden="1" customHeight="1">
      <c r="A5071" s="198"/>
    </row>
    <row r="5072" spans="1:1" s="199" customFormat="1" ht="12" hidden="1" customHeight="1">
      <c r="A5072" s="198"/>
    </row>
    <row r="5073" spans="1:1" s="199" customFormat="1" ht="12" hidden="1" customHeight="1">
      <c r="A5073" s="198"/>
    </row>
    <row r="5074" spans="1:1" s="199" customFormat="1" ht="12" hidden="1" customHeight="1">
      <c r="A5074" s="198"/>
    </row>
    <row r="5075" spans="1:1" s="199" customFormat="1" ht="12" hidden="1" customHeight="1">
      <c r="A5075" s="198"/>
    </row>
    <row r="5076" spans="1:1" s="199" customFormat="1" ht="12" hidden="1" customHeight="1">
      <c r="A5076" s="198"/>
    </row>
    <row r="5077" spans="1:1" s="199" customFormat="1" ht="12" hidden="1" customHeight="1">
      <c r="A5077" s="198"/>
    </row>
    <row r="5078" spans="1:1" s="199" customFormat="1" ht="12" hidden="1" customHeight="1">
      <c r="A5078" s="198"/>
    </row>
    <row r="5079" spans="1:1" s="199" customFormat="1" ht="12" hidden="1" customHeight="1">
      <c r="A5079" s="198"/>
    </row>
    <row r="5080" spans="1:1" s="199" customFormat="1" ht="12" hidden="1" customHeight="1">
      <c r="A5080" s="198"/>
    </row>
    <row r="5081" spans="1:1" s="199" customFormat="1" ht="12" hidden="1" customHeight="1">
      <c r="A5081" s="198"/>
    </row>
    <row r="5082" spans="1:1" s="199" customFormat="1" ht="12" hidden="1" customHeight="1">
      <c r="A5082" s="198"/>
    </row>
    <row r="5083" spans="1:1" s="199" customFormat="1" ht="12" hidden="1" customHeight="1">
      <c r="A5083" s="198"/>
    </row>
    <row r="5084" spans="1:1" s="199" customFormat="1" ht="12" hidden="1" customHeight="1">
      <c r="A5084" s="198"/>
    </row>
    <row r="5085" spans="1:1" s="199" customFormat="1" ht="12" hidden="1" customHeight="1">
      <c r="A5085" s="198"/>
    </row>
    <row r="5086" spans="1:1" s="199" customFormat="1" ht="12" hidden="1" customHeight="1">
      <c r="A5086" s="198"/>
    </row>
    <row r="5087" spans="1:1" s="199" customFormat="1" ht="12" hidden="1" customHeight="1">
      <c r="A5087" s="198"/>
    </row>
    <row r="5088" spans="1:1" s="199" customFormat="1" ht="12" hidden="1" customHeight="1">
      <c r="A5088" s="198"/>
    </row>
    <row r="5089" spans="1:1" s="199" customFormat="1" ht="12" hidden="1" customHeight="1">
      <c r="A5089" s="198"/>
    </row>
    <row r="5090" spans="1:1" s="199" customFormat="1" ht="12" hidden="1" customHeight="1">
      <c r="A5090" s="198"/>
    </row>
    <row r="5091" spans="1:1" s="199" customFormat="1" ht="12" hidden="1" customHeight="1">
      <c r="A5091" s="198"/>
    </row>
    <row r="5092" spans="1:1" s="199" customFormat="1" ht="12" hidden="1" customHeight="1">
      <c r="A5092" s="198"/>
    </row>
    <row r="5093" spans="1:1" s="199" customFormat="1" ht="12" hidden="1" customHeight="1">
      <c r="A5093" s="198"/>
    </row>
    <row r="5094" spans="1:1" s="199" customFormat="1" ht="12" hidden="1" customHeight="1">
      <c r="A5094" s="198"/>
    </row>
    <row r="5095" spans="1:1" s="199" customFormat="1" ht="12" hidden="1" customHeight="1">
      <c r="A5095" s="198"/>
    </row>
    <row r="5096" spans="1:1" s="199" customFormat="1" ht="12" hidden="1" customHeight="1">
      <c r="A5096" s="198"/>
    </row>
    <row r="5097" spans="1:1" s="199" customFormat="1" ht="12" hidden="1" customHeight="1">
      <c r="A5097" s="198"/>
    </row>
    <row r="5098" spans="1:1" s="199" customFormat="1" ht="12" hidden="1" customHeight="1">
      <c r="A5098" s="198"/>
    </row>
    <row r="5099" spans="1:1" s="199" customFormat="1" ht="12" hidden="1" customHeight="1">
      <c r="A5099" s="198"/>
    </row>
    <row r="5100" spans="1:1" s="199" customFormat="1" ht="12" hidden="1" customHeight="1">
      <c r="A5100" s="198"/>
    </row>
    <row r="5101" spans="1:1" s="199" customFormat="1" ht="12" hidden="1" customHeight="1">
      <c r="A5101" s="198"/>
    </row>
    <row r="5102" spans="1:1" s="199" customFormat="1" ht="12" hidden="1" customHeight="1">
      <c r="A5102" s="198"/>
    </row>
    <row r="5103" spans="1:1" s="199" customFormat="1" ht="12" hidden="1" customHeight="1">
      <c r="A5103" s="198"/>
    </row>
    <row r="5104" spans="1:1" s="199" customFormat="1" ht="12" hidden="1" customHeight="1">
      <c r="A5104" s="198"/>
    </row>
    <row r="5105" spans="1:1" s="199" customFormat="1" ht="12" hidden="1" customHeight="1">
      <c r="A5105" s="198"/>
    </row>
    <row r="5106" spans="1:1" s="199" customFormat="1" ht="12" hidden="1" customHeight="1">
      <c r="A5106" s="198"/>
    </row>
    <row r="5107" spans="1:1" s="199" customFormat="1" ht="12" hidden="1" customHeight="1">
      <c r="A5107" s="198"/>
    </row>
    <row r="5108" spans="1:1" s="199" customFormat="1" ht="12" hidden="1" customHeight="1">
      <c r="A5108" s="198"/>
    </row>
    <row r="5109" spans="1:1" s="199" customFormat="1" ht="12" hidden="1" customHeight="1">
      <c r="A5109" s="198"/>
    </row>
    <row r="5110" spans="1:1" s="199" customFormat="1" ht="12" hidden="1" customHeight="1">
      <c r="A5110" s="198"/>
    </row>
    <row r="5111" spans="1:1" s="199" customFormat="1" ht="12" hidden="1" customHeight="1">
      <c r="A5111" s="198"/>
    </row>
    <row r="5112" spans="1:1" s="199" customFormat="1" ht="12" hidden="1" customHeight="1">
      <c r="A5112" s="198"/>
    </row>
    <row r="5113" spans="1:1" s="199" customFormat="1" ht="12" hidden="1" customHeight="1">
      <c r="A5113" s="198"/>
    </row>
    <row r="5114" spans="1:1" s="199" customFormat="1" ht="12" hidden="1" customHeight="1">
      <c r="A5114" s="198"/>
    </row>
    <row r="5115" spans="1:1" s="199" customFormat="1" ht="12" hidden="1" customHeight="1">
      <c r="A5115" s="198"/>
    </row>
    <row r="5116" spans="1:1" s="199" customFormat="1" ht="12" hidden="1" customHeight="1">
      <c r="A5116" s="198"/>
    </row>
    <row r="5117" spans="1:1" s="199" customFormat="1" ht="12" hidden="1" customHeight="1">
      <c r="A5117" s="198"/>
    </row>
    <row r="5118" spans="1:1" s="199" customFormat="1" ht="12" hidden="1" customHeight="1">
      <c r="A5118" s="198"/>
    </row>
    <row r="5119" spans="1:1" s="199" customFormat="1" ht="12" hidden="1" customHeight="1">
      <c r="A5119" s="198"/>
    </row>
    <row r="5120" spans="1:1" s="199" customFormat="1" ht="12" hidden="1" customHeight="1">
      <c r="A5120" s="198"/>
    </row>
    <row r="5121" spans="1:1" s="199" customFormat="1" ht="12" hidden="1" customHeight="1">
      <c r="A5121" s="198"/>
    </row>
    <row r="5122" spans="1:1" s="199" customFormat="1" ht="12" hidden="1" customHeight="1">
      <c r="A5122" s="198"/>
    </row>
    <row r="5123" spans="1:1" s="199" customFormat="1" ht="12" hidden="1" customHeight="1">
      <c r="A5123" s="198"/>
    </row>
    <row r="5124" spans="1:1" s="199" customFormat="1" ht="12" hidden="1" customHeight="1">
      <c r="A5124" s="198"/>
    </row>
    <row r="5125" spans="1:1" s="199" customFormat="1" ht="12" hidden="1" customHeight="1">
      <c r="A5125" s="198"/>
    </row>
    <row r="5126" spans="1:1" s="199" customFormat="1" ht="12" hidden="1" customHeight="1">
      <c r="A5126" s="198"/>
    </row>
    <row r="5127" spans="1:1" s="199" customFormat="1" ht="12" hidden="1" customHeight="1">
      <c r="A5127" s="198"/>
    </row>
    <row r="5128" spans="1:1" s="199" customFormat="1" ht="12" hidden="1" customHeight="1">
      <c r="A5128" s="198"/>
    </row>
    <row r="5129" spans="1:1" s="199" customFormat="1" ht="12" hidden="1" customHeight="1">
      <c r="A5129" s="198"/>
    </row>
    <row r="5130" spans="1:1" s="199" customFormat="1" ht="12" hidden="1" customHeight="1">
      <c r="A5130" s="198"/>
    </row>
    <row r="5131" spans="1:1" s="199" customFormat="1" ht="12" hidden="1" customHeight="1">
      <c r="A5131" s="198"/>
    </row>
    <row r="5132" spans="1:1" s="199" customFormat="1" ht="12" hidden="1" customHeight="1">
      <c r="A5132" s="198"/>
    </row>
    <row r="5133" spans="1:1" s="199" customFormat="1" ht="12" hidden="1" customHeight="1">
      <c r="A5133" s="198"/>
    </row>
    <row r="5134" spans="1:1" s="199" customFormat="1" ht="12" hidden="1" customHeight="1">
      <c r="A5134" s="198"/>
    </row>
    <row r="5135" spans="1:1" s="199" customFormat="1" ht="12" hidden="1" customHeight="1">
      <c r="A5135" s="198"/>
    </row>
    <row r="5136" spans="1:1" s="199" customFormat="1" ht="12" hidden="1" customHeight="1">
      <c r="A5136" s="198"/>
    </row>
    <row r="5137" spans="1:1" s="199" customFormat="1" ht="12" hidden="1" customHeight="1">
      <c r="A5137" s="198"/>
    </row>
    <row r="5138" spans="1:1" s="199" customFormat="1" ht="12" hidden="1" customHeight="1">
      <c r="A5138" s="198"/>
    </row>
    <row r="5139" spans="1:1" s="199" customFormat="1" ht="12" hidden="1" customHeight="1">
      <c r="A5139" s="198"/>
    </row>
    <row r="5140" spans="1:1" s="199" customFormat="1" ht="12" hidden="1" customHeight="1">
      <c r="A5140" s="198"/>
    </row>
    <row r="5141" spans="1:1" s="199" customFormat="1" ht="12" hidden="1" customHeight="1">
      <c r="A5141" s="198"/>
    </row>
    <row r="5142" spans="1:1" s="199" customFormat="1" ht="12" hidden="1" customHeight="1">
      <c r="A5142" s="198"/>
    </row>
    <row r="5143" spans="1:1" s="199" customFormat="1" ht="12" hidden="1" customHeight="1">
      <c r="A5143" s="198"/>
    </row>
    <row r="5144" spans="1:1" s="199" customFormat="1" ht="12" hidden="1" customHeight="1">
      <c r="A5144" s="198"/>
    </row>
    <row r="5145" spans="1:1" s="199" customFormat="1" ht="12" hidden="1" customHeight="1">
      <c r="A5145" s="198"/>
    </row>
    <row r="5146" spans="1:1" s="199" customFormat="1" ht="12" hidden="1" customHeight="1">
      <c r="A5146" s="198"/>
    </row>
    <row r="5147" spans="1:1" s="199" customFormat="1" ht="12" hidden="1" customHeight="1">
      <c r="A5147" s="198"/>
    </row>
    <row r="5148" spans="1:1" s="199" customFormat="1" ht="12" hidden="1" customHeight="1">
      <c r="A5148" s="198"/>
    </row>
    <row r="5149" spans="1:1" s="199" customFormat="1" ht="12" hidden="1" customHeight="1">
      <c r="A5149" s="198"/>
    </row>
    <row r="5150" spans="1:1" s="199" customFormat="1" ht="12" hidden="1" customHeight="1">
      <c r="A5150" s="198"/>
    </row>
    <row r="5151" spans="1:1" s="199" customFormat="1" ht="12" hidden="1" customHeight="1">
      <c r="A5151" s="198"/>
    </row>
    <row r="5152" spans="1:1" s="199" customFormat="1" ht="12" hidden="1" customHeight="1">
      <c r="A5152" s="198"/>
    </row>
    <row r="5153" spans="1:1" s="199" customFormat="1" ht="12" hidden="1" customHeight="1">
      <c r="A5153" s="198"/>
    </row>
    <row r="5154" spans="1:1" s="199" customFormat="1" ht="12" hidden="1" customHeight="1">
      <c r="A5154" s="198"/>
    </row>
    <row r="5155" spans="1:1" s="199" customFormat="1" ht="12" hidden="1" customHeight="1">
      <c r="A5155" s="198"/>
    </row>
    <row r="5156" spans="1:1" s="199" customFormat="1" ht="12" hidden="1" customHeight="1">
      <c r="A5156" s="198"/>
    </row>
    <row r="5157" spans="1:1" s="199" customFormat="1" ht="12" hidden="1" customHeight="1">
      <c r="A5157" s="198"/>
    </row>
    <row r="5158" spans="1:1" s="199" customFormat="1" ht="12" hidden="1" customHeight="1">
      <c r="A5158" s="198"/>
    </row>
    <row r="5159" spans="1:1" s="199" customFormat="1" ht="12" hidden="1" customHeight="1">
      <c r="A5159" s="198"/>
    </row>
    <row r="5160" spans="1:1" s="199" customFormat="1" ht="12" hidden="1" customHeight="1">
      <c r="A5160" s="198"/>
    </row>
    <row r="5161" spans="1:1" s="199" customFormat="1" ht="12" hidden="1" customHeight="1">
      <c r="A5161" s="198"/>
    </row>
    <row r="5162" spans="1:1" s="199" customFormat="1" ht="12" hidden="1" customHeight="1">
      <c r="A5162" s="198"/>
    </row>
    <row r="5163" spans="1:1" s="199" customFormat="1" ht="12" hidden="1" customHeight="1">
      <c r="A5163" s="198"/>
    </row>
    <row r="5164" spans="1:1" s="199" customFormat="1" ht="12" hidden="1" customHeight="1">
      <c r="A5164" s="198"/>
    </row>
    <row r="5165" spans="1:1" s="199" customFormat="1" ht="12" hidden="1" customHeight="1">
      <c r="A5165" s="198"/>
    </row>
    <row r="5166" spans="1:1" s="199" customFormat="1" ht="12" hidden="1" customHeight="1">
      <c r="A5166" s="198"/>
    </row>
    <row r="5167" spans="1:1" s="199" customFormat="1" ht="12" hidden="1" customHeight="1">
      <c r="A5167" s="198"/>
    </row>
    <row r="5168" spans="1:1" s="199" customFormat="1" ht="12" hidden="1" customHeight="1">
      <c r="A5168" s="198"/>
    </row>
    <row r="5169" spans="1:1" s="199" customFormat="1" ht="12" hidden="1" customHeight="1">
      <c r="A5169" s="198"/>
    </row>
    <row r="5170" spans="1:1" s="199" customFormat="1" ht="12" hidden="1" customHeight="1">
      <c r="A5170" s="198"/>
    </row>
    <row r="5171" spans="1:1" s="199" customFormat="1" ht="12" hidden="1" customHeight="1">
      <c r="A5171" s="198"/>
    </row>
    <row r="5172" spans="1:1" s="199" customFormat="1" ht="12" hidden="1" customHeight="1">
      <c r="A5172" s="198"/>
    </row>
    <row r="5173" spans="1:1" s="199" customFormat="1" ht="12" hidden="1" customHeight="1">
      <c r="A5173" s="198"/>
    </row>
    <row r="5174" spans="1:1" s="199" customFormat="1" ht="12" hidden="1" customHeight="1">
      <c r="A5174" s="198"/>
    </row>
    <row r="5175" spans="1:1" s="199" customFormat="1" ht="12" hidden="1" customHeight="1">
      <c r="A5175" s="198"/>
    </row>
    <row r="5176" spans="1:1" s="199" customFormat="1" ht="12" hidden="1" customHeight="1">
      <c r="A5176" s="198"/>
    </row>
    <row r="5177" spans="1:1" s="199" customFormat="1" ht="12" hidden="1" customHeight="1">
      <c r="A5177" s="198"/>
    </row>
    <row r="5178" spans="1:1" s="199" customFormat="1" ht="12" hidden="1" customHeight="1">
      <c r="A5178" s="198"/>
    </row>
    <row r="5179" spans="1:1" s="199" customFormat="1" ht="12" hidden="1" customHeight="1">
      <c r="A5179" s="198"/>
    </row>
    <row r="5180" spans="1:1" s="199" customFormat="1" ht="12" hidden="1" customHeight="1">
      <c r="A5180" s="198"/>
    </row>
    <row r="5181" spans="1:1" s="199" customFormat="1" ht="12" hidden="1" customHeight="1">
      <c r="A5181" s="198"/>
    </row>
    <row r="5182" spans="1:1" s="199" customFormat="1" ht="12" hidden="1" customHeight="1">
      <c r="A5182" s="198"/>
    </row>
    <row r="5183" spans="1:1" s="199" customFormat="1" ht="12" hidden="1" customHeight="1">
      <c r="A5183" s="198"/>
    </row>
    <row r="5184" spans="1:1" s="199" customFormat="1" ht="12" hidden="1" customHeight="1">
      <c r="A5184" s="198"/>
    </row>
    <row r="5185" spans="1:1" s="199" customFormat="1" ht="12" hidden="1" customHeight="1">
      <c r="A5185" s="198"/>
    </row>
    <row r="5186" spans="1:1" s="199" customFormat="1" ht="12" hidden="1" customHeight="1">
      <c r="A5186" s="198"/>
    </row>
    <row r="5187" spans="1:1" s="199" customFormat="1" ht="12" hidden="1" customHeight="1">
      <c r="A5187" s="198"/>
    </row>
    <row r="5188" spans="1:1" s="199" customFormat="1" ht="12" hidden="1" customHeight="1">
      <c r="A5188" s="198"/>
    </row>
    <row r="5189" spans="1:1" s="199" customFormat="1" ht="12" hidden="1" customHeight="1">
      <c r="A5189" s="198"/>
    </row>
    <row r="5190" spans="1:1" s="199" customFormat="1" ht="12" hidden="1" customHeight="1">
      <c r="A5190" s="198"/>
    </row>
    <row r="5191" spans="1:1" s="199" customFormat="1" ht="12" hidden="1" customHeight="1">
      <c r="A5191" s="198"/>
    </row>
    <row r="5192" spans="1:1" s="199" customFormat="1" ht="12" hidden="1" customHeight="1">
      <c r="A5192" s="198"/>
    </row>
    <row r="5193" spans="1:1" s="199" customFormat="1" ht="12" hidden="1" customHeight="1">
      <c r="A5193" s="198"/>
    </row>
    <row r="5194" spans="1:1" s="199" customFormat="1" ht="12" hidden="1" customHeight="1">
      <c r="A5194" s="198"/>
    </row>
    <row r="5195" spans="1:1" s="199" customFormat="1" ht="12" hidden="1" customHeight="1">
      <c r="A5195" s="198"/>
    </row>
    <row r="5196" spans="1:1" s="199" customFormat="1" ht="12" hidden="1" customHeight="1">
      <c r="A5196" s="198"/>
    </row>
    <row r="5197" spans="1:1" s="199" customFormat="1" ht="12" hidden="1" customHeight="1">
      <c r="A5197" s="198"/>
    </row>
    <row r="5198" spans="1:1" s="199" customFormat="1" ht="12" hidden="1" customHeight="1">
      <c r="A5198" s="198"/>
    </row>
    <row r="5199" spans="1:1" s="199" customFormat="1" ht="12" hidden="1" customHeight="1">
      <c r="A5199" s="198"/>
    </row>
    <row r="5200" spans="1:1" s="199" customFormat="1" ht="12" hidden="1" customHeight="1">
      <c r="A5200" s="198"/>
    </row>
    <row r="5201" spans="1:1" s="199" customFormat="1" ht="12" hidden="1" customHeight="1">
      <c r="A5201" s="198"/>
    </row>
    <row r="5202" spans="1:1" s="199" customFormat="1" ht="12" hidden="1" customHeight="1">
      <c r="A5202" s="198"/>
    </row>
    <row r="5203" spans="1:1" s="199" customFormat="1" ht="12" hidden="1" customHeight="1">
      <c r="A5203" s="198"/>
    </row>
    <row r="5204" spans="1:1" s="199" customFormat="1" ht="12" hidden="1" customHeight="1">
      <c r="A5204" s="198"/>
    </row>
    <row r="5205" spans="1:1" s="199" customFormat="1" ht="12" hidden="1" customHeight="1">
      <c r="A5205" s="198"/>
    </row>
    <row r="5206" spans="1:1" s="199" customFormat="1" ht="12" hidden="1" customHeight="1">
      <c r="A5206" s="198"/>
    </row>
    <row r="5207" spans="1:1" s="199" customFormat="1" ht="12" hidden="1" customHeight="1">
      <c r="A5207" s="198"/>
    </row>
    <row r="5208" spans="1:1" s="199" customFormat="1" ht="12" hidden="1" customHeight="1">
      <c r="A5208" s="198"/>
    </row>
    <row r="5209" spans="1:1" s="199" customFormat="1" ht="12" hidden="1" customHeight="1">
      <c r="A5209" s="198"/>
    </row>
    <row r="5210" spans="1:1" s="199" customFormat="1" ht="12" hidden="1" customHeight="1">
      <c r="A5210" s="198"/>
    </row>
    <row r="5211" spans="1:1" s="199" customFormat="1" ht="12" hidden="1" customHeight="1">
      <c r="A5211" s="198"/>
    </row>
    <row r="5212" spans="1:1" s="199" customFormat="1" ht="12" hidden="1" customHeight="1">
      <c r="A5212" s="198"/>
    </row>
    <row r="5213" spans="1:1" s="199" customFormat="1" ht="12" hidden="1" customHeight="1">
      <c r="A5213" s="198"/>
    </row>
    <row r="5214" spans="1:1" s="199" customFormat="1" ht="12" hidden="1" customHeight="1">
      <c r="A5214" s="198"/>
    </row>
    <row r="5215" spans="1:1" s="199" customFormat="1" ht="12" hidden="1" customHeight="1">
      <c r="A5215" s="198"/>
    </row>
    <row r="5216" spans="1:1" s="199" customFormat="1" ht="12" hidden="1" customHeight="1">
      <c r="A5216" s="198"/>
    </row>
    <row r="5217" spans="1:1" s="199" customFormat="1" ht="12" hidden="1" customHeight="1">
      <c r="A5217" s="198"/>
    </row>
    <row r="5218" spans="1:1" s="199" customFormat="1" ht="12" hidden="1" customHeight="1">
      <c r="A5218" s="198"/>
    </row>
    <row r="5219" spans="1:1" s="199" customFormat="1" ht="12" hidden="1" customHeight="1">
      <c r="A5219" s="198"/>
    </row>
    <row r="5220" spans="1:1" s="199" customFormat="1" ht="12" hidden="1" customHeight="1">
      <c r="A5220" s="198"/>
    </row>
    <row r="5221" spans="1:1" s="199" customFormat="1" ht="12" hidden="1" customHeight="1">
      <c r="A5221" s="198"/>
    </row>
    <row r="5222" spans="1:1" s="199" customFormat="1" ht="12" hidden="1" customHeight="1">
      <c r="A5222" s="198"/>
    </row>
    <row r="5223" spans="1:1" s="199" customFormat="1" ht="12" hidden="1" customHeight="1">
      <c r="A5223" s="198"/>
    </row>
    <row r="5224" spans="1:1" s="199" customFormat="1" ht="12" hidden="1" customHeight="1">
      <c r="A5224" s="198"/>
    </row>
    <row r="5225" spans="1:1" s="199" customFormat="1" ht="12" hidden="1" customHeight="1">
      <c r="A5225" s="198"/>
    </row>
    <row r="5226" spans="1:1" s="199" customFormat="1" ht="12" hidden="1" customHeight="1">
      <c r="A5226" s="198"/>
    </row>
    <row r="5227" spans="1:1" s="199" customFormat="1" ht="12" hidden="1" customHeight="1">
      <c r="A5227" s="198"/>
    </row>
    <row r="5228" spans="1:1" s="199" customFormat="1" ht="12" hidden="1" customHeight="1">
      <c r="A5228" s="198"/>
    </row>
    <row r="5229" spans="1:1" s="199" customFormat="1" ht="12" hidden="1" customHeight="1">
      <c r="A5229" s="198"/>
    </row>
    <row r="5230" spans="1:1" s="199" customFormat="1" ht="12" hidden="1" customHeight="1">
      <c r="A5230" s="198"/>
    </row>
    <row r="5231" spans="1:1" s="199" customFormat="1" ht="12" hidden="1" customHeight="1">
      <c r="A5231" s="198"/>
    </row>
    <row r="5232" spans="1:1" s="199" customFormat="1" ht="12" hidden="1" customHeight="1">
      <c r="A5232" s="198"/>
    </row>
    <row r="5233" spans="1:1" s="199" customFormat="1" ht="12" hidden="1" customHeight="1">
      <c r="A5233" s="198"/>
    </row>
    <row r="5234" spans="1:1" s="199" customFormat="1" ht="12" hidden="1" customHeight="1">
      <c r="A5234" s="198"/>
    </row>
    <row r="5235" spans="1:1" s="199" customFormat="1" ht="12" hidden="1" customHeight="1">
      <c r="A5235" s="198"/>
    </row>
    <row r="5236" spans="1:1" s="199" customFormat="1" ht="12" hidden="1" customHeight="1">
      <c r="A5236" s="198"/>
    </row>
    <row r="5237" spans="1:1" s="199" customFormat="1" ht="12" hidden="1" customHeight="1">
      <c r="A5237" s="198"/>
    </row>
    <row r="5238" spans="1:1" s="199" customFormat="1" ht="12" hidden="1" customHeight="1">
      <c r="A5238" s="198"/>
    </row>
    <row r="5239" spans="1:1" s="199" customFormat="1" ht="12" hidden="1" customHeight="1">
      <c r="A5239" s="198"/>
    </row>
    <row r="5240" spans="1:1" s="199" customFormat="1" ht="12" hidden="1" customHeight="1">
      <c r="A5240" s="198"/>
    </row>
    <row r="5241" spans="1:1" s="199" customFormat="1" ht="12" hidden="1" customHeight="1">
      <c r="A5241" s="198"/>
    </row>
    <row r="5242" spans="1:1" s="199" customFormat="1" ht="12" hidden="1" customHeight="1">
      <c r="A5242" s="198"/>
    </row>
    <row r="5243" spans="1:1" s="199" customFormat="1" ht="12" hidden="1" customHeight="1">
      <c r="A5243" s="198"/>
    </row>
    <row r="5244" spans="1:1" s="199" customFormat="1" ht="12" hidden="1" customHeight="1">
      <c r="A5244" s="198"/>
    </row>
    <row r="5245" spans="1:1" s="199" customFormat="1" ht="12" hidden="1" customHeight="1">
      <c r="A5245" s="198"/>
    </row>
    <row r="5246" spans="1:1" s="199" customFormat="1" ht="12" hidden="1" customHeight="1">
      <c r="A5246" s="198"/>
    </row>
    <row r="5247" spans="1:1" s="199" customFormat="1" ht="12" hidden="1" customHeight="1">
      <c r="A5247" s="198"/>
    </row>
    <row r="5248" spans="1:1" s="199" customFormat="1" ht="12" hidden="1" customHeight="1">
      <c r="A5248" s="198"/>
    </row>
    <row r="5249" spans="1:1" s="199" customFormat="1" ht="12" hidden="1" customHeight="1">
      <c r="A5249" s="198"/>
    </row>
    <row r="5250" spans="1:1" s="199" customFormat="1" ht="12" hidden="1" customHeight="1">
      <c r="A5250" s="198"/>
    </row>
    <row r="5251" spans="1:1" s="199" customFormat="1" ht="12" hidden="1" customHeight="1">
      <c r="A5251" s="198"/>
    </row>
    <row r="5252" spans="1:1" s="199" customFormat="1" ht="12" hidden="1" customHeight="1">
      <c r="A5252" s="198"/>
    </row>
    <row r="5253" spans="1:1" s="199" customFormat="1" ht="12" hidden="1" customHeight="1">
      <c r="A5253" s="198"/>
    </row>
    <row r="5254" spans="1:1" s="199" customFormat="1" ht="12" hidden="1" customHeight="1">
      <c r="A5254" s="198"/>
    </row>
    <row r="5255" spans="1:1" s="199" customFormat="1" ht="12" hidden="1" customHeight="1">
      <c r="A5255" s="198"/>
    </row>
    <row r="5256" spans="1:1" s="199" customFormat="1" ht="12" hidden="1" customHeight="1">
      <c r="A5256" s="198"/>
    </row>
    <row r="5257" spans="1:1" s="199" customFormat="1" ht="12" hidden="1" customHeight="1">
      <c r="A5257" s="198"/>
    </row>
    <row r="5258" spans="1:1" s="199" customFormat="1" ht="12" hidden="1" customHeight="1">
      <c r="A5258" s="198"/>
    </row>
    <row r="5259" spans="1:1" s="199" customFormat="1" ht="12" hidden="1" customHeight="1">
      <c r="A5259" s="198"/>
    </row>
    <row r="5260" spans="1:1" s="199" customFormat="1" ht="12" hidden="1" customHeight="1">
      <c r="A5260" s="198"/>
    </row>
    <row r="5261" spans="1:1" s="199" customFormat="1" ht="12" hidden="1" customHeight="1">
      <c r="A5261" s="198"/>
    </row>
    <row r="5262" spans="1:1" s="199" customFormat="1" ht="12" hidden="1" customHeight="1">
      <c r="A5262" s="198"/>
    </row>
    <row r="5263" spans="1:1" s="199" customFormat="1" ht="12" hidden="1" customHeight="1">
      <c r="A5263" s="198"/>
    </row>
    <row r="5264" spans="1:1" s="199" customFormat="1" ht="12" hidden="1" customHeight="1">
      <c r="A5264" s="198"/>
    </row>
    <row r="5265" spans="1:1" s="199" customFormat="1" ht="12" hidden="1" customHeight="1">
      <c r="A5265" s="198"/>
    </row>
    <row r="5266" spans="1:1" s="199" customFormat="1" ht="12" hidden="1" customHeight="1">
      <c r="A5266" s="198"/>
    </row>
    <row r="5267" spans="1:1" s="199" customFormat="1" ht="12" hidden="1" customHeight="1">
      <c r="A5267" s="198"/>
    </row>
    <row r="5268" spans="1:1" s="199" customFormat="1" ht="12" hidden="1" customHeight="1">
      <c r="A5268" s="198"/>
    </row>
    <row r="5269" spans="1:1" s="199" customFormat="1" ht="12" hidden="1" customHeight="1">
      <c r="A5269" s="198"/>
    </row>
    <row r="5270" spans="1:1" s="199" customFormat="1" ht="12" hidden="1" customHeight="1">
      <c r="A5270" s="198"/>
    </row>
    <row r="5271" spans="1:1" s="199" customFormat="1" ht="12" hidden="1" customHeight="1">
      <c r="A5271" s="198"/>
    </row>
    <row r="5272" spans="1:1" s="199" customFormat="1" ht="12" hidden="1" customHeight="1">
      <c r="A5272" s="198"/>
    </row>
    <row r="5273" spans="1:1" s="199" customFormat="1" ht="12" hidden="1" customHeight="1">
      <c r="A5273" s="198"/>
    </row>
    <row r="5274" spans="1:1" s="199" customFormat="1" ht="12" hidden="1" customHeight="1">
      <c r="A5274" s="198"/>
    </row>
    <row r="5275" spans="1:1" s="199" customFormat="1" ht="12" hidden="1" customHeight="1">
      <c r="A5275" s="198"/>
    </row>
    <row r="5276" spans="1:1" s="199" customFormat="1" ht="12" hidden="1" customHeight="1">
      <c r="A5276" s="198"/>
    </row>
    <row r="5277" spans="1:1" s="199" customFormat="1" ht="12" hidden="1" customHeight="1">
      <c r="A5277" s="198"/>
    </row>
    <row r="5278" spans="1:1" s="199" customFormat="1" ht="12" hidden="1" customHeight="1">
      <c r="A5278" s="198"/>
    </row>
    <row r="5279" spans="1:1" s="199" customFormat="1" ht="12" hidden="1" customHeight="1">
      <c r="A5279" s="198"/>
    </row>
    <row r="5280" spans="1:1" s="199" customFormat="1" ht="12" hidden="1" customHeight="1">
      <c r="A5280" s="198"/>
    </row>
    <row r="5281" spans="1:1" s="199" customFormat="1" ht="12" hidden="1" customHeight="1">
      <c r="A5281" s="198"/>
    </row>
    <row r="5282" spans="1:1" s="199" customFormat="1" ht="12" hidden="1" customHeight="1">
      <c r="A5282" s="198"/>
    </row>
    <row r="5283" spans="1:1" s="199" customFormat="1" ht="12" hidden="1" customHeight="1">
      <c r="A5283" s="198"/>
    </row>
    <row r="5284" spans="1:1" s="199" customFormat="1" ht="12" hidden="1" customHeight="1">
      <c r="A5284" s="198"/>
    </row>
    <row r="5285" spans="1:1" s="199" customFormat="1" ht="12" hidden="1" customHeight="1">
      <c r="A5285" s="198"/>
    </row>
    <row r="5286" spans="1:1" s="199" customFormat="1" ht="12" hidden="1" customHeight="1">
      <c r="A5286" s="198"/>
    </row>
    <row r="5287" spans="1:1" s="199" customFormat="1" ht="12" hidden="1" customHeight="1">
      <c r="A5287" s="198"/>
    </row>
    <row r="5288" spans="1:1" s="199" customFormat="1" ht="12" hidden="1" customHeight="1">
      <c r="A5288" s="198"/>
    </row>
    <row r="5289" spans="1:1" s="199" customFormat="1" ht="12" hidden="1" customHeight="1">
      <c r="A5289" s="198"/>
    </row>
    <row r="5290" spans="1:1" s="199" customFormat="1" ht="12" hidden="1" customHeight="1">
      <c r="A5290" s="198"/>
    </row>
    <row r="5291" spans="1:1" s="199" customFormat="1" ht="12" hidden="1" customHeight="1">
      <c r="A5291" s="198"/>
    </row>
    <row r="5292" spans="1:1" s="199" customFormat="1" ht="12" hidden="1" customHeight="1">
      <c r="A5292" s="198"/>
    </row>
    <row r="5293" spans="1:1" s="199" customFormat="1" ht="12" hidden="1" customHeight="1">
      <c r="A5293" s="198"/>
    </row>
    <row r="5294" spans="1:1" s="199" customFormat="1" ht="12" hidden="1" customHeight="1">
      <c r="A5294" s="198"/>
    </row>
    <row r="5295" spans="1:1" s="199" customFormat="1" ht="12" hidden="1" customHeight="1">
      <c r="A5295" s="198"/>
    </row>
    <row r="5296" spans="1:1" s="199" customFormat="1" ht="12" hidden="1" customHeight="1">
      <c r="A5296" s="198"/>
    </row>
    <row r="5297" spans="1:1" s="199" customFormat="1" ht="12" hidden="1" customHeight="1">
      <c r="A5297" s="198"/>
    </row>
    <row r="5298" spans="1:1" s="199" customFormat="1" ht="12" hidden="1" customHeight="1">
      <c r="A5298" s="198"/>
    </row>
    <row r="5299" spans="1:1" s="199" customFormat="1" ht="12" hidden="1" customHeight="1">
      <c r="A5299" s="198"/>
    </row>
    <row r="5300" spans="1:1" s="199" customFormat="1" ht="12" hidden="1" customHeight="1">
      <c r="A5300" s="198"/>
    </row>
    <row r="5301" spans="1:1" s="199" customFormat="1" ht="12" hidden="1" customHeight="1">
      <c r="A5301" s="198"/>
    </row>
    <row r="5302" spans="1:1" s="199" customFormat="1" ht="12" hidden="1" customHeight="1">
      <c r="A5302" s="198"/>
    </row>
    <row r="5303" spans="1:1" s="199" customFormat="1" ht="12" hidden="1" customHeight="1">
      <c r="A5303" s="198"/>
    </row>
    <row r="5304" spans="1:1" s="199" customFormat="1" ht="12" hidden="1" customHeight="1">
      <c r="A5304" s="198"/>
    </row>
    <row r="5305" spans="1:1" s="199" customFormat="1" ht="12" hidden="1" customHeight="1">
      <c r="A5305" s="198"/>
    </row>
    <row r="5306" spans="1:1" s="199" customFormat="1" ht="12" hidden="1" customHeight="1">
      <c r="A5306" s="198"/>
    </row>
    <row r="5307" spans="1:1" s="199" customFormat="1" ht="12" hidden="1" customHeight="1">
      <c r="A5307" s="198"/>
    </row>
    <row r="5308" spans="1:1" s="199" customFormat="1" ht="12" hidden="1" customHeight="1">
      <c r="A5308" s="198"/>
    </row>
    <row r="5309" spans="1:1" s="199" customFormat="1" ht="12" hidden="1" customHeight="1">
      <c r="A5309" s="198"/>
    </row>
    <row r="5310" spans="1:1" s="199" customFormat="1" ht="12" hidden="1" customHeight="1">
      <c r="A5310" s="198"/>
    </row>
    <row r="5311" spans="1:1" s="199" customFormat="1" ht="12" hidden="1" customHeight="1">
      <c r="A5311" s="198"/>
    </row>
    <row r="5312" spans="1:1" s="199" customFormat="1" ht="12" hidden="1" customHeight="1">
      <c r="A5312" s="198"/>
    </row>
    <row r="5313" spans="1:1" s="199" customFormat="1" ht="12" hidden="1" customHeight="1">
      <c r="A5313" s="198"/>
    </row>
    <row r="5314" spans="1:1" s="199" customFormat="1" ht="12" hidden="1" customHeight="1">
      <c r="A5314" s="198"/>
    </row>
    <row r="5315" spans="1:1" s="199" customFormat="1" ht="12" hidden="1" customHeight="1">
      <c r="A5315" s="198"/>
    </row>
    <row r="5316" spans="1:1" s="199" customFormat="1" ht="12" hidden="1" customHeight="1">
      <c r="A5316" s="198"/>
    </row>
    <row r="5317" spans="1:1" s="199" customFormat="1" ht="12" hidden="1" customHeight="1">
      <c r="A5317" s="198"/>
    </row>
    <row r="5318" spans="1:1" s="199" customFormat="1" ht="12" hidden="1" customHeight="1">
      <c r="A5318" s="198"/>
    </row>
    <row r="5319" spans="1:1" s="199" customFormat="1" ht="12" hidden="1" customHeight="1">
      <c r="A5319" s="198"/>
    </row>
    <row r="5320" spans="1:1" s="199" customFormat="1" ht="12" hidden="1" customHeight="1">
      <c r="A5320" s="198"/>
    </row>
    <row r="5321" spans="1:1" s="199" customFormat="1" ht="12" hidden="1" customHeight="1">
      <c r="A5321" s="198"/>
    </row>
    <row r="5322" spans="1:1" s="199" customFormat="1" ht="12" hidden="1" customHeight="1">
      <c r="A5322" s="198"/>
    </row>
    <row r="5323" spans="1:1" s="199" customFormat="1" ht="12" hidden="1" customHeight="1">
      <c r="A5323" s="198"/>
    </row>
    <row r="5324" spans="1:1" s="199" customFormat="1" ht="12" hidden="1" customHeight="1">
      <c r="A5324" s="198"/>
    </row>
    <row r="5325" spans="1:1" s="199" customFormat="1" ht="12" hidden="1" customHeight="1">
      <c r="A5325" s="198"/>
    </row>
    <row r="5326" spans="1:1" s="199" customFormat="1" ht="12" hidden="1" customHeight="1">
      <c r="A5326" s="198"/>
    </row>
    <row r="5327" spans="1:1" s="199" customFormat="1" ht="12" hidden="1" customHeight="1">
      <c r="A5327" s="198"/>
    </row>
    <row r="5328" spans="1:1" s="199" customFormat="1" ht="12" hidden="1" customHeight="1">
      <c r="A5328" s="198"/>
    </row>
    <row r="5329" spans="1:1" s="199" customFormat="1" ht="12" hidden="1" customHeight="1">
      <c r="A5329" s="198"/>
    </row>
    <row r="5330" spans="1:1" s="199" customFormat="1" ht="12" hidden="1" customHeight="1">
      <c r="A5330" s="198"/>
    </row>
    <row r="5331" spans="1:1" s="199" customFormat="1" ht="12" hidden="1" customHeight="1">
      <c r="A5331" s="198"/>
    </row>
    <row r="5332" spans="1:1" s="199" customFormat="1" ht="12" hidden="1" customHeight="1">
      <c r="A5332" s="198"/>
    </row>
    <row r="5333" spans="1:1" s="199" customFormat="1" ht="12" hidden="1" customHeight="1">
      <c r="A5333" s="198"/>
    </row>
    <row r="5334" spans="1:1" s="199" customFormat="1" ht="12" hidden="1" customHeight="1">
      <c r="A5334" s="198"/>
    </row>
    <row r="5335" spans="1:1" s="199" customFormat="1" ht="12" hidden="1" customHeight="1">
      <c r="A5335" s="198"/>
    </row>
    <row r="5336" spans="1:1" s="199" customFormat="1" ht="12" hidden="1" customHeight="1">
      <c r="A5336" s="198"/>
    </row>
    <row r="5337" spans="1:1" s="199" customFormat="1" ht="12" hidden="1" customHeight="1">
      <c r="A5337" s="198"/>
    </row>
    <row r="5338" spans="1:1" s="199" customFormat="1" ht="12" hidden="1" customHeight="1">
      <c r="A5338" s="198"/>
    </row>
    <row r="5339" spans="1:1" s="199" customFormat="1" ht="12" hidden="1" customHeight="1">
      <c r="A5339" s="198"/>
    </row>
    <row r="5340" spans="1:1" s="199" customFormat="1" ht="12" hidden="1" customHeight="1">
      <c r="A5340" s="198"/>
    </row>
    <row r="5341" spans="1:1" s="199" customFormat="1" ht="12" hidden="1" customHeight="1">
      <c r="A5341" s="198"/>
    </row>
    <row r="5342" spans="1:1" s="199" customFormat="1" ht="12" hidden="1" customHeight="1">
      <c r="A5342" s="198"/>
    </row>
    <row r="5343" spans="1:1" s="199" customFormat="1" ht="12" hidden="1" customHeight="1">
      <c r="A5343" s="198"/>
    </row>
    <row r="5344" spans="1:1" s="199" customFormat="1" ht="12" hidden="1" customHeight="1">
      <c r="A5344" s="198"/>
    </row>
    <row r="5345" spans="1:1" s="199" customFormat="1" ht="12" hidden="1" customHeight="1">
      <c r="A5345" s="198"/>
    </row>
    <row r="5346" spans="1:1" s="199" customFormat="1" ht="12" hidden="1" customHeight="1">
      <c r="A5346" s="198"/>
    </row>
    <row r="5347" spans="1:1" s="199" customFormat="1" ht="12" hidden="1" customHeight="1">
      <c r="A5347" s="198"/>
    </row>
    <row r="5348" spans="1:1" s="199" customFormat="1" ht="12" hidden="1" customHeight="1">
      <c r="A5348" s="198"/>
    </row>
    <row r="5349" spans="1:1" s="199" customFormat="1" ht="12" hidden="1" customHeight="1">
      <c r="A5349" s="198"/>
    </row>
    <row r="5350" spans="1:1" s="199" customFormat="1" ht="12" hidden="1" customHeight="1">
      <c r="A5350" s="198"/>
    </row>
    <row r="5351" spans="1:1" s="199" customFormat="1" ht="12" hidden="1" customHeight="1">
      <c r="A5351" s="198"/>
    </row>
    <row r="5352" spans="1:1" s="199" customFormat="1" ht="12" hidden="1" customHeight="1">
      <c r="A5352" s="198"/>
    </row>
    <row r="5353" spans="1:1" s="199" customFormat="1" ht="12" hidden="1" customHeight="1">
      <c r="A5353" s="198"/>
    </row>
    <row r="5354" spans="1:1" s="199" customFormat="1" ht="12" hidden="1" customHeight="1">
      <c r="A5354" s="198"/>
    </row>
    <row r="5355" spans="1:1" s="199" customFormat="1" ht="12" hidden="1" customHeight="1">
      <c r="A5355" s="198"/>
    </row>
    <row r="5356" spans="1:1" s="199" customFormat="1" ht="12" hidden="1" customHeight="1">
      <c r="A5356" s="198"/>
    </row>
    <row r="5357" spans="1:1" s="199" customFormat="1" ht="12" hidden="1" customHeight="1">
      <c r="A5357" s="198"/>
    </row>
    <row r="5358" spans="1:1" s="199" customFormat="1" ht="12" hidden="1" customHeight="1">
      <c r="A5358" s="198"/>
    </row>
    <row r="5359" spans="1:1" s="199" customFormat="1" ht="12" hidden="1" customHeight="1">
      <c r="A5359" s="198"/>
    </row>
    <row r="5360" spans="1:1" s="199" customFormat="1" ht="12" hidden="1" customHeight="1">
      <c r="A5360" s="198"/>
    </row>
    <row r="5361" spans="1:1" s="199" customFormat="1" ht="12" hidden="1" customHeight="1">
      <c r="A5361" s="198"/>
    </row>
    <row r="5362" spans="1:1" s="199" customFormat="1" ht="12" hidden="1" customHeight="1">
      <c r="A5362" s="198"/>
    </row>
    <row r="5363" spans="1:1" s="199" customFormat="1" ht="12" hidden="1" customHeight="1">
      <c r="A5363" s="198"/>
    </row>
    <row r="5364" spans="1:1" s="199" customFormat="1" ht="12" hidden="1" customHeight="1">
      <c r="A5364" s="198"/>
    </row>
    <row r="5365" spans="1:1" s="199" customFormat="1" ht="12" hidden="1" customHeight="1">
      <c r="A5365" s="198"/>
    </row>
    <row r="5366" spans="1:1" s="199" customFormat="1" ht="12" hidden="1" customHeight="1">
      <c r="A5366" s="198"/>
    </row>
    <row r="5367" spans="1:1" s="199" customFormat="1" ht="12" hidden="1" customHeight="1">
      <c r="A5367" s="198"/>
    </row>
    <row r="5368" spans="1:1" s="199" customFormat="1" ht="12" hidden="1" customHeight="1">
      <c r="A5368" s="198"/>
    </row>
    <row r="5369" spans="1:1" s="199" customFormat="1" ht="12" hidden="1" customHeight="1">
      <c r="A5369" s="198"/>
    </row>
    <row r="5370" spans="1:1" s="199" customFormat="1" ht="12" hidden="1" customHeight="1">
      <c r="A5370" s="198"/>
    </row>
    <row r="5371" spans="1:1" s="199" customFormat="1" ht="12" hidden="1" customHeight="1">
      <c r="A5371" s="198"/>
    </row>
    <row r="5372" spans="1:1" s="199" customFormat="1" ht="12" hidden="1" customHeight="1">
      <c r="A5372" s="198"/>
    </row>
    <row r="5373" spans="1:1" s="199" customFormat="1" ht="12" hidden="1" customHeight="1">
      <c r="A5373" s="198"/>
    </row>
    <row r="5374" spans="1:1" s="199" customFormat="1" ht="12" hidden="1" customHeight="1">
      <c r="A5374" s="198"/>
    </row>
    <row r="5375" spans="1:1" s="199" customFormat="1" ht="12" hidden="1" customHeight="1">
      <c r="A5375" s="198"/>
    </row>
    <row r="5376" spans="1:1" s="199" customFormat="1" ht="12" hidden="1" customHeight="1">
      <c r="A5376" s="198"/>
    </row>
    <row r="5377" spans="1:1" s="199" customFormat="1" ht="12" hidden="1" customHeight="1">
      <c r="A5377" s="198"/>
    </row>
    <row r="5378" spans="1:1" s="199" customFormat="1" ht="12" hidden="1" customHeight="1">
      <c r="A5378" s="198"/>
    </row>
    <row r="5379" spans="1:1" s="199" customFormat="1" ht="12" hidden="1" customHeight="1">
      <c r="A5379" s="198"/>
    </row>
    <row r="5380" spans="1:1" s="199" customFormat="1" ht="12" hidden="1" customHeight="1">
      <c r="A5380" s="198"/>
    </row>
    <row r="5381" spans="1:1" s="199" customFormat="1" ht="12" hidden="1" customHeight="1">
      <c r="A5381" s="198"/>
    </row>
    <row r="5382" spans="1:1" s="199" customFormat="1" ht="12" hidden="1" customHeight="1">
      <c r="A5382" s="198"/>
    </row>
    <row r="5383" spans="1:1" s="199" customFormat="1" ht="12" hidden="1" customHeight="1">
      <c r="A5383" s="198"/>
    </row>
    <row r="5384" spans="1:1" s="199" customFormat="1" ht="12" hidden="1" customHeight="1">
      <c r="A5384" s="198"/>
    </row>
    <row r="5385" spans="1:1" s="199" customFormat="1" ht="12" hidden="1" customHeight="1">
      <c r="A5385" s="198"/>
    </row>
    <row r="5386" spans="1:1" s="199" customFormat="1" ht="12" hidden="1" customHeight="1">
      <c r="A5386" s="198"/>
    </row>
    <row r="5387" spans="1:1" s="199" customFormat="1" ht="12" hidden="1" customHeight="1">
      <c r="A5387" s="198"/>
    </row>
    <row r="5388" spans="1:1" s="199" customFormat="1" ht="12" hidden="1" customHeight="1">
      <c r="A5388" s="198"/>
    </row>
    <row r="5389" spans="1:1" s="199" customFormat="1" ht="12" hidden="1" customHeight="1">
      <c r="A5389" s="198"/>
    </row>
    <row r="5390" spans="1:1" s="199" customFormat="1" ht="12" hidden="1" customHeight="1">
      <c r="A5390" s="198"/>
    </row>
    <row r="5391" spans="1:1" s="199" customFormat="1" ht="12" hidden="1" customHeight="1">
      <c r="A5391" s="198"/>
    </row>
    <row r="5392" spans="1:1" s="199" customFormat="1" ht="12" hidden="1" customHeight="1">
      <c r="A5392" s="198"/>
    </row>
    <row r="5393" spans="1:1" s="199" customFormat="1" ht="12" hidden="1" customHeight="1">
      <c r="A5393" s="198"/>
    </row>
    <row r="5394" spans="1:1" s="199" customFormat="1" ht="12" hidden="1" customHeight="1">
      <c r="A5394" s="198"/>
    </row>
    <row r="5395" spans="1:1" s="199" customFormat="1" ht="12" hidden="1" customHeight="1">
      <c r="A5395" s="198"/>
    </row>
    <row r="5396" spans="1:1" s="199" customFormat="1" ht="12" hidden="1" customHeight="1">
      <c r="A5396" s="198"/>
    </row>
    <row r="5397" spans="1:1" s="199" customFormat="1" ht="12" hidden="1" customHeight="1">
      <c r="A5397" s="198"/>
    </row>
    <row r="5398" spans="1:1" s="199" customFormat="1" ht="12" hidden="1" customHeight="1">
      <c r="A5398" s="198"/>
    </row>
    <row r="5399" spans="1:1" s="199" customFormat="1" ht="12" hidden="1" customHeight="1">
      <c r="A5399" s="198"/>
    </row>
    <row r="5400" spans="1:1" s="199" customFormat="1" ht="12" hidden="1" customHeight="1">
      <c r="A5400" s="198"/>
    </row>
    <row r="5401" spans="1:1" s="199" customFormat="1" ht="12" hidden="1" customHeight="1">
      <c r="A5401" s="198"/>
    </row>
    <row r="5402" spans="1:1" s="199" customFormat="1" ht="12" hidden="1" customHeight="1">
      <c r="A5402" s="198"/>
    </row>
    <row r="5403" spans="1:1" s="199" customFormat="1" ht="12" hidden="1" customHeight="1">
      <c r="A5403" s="198"/>
    </row>
    <row r="5404" spans="1:1" s="199" customFormat="1" ht="12" hidden="1" customHeight="1">
      <c r="A5404" s="198"/>
    </row>
    <row r="5405" spans="1:1" s="199" customFormat="1" ht="12" hidden="1" customHeight="1">
      <c r="A5405" s="198"/>
    </row>
    <row r="5406" spans="1:1" s="199" customFormat="1" ht="12" hidden="1" customHeight="1">
      <c r="A5406" s="198"/>
    </row>
    <row r="5407" spans="1:1" s="199" customFormat="1" ht="12" hidden="1" customHeight="1">
      <c r="A5407" s="198"/>
    </row>
    <row r="5408" spans="1:1" s="199" customFormat="1" ht="12" hidden="1" customHeight="1">
      <c r="A5408" s="198"/>
    </row>
    <row r="5409" spans="1:1" s="199" customFormat="1" ht="12" hidden="1" customHeight="1">
      <c r="A5409" s="198"/>
    </row>
    <row r="5410" spans="1:1" s="199" customFormat="1" ht="12" hidden="1" customHeight="1">
      <c r="A5410" s="198"/>
    </row>
    <row r="5411" spans="1:1" s="199" customFormat="1" ht="12" hidden="1" customHeight="1">
      <c r="A5411" s="198"/>
    </row>
    <row r="5412" spans="1:1" s="199" customFormat="1" ht="12" hidden="1" customHeight="1">
      <c r="A5412" s="198"/>
    </row>
    <row r="5413" spans="1:1" s="199" customFormat="1" ht="12" hidden="1" customHeight="1">
      <c r="A5413" s="198"/>
    </row>
    <row r="5414" spans="1:1" s="199" customFormat="1" ht="12" hidden="1" customHeight="1">
      <c r="A5414" s="198"/>
    </row>
    <row r="5415" spans="1:1" s="199" customFormat="1" ht="12" hidden="1" customHeight="1">
      <c r="A5415" s="198"/>
    </row>
    <row r="5416" spans="1:1" s="199" customFormat="1" ht="12" hidden="1" customHeight="1">
      <c r="A5416" s="198"/>
    </row>
    <row r="5417" spans="1:1" s="199" customFormat="1" ht="12" hidden="1" customHeight="1">
      <c r="A5417" s="198"/>
    </row>
    <row r="5418" spans="1:1" s="199" customFormat="1" ht="12" hidden="1" customHeight="1">
      <c r="A5418" s="198"/>
    </row>
    <row r="5419" spans="1:1" s="199" customFormat="1" ht="12" hidden="1" customHeight="1">
      <c r="A5419" s="198"/>
    </row>
    <row r="5420" spans="1:1" s="199" customFormat="1" ht="12" hidden="1" customHeight="1">
      <c r="A5420" s="198"/>
    </row>
    <row r="5421" spans="1:1" s="199" customFormat="1" ht="12" hidden="1" customHeight="1">
      <c r="A5421" s="198"/>
    </row>
    <row r="5422" spans="1:1" s="199" customFormat="1" ht="12" hidden="1" customHeight="1">
      <c r="A5422" s="198"/>
    </row>
    <row r="5423" spans="1:1" s="199" customFormat="1" ht="12" hidden="1" customHeight="1">
      <c r="A5423" s="198"/>
    </row>
    <row r="5424" spans="1:1" s="199" customFormat="1" ht="12" hidden="1" customHeight="1">
      <c r="A5424" s="198"/>
    </row>
    <row r="5425" spans="1:1" s="199" customFormat="1" ht="12" hidden="1" customHeight="1">
      <c r="A5425" s="198"/>
    </row>
    <row r="5426" spans="1:1" s="199" customFormat="1" ht="12" hidden="1" customHeight="1">
      <c r="A5426" s="198"/>
    </row>
    <row r="5427" spans="1:1" s="199" customFormat="1" ht="12" hidden="1" customHeight="1">
      <c r="A5427" s="198"/>
    </row>
    <row r="5428" spans="1:1" s="199" customFormat="1" ht="12" hidden="1" customHeight="1">
      <c r="A5428" s="198"/>
    </row>
    <row r="5429" spans="1:1" s="199" customFormat="1" ht="12" hidden="1" customHeight="1">
      <c r="A5429" s="198"/>
    </row>
    <row r="5430" spans="1:1" s="199" customFormat="1" ht="12" hidden="1" customHeight="1">
      <c r="A5430" s="198"/>
    </row>
    <row r="5431" spans="1:1" s="199" customFormat="1" ht="12" hidden="1" customHeight="1">
      <c r="A5431" s="198"/>
    </row>
    <row r="5432" spans="1:1" s="199" customFormat="1" ht="12" hidden="1" customHeight="1">
      <c r="A5432" s="198"/>
    </row>
    <row r="5433" spans="1:1" s="199" customFormat="1" ht="12" hidden="1" customHeight="1">
      <c r="A5433" s="198"/>
    </row>
    <row r="5434" spans="1:1" s="199" customFormat="1" ht="12" hidden="1" customHeight="1">
      <c r="A5434" s="198"/>
    </row>
    <row r="5435" spans="1:1" s="199" customFormat="1" ht="12" hidden="1" customHeight="1">
      <c r="A5435" s="198"/>
    </row>
    <row r="5436" spans="1:1" s="199" customFormat="1" ht="12" hidden="1" customHeight="1">
      <c r="A5436" s="198"/>
    </row>
    <row r="5437" spans="1:1" s="199" customFormat="1" ht="12" hidden="1" customHeight="1">
      <c r="A5437" s="198"/>
    </row>
    <row r="5438" spans="1:1" s="199" customFormat="1" ht="12" hidden="1" customHeight="1">
      <c r="A5438" s="198"/>
    </row>
    <row r="5439" spans="1:1" s="199" customFormat="1" ht="12" hidden="1" customHeight="1">
      <c r="A5439" s="198"/>
    </row>
    <row r="5440" spans="1:1" s="199" customFormat="1" ht="12" hidden="1" customHeight="1">
      <c r="A5440" s="198"/>
    </row>
    <row r="5441" spans="1:1" s="199" customFormat="1" ht="12" hidden="1" customHeight="1">
      <c r="A5441" s="198"/>
    </row>
    <row r="5442" spans="1:1" s="199" customFormat="1" ht="12" hidden="1" customHeight="1">
      <c r="A5442" s="198"/>
    </row>
    <row r="5443" spans="1:1" s="199" customFormat="1" ht="12" hidden="1" customHeight="1">
      <c r="A5443" s="198"/>
    </row>
    <row r="5444" spans="1:1" s="199" customFormat="1" ht="12" hidden="1" customHeight="1">
      <c r="A5444" s="198"/>
    </row>
    <row r="5445" spans="1:1" s="199" customFormat="1" ht="12" hidden="1" customHeight="1">
      <c r="A5445" s="198"/>
    </row>
    <row r="5446" spans="1:1" s="199" customFormat="1" ht="12" hidden="1" customHeight="1">
      <c r="A5446" s="198"/>
    </row>
    <row r="5447" spans="1:1" s="199" customFormat="1" ht="12" hidden="1" customHeight="1">
      <c r="A5447" s="198"/>
    </row>
    <row r="5448" spans="1:1" s="199" customFormat="1" ht="12" hidden="1" customHeight="1">
      <c r="A5448" s="198"/>
    </row>
    <row r="5449" spans="1:1" s="199" customFormat="1" ht="12" hidden="1" customHeight="1">
      <c r="A5449" s="198"/>
    </row>
    <row r="5450" spans="1:1" s="199" customFormat="1" ht="12" hidden="1" customHeight="1">
      <c r="A5450" s="198"/>
    </row>
    <row r="5451" spans="1:1" s="199" customFormat="1" ht="12" hidden="1" customHeight="1">
      <c r="A5451" s="198"/>
    </row>
    <row r="5452" spans="1:1" s="199" customFormat="1" ht="12" hidden="1" customHeight="1">
      <c r="A5452" s="198"/>
    </row>
    <row r="5453" spans="1:1" s="199" customFormat="1" ht="12" hidden="1" customHeight="1">
      <c r="A5453" s="198"/>
    </row>
    <row r="5454" spans="1:1" s="199" customFormat="1" ht="12" hidden="1" customHeight="1">
      <c r="A5454" s="198"/>
    </row>
    <row r="5455" spans="1:1" s="199" customFormat="1" ht="12" hidden="1" customHeight="1">
      <c r="A5455" s="198"/>
    </row>
    <row r="5456" spans="1:1" s="199" customFormat="1" ht="12" hidden="1" customHeight="1">
      <c r="A5456" s="198"/>
    </row>
    <row r="5457" spans="1:1" s="199" customFormat="1" ht="12" hidden="1" customHeight="1">
      <c r="A5457" s="198"/>
    </row>
    <row r="5458" spans="1:1" s="199" customFormat="1" ht="12" hidden="1" customHeight="1">
      <c r="A5458" s="198"/>
    </row>
    <row r="5459" spans="1:1" s="199" customFormat="1" ht="12" hidden="1" customHeight="1">
      <c r="A5459" s="198"/>
    </row>
    <row r="5460" spans="1:1" s="199" customFormat="1" ht="12" hidden="1" customHeight="1">
      <c r="A5460" s="198"/>
    </row>
    <row r="5461" spans="1:1" s="199" customFormat="1" ht="12" hidden="1" customHeight="1">
      <c r="A5461" s="198"/>
    </row>
    <row r="5462" spans="1:1" s="199" customFormat="1" ht="12" hidden="1" customHeight="1">
      <c r="A5462" s="198"/>
    </row>
    <row r="5463" spans="1:1" s="199" customFormat="1" ht="12" hidden="1" customHeight="1">
      <c r="A5463" s="198"/>
    </row>
    <row r="5464" spans="1:1" s="199" customFormat="1" ht="12" hidden="1" customHeight="1">
      <c r="A5464" s="198"/>
    </row>
    <row r="5465" spans="1:1" s="199" customFormat="1" ht="12" hidden="1" customHeight="1">
      <c r="A5465" s="198"/>
    </row>
    <row r="5466" spans="1:1" s="199" customFormat="1" ht="12" hidden="1" customHeight="1">
      <c r="A5466" s="198"/>
    </row>
    <row r="5467" spans="1:1" s="199" customFormat="1" ht="12" hidden="1" customHeight="1">
      <c r="A5467" s="198"/>
    </row>
    <row r="5468" spans="1:1" s="199" customFormat="1" ht="12" hidden="1" customHeight="1">
      <c r="A5468" s="198"/>
    </row>
    <row r="5469" spans="1:1" s="199" customFormat="1" ht="12" hidden="1" customHeight="1">
      <c r="A5469" s="198"/>
    </row>
    <row r="5470" spans="1:1" s="199" customFormat="1" ht="12" hidden="1" customHeight="1">
      <c r="A5470" s="198"/>
    </row>
    <row r="5471" spans="1:1" s="199" customFormat="1" ht="12" hidden="1" customHeight="1">
      <c r="A5471" s="198"/>
    </row>
    <row r="5472" spans="1:1" s="199" customFormat="1" ht="12" hidden="1" customHeight="1">
      <c r="A5472" s="198"/>
    </row>
    <row r="5473" spans="1:1" s="199" customFormat="1" ht="12" hidden="1" customHeight="1">
      <c r="A5473" s="198"/>
    </row>
    <row r="5474" spans="1:1" s="199" customFormat="1" ht="12" hidden="1" customHeight="1">
      <c r="A5474" s="198"/>
    </row>
    <row r="5475" spans="1:1" s="199" customFormat="1" ht="12" hidden="1" customHeight="1">
      <c r="A5475" s="198"/>
    </row>
    <row r="5476" spans="1:1" s="199" customFormat="1" ht="12" hidden="1" customHeight="1">
      <c r="A5476" s="198"/>
    </row>
    <row r="5477" spans="1:1" s="199" customFormat="1" ht="12" hidden="1" customHeight="1">
      <c r="A5477" s="198"/>
    </row>
    <row r="5478" spans="1:1" s="199" customFormat="1" ht="12" hidden="1" customHeight="1">
      <c r="A5478" s="198"/>
    </row>
    <row r="5479" spans="1:1" s="199" customFormat="1" ht="12" hidden="1" customHeight="1">
      <c r="A5479" s="198"/>
    </row>
    <row r="5480" spans="1:1" s="199" customFormat="1" ht="12" hidden="1" customHeight="1">
      <c r="A5480" s="198"/>
    </row>
    <row r="5481" spans="1:1" s="199" customFormat="1" ht="12" hidden="1" customHeight="1">
      <c r="A5481" s="198"/>
    </row>
    <row r="5482" spans="1:1" s="199" customFormat="1" ht="12" hidden="1" customHeight="1">
      <c r="A5482" s="198"/>
    </row>
    <row r="5483" spans="1:1" s="199" customFormat="1" ht="12" hidden="1" customHeight="1">
      <c r="A5483" s="198"/>
    </row>
    <row r="5484" spans="1:1" s="199" customFormat="1" ht="12" hidden="1" customHeight="1">
      <c r="A5484" s="198"/>
    </row>
    <row r="5485" spans="1:1" s="199" customFormat="1" ht="12" hidden="1" customHeight="1">
      <c r="A5485" s="198"/>
    </row>
    <row r="5486" spans="1:1" s="199" customFormat="1" ht="12" hidden="1" customHeight="1">
      <c r="A5486" s="198"/>
    </row>
    <row r="5487" spans="1:1" s="199" customFormat="1" ht="12" hidden="1" customHeight="1">
      <c r="A5487" s="198"/>
    </row>
    <row r="5488" spans="1:1" s="199" customFormat="1" ht="12" hidden="1" customHeight="1">
      <c r="A5488" s="198"/>
    </row>
    <row r="5489" spans="1:1" s="199" customFormat="1" ht="12" hidden="1" customHeight="1">
      <c r="A5489" s="198"/>
    </row>
    <row r="5490" spans="1:1" s="199" customFormat="1" ht="12" hidden="1" customHeight="1">
      <c r="A5490" s="198"/>
    </row>
    <row r="5491" spans="1:1" s="199" customFormat="1" ht="12" hidden="1" customHeight="1">
      <c r="A5491" s="198"/>
    </row>
    <row r="5492" spans="1:1" s="199" customFormat="1" ht="12" hidden="1" customHeight="1">
      <c r="A5492" s="198"/>
    </row>
    <row r="5493" spans="1:1" s="199" customFormat="1" ht="12" hidden="1" customHeight="1">
      <c r="A5493" s="198"/>
    </row>
    <row r="5494" spans="1:1" s="199" customFormat="1" ht="12" hidden="1" customHeight="1">
      <c r="A5494" s="198"/>
    </row>
    <row r="5495" spans="1:1" s="199" customFormat="1" ht="12" hidden="1" customHeight="1">
      <c r="A5495" s="198"/>
    </row>
    <row r="5496" spans="1:1" s="199" customFormat="1" ht="12" hidden="1" customHeight="1">
      <c r="A5496" s="198"/>
    </row>
    <row r="5497" spans="1:1" s="199" customFormat="1" ht="12" hidden="1" customHeight="1">
      <c r="A5497" s="198"/>
    </row>
    <row r="5498" spans="1:1" s="199" customFormat="1" ht="12" hidden="1" customHeight="1">
      <c r="A5498" s="198"/>
    </row>
    <row r="5499" spans="1:1" s="199" customFormat="1" ht="12" hidden="1" customHeight="1">
      <c r="A5499" s="198"/>
    </row>
    <row r="5500" spans="1:1" s="199" customFormat="1" ht="12" hidden="1" customHeight="1">
      <c r="A5500" s="198"/>
    </row>
    <row r="5501" spans="1:1" s="199" customFormat="1" ht="12" hidden="1" customHeight="1">
      <c r="A5501" s="198"/>
    </row>
    <row r="5502" spans="1:1" s="199" customFormat="1" ht="12" hidden="1" customHeight="1">
      <c r="A5502" s="198"/>
    </row>
    <row r="5503" spans="1:1" s="199" customFormat="1" ht="12" hidden="1" customHeight="1">
      <c r="A5503" s="198"/>
    </row>
    <row r="5504" spans="1:1" s="199" customFormat="1" ht="12" hidden="1" customHeight="1">
      <c r="A5504" s="198"/>
    </row>
    <row r="5505" spans="1:1" s="199" customFormat="1" ht="12" hidden="1" customHeight="1">
      <c r="A5505" s="198"/>
    </row>
    <row r="5506" spans="1:1" s="199" customFormat="1" ht="12" hidden="1" customHeight="1">
      <c r="A5506" s="198"/>
    </row>
    <row r="5507" spans="1:1" s="199" customFormat="1" ht="12" hidden="1" customHeight="1">
      <c r="A5507" s="198"/>
    </row>
    <row r="5508" spans="1:1" s="199" customFormat="1" ht="12" hidden="1" customHeight="1">
      <c r="A5508" s="198"/>
    </row>
    <row r="5509" spans="1:1" s="199" customFormat="1" ht="12" hidden="1" customHeight="1">
      <c r="A5509" s="198"/>
    </row>
    <row r="5510" spans="1:1" s="199" customFormat="1" ht="12" hidden="1" customHeight="1">
      <c r="A5510" s="198"/>
    </row>
    <row r="5511" spans="1:1" s="199" customFormat="1" ht="12" hidden="1" customHeight="1">
      <c r="A5511" s="198"/>
    </row>
    <row r="5512" spans="1:1" s="199" customFormat="1" ht="12" hidden="1" customHeight="1">
      <c r="A5512" s="198"/>
    </row>
    <row r="5513" spans="1:1" s="199" customFormat="1" ht="12" hidden="1" customHeight="1">
      <c r="A5513" s="198"/>
    </row>
    <row r="5514" spans="1:1" s="199" customFormat="1" ht="12" hidden="1" customHeight="1">
      <c r="A5514" s="198"/>
    </row>
    <row r="5515" spans="1:1" s="199" customFormat="1" ht="12" hidden="1" customHeight="1">
      <c r="A5515" s="198"/>
    </row>
    <row r="5516" spans="1:1" s="199" customFormat="1" ht="12" hidden="1" customHeight="1">
      <c r="A5516" s="198"/>
    </row>
    <row r="5517" spans="1:1" s="199" customFormat="1" ht="12" hidden="1" customHeight="1">
      <c r="A5517" s="198"/>
    </row>
    <row r="5518" spans="1:1" s="199" customFormat="1" ht="12" hidden="1" customHeight="1">
      <c r="A5518" s="198"/>
    </row>
    <row r="5519" spans="1:1" s="199" customFormat="1" ht="12" hidden="1" customHeight="1">
      <c r="A5519" s="198"/>
    </row>
    <row r="5520" spans="1:1" s="199" customFormat="1" ht="12" hidden="1" customHeight="1">
      <c r="A5520" s="198"/>
    </row>
    <row r="5521" spans="1:1" s="199" customFormat="1" ht="12" hidden="1" customHeight="1">
      <c r="A5521" s="198"/>
    </row>
    <row r="5522" spans="1:1" s="199" customFormat="1" ht="12" hidden="1" customHeight="1">
      <c r="A5522" s="198"/>
    </row>
    <row r="5523" spans="1:1" s="199" customFormat="1" ht="12" hidden="1" customHeight="1">
      <c r="A5523" s="198"/>
    </row>
    <row r="5524" spans="1:1" s="199" customFormat="1" ht="12" hidden="1" customHeight="1">
      <c r="A5524" s="198"/>
    </row>
    <row r="5525" spans="1:1" s="199" customFormat="1" ht="12" hidden="1" customHeight="1">
      <c r="A5525" s="198"/>
    </row>
    <row r="5526" spans="1:1" s="199" customFormat="1" ht="12" hidden="1" customHeight="1">
      <c r="A5526" s="198"/>
    </row>
    <row r="5527" spans="1:1" s="199" customFormat="1" ht="12" hidden="1" customHeight="1">
      <c r="A5527" s="198"/>
    </row>
    <row r="5528" spans="1:1" s="199" customFormat="1" ht="12" hidden="1" customHeight="1">
      <c r="A5528" s="198"/>
    </row>
    <row r="5529" spans="1:1" s="199" customFormat="1" ht="12" hidden="1" customHeight="1">
      <c r="A5529" s="198"/>
    </row>
    <row r="5530" spans="1:1" s="199" customFormat="1" ht="12" hidden="1" customHeight="1">
      <c r="A5530" s="198"/>
    </row>
    <row r="5531" spans="1:1" s="199" customFormat="1" ht="12" hidden="1" customHeight="1">
      <c r="A5531" s="198"/>
    </row>
    <row r="5532" spans="1:1" s="199" customFormat="1" ht="12" hidden="1" customHeight="1">
      <c r="A5532" s="198"/>
    </row>
    <row r="5533" spans="1:1" s="199" customFormat="1" ht="12" hidden="1" customHeight="1">
      <c r="A5533" s="198"/>
    </row>
    <row r="5534" spans="1:1" s="199" customFormat="1" ht="12" hidden="1" customHeight="1">
      <c r="A5534" s="198"/>
    </row>
    <row r="5535" spans="1:1" s="199" customFormat="1" ht="12" hidden="1" customHeight="1">
      <c r="A5535" s="198"/>
    </row>
    <row r="5536" spans="1:1" s="199" customFormat="1" ht="12" hidden="1" customHeight="1">
      <c r="A5536" s="198"/>
    </row>
    <row r="5537" spans="1:1" s="199" customFormat="1" ht="12" hidden="1" customHeight="1">
      <c r="A5537" s="198"/>
    </row>
    <row r="5538" spans="1:1" s="199" customFormat="1" ht="12" hidden="1" customHeight="1">
      <c r="A5538" s="198"/>
    </row>
    <row r="5539" spans="1:1" s="199" customFormat="1" ht="12" hidden="1" customHeight="1">
      <c r="A5539" s="198"/>
    </row>
    <row r="5540" spans="1:1" s="199" customFormat="1" ht="12" hidden="1" customHeight="1">
      <c r="A5540" s="198"/>
    </row>
    <row r="5541" spans="1:1" s="199" customFormat="1" ht="12" hidden="1" customHeight="1">
      <c r="A5541" s="198"/>
    </row>
    <row r="5542" spans="1:1" s="199" customFormat="1" ht="12" hidden="1" customHeight="1">
      <c r="A5542" s="198"/>
    </row>
    <row r="5543" spans="1:1" s="199" customFormat="1" ht="12" hidden="1" customHeight="1">
      <c r="A5543" s="198"/>
    </row>
    <row r="5544" spans="1:1" s="199" customFormat="1" ht="12" hidden="1" customHeight="1">
      <c r="A5544" s="198"/>
    </row>
    <row r="5545" spans="1:1" s="199" customFormat="1" ht="12" hidden="1" customHeight="1">
      <c r="A5545" s="198"/>
    </row>
    <row r="5546" spans="1:1" s="199" customFormat="1" ht="12" hidden="1" customHeight="1">
      <c r="A5546" s="198"/>
    </row>
    <row r="5547" spans="1:1" s="199" customFormat="1" ht="12" hidden="1" customHeight="1">
      <c r="A5547" s="198"/>
    </row>
    <row r="5548" spans="1:1" s="199" customFormat="1" ht="12" hidden="1" customHeight="1">
      <c r="A5548" s="198"/>
    </row>
    <row r="5549" spans="1:1" s="199" customFormat="1" ht="12" hidden="1" customHeight="1">
      <c r="A5549" s="198"/>
    </row>
    <row r="5550" spans="1:1" s="199" customFormat="1" ht="12" hidden="1" customHeight="1">
      <c r="A5550" s="198"/>
    </row>
    <row r="5551" spans="1:1" s="199" customFormat="1" ht="12" hidden="1" customHeight="1">
      <c r="A5551" s="198"/>
    </row>
    <row r="5552" spans="1:1" s="199" customFormat="1" ht="12" hidden="1" customHeight="1">
      <c r="A5552" s="198"/>
    </row>
    <row r="5553" spans="1:1" s="199" customFormat="1" ht="12" hidden="1" customHeight="1">
      <c r="A5553" s="198"/>
    </row>
    <row r="5554" spans="1:1" s="199" customFormat="1" ht="12" hidden="1" customHeight="1">
      <c r="A5554" s="198"/>
    </row>
    <row r="5555" spans="1:1" s="199" customFormat="1" ht="12" hidden="1" customHeight="1">
      <c r="A5555" s="198"/>
    </row>
    <row r="5556" spans="1:1" s="199" customFormat="1" ht="12" hidden="1" customHeight="1">
      <c r="A5556" s="198"/>
    </row>
    <row r="5557" spans="1:1" s="199" customFormat="1" ht="12" hidden="1" customHeight="1">
      <c r="A5557" s="198"/>
    </row>
    <row r="5558" spans="1:1" s="199" customFormat="1" ht="12" hidden="1" customHeight="1">
      <c r="A5558" s="198"/>
    </row>
    <row r="5559" spans="1:1" s="199" customFormat="1" ht="12" hidden="1" customHeight="1">
      <c r="A5559" s="198"/>
    </row>
    <row r="5560" spans="1:1" s="199" customFormat="1" ht="12" hidden="1" customHeight="1">
      <c r="A5560" s="198"/>
    </row>
    <row r="5561" spans="1:1" s="199" customFormat="1" ht="12" hidden="1" customHeight="1">
      <c r="A5561" s="198"/>
    </row>
    <row r="5562" spans="1:1" s="199" customFormat="1" ht="12" hidden="1" customHeight="1">
      <c r="A5562" s="198"/>
    </row>
    <row r="5563" spans="1:1" s="199" customFormat="1" ht="12" hidden="1" customHeight="1">
      <c r="A5563" s="198"/>
    </row>
    <row r="5564" spans="1:1" s="199" customFormat="1" ht="12" hidden="1" customHeight="1">
      <c r="A5564" s="198"/>
    </row>
    <row r="5565" spans="1:1" s="199" customFormat="1" ht="12" hidden="1" customHeight="1">
      <c r="A5565" s="198"/>
    </row>
    <row r="5566" spans="1:1" s="199" customFormat="1" ht="12" hidden="1" customHeight="1">
      <c r="A5566" s="198"/>
    </row>
    <row r="5567" spans="1:1" s="199" customFormat="1" ht="12" hidden="1" customHeight="1">
      <c r="A5567" s="198"/>
    </row>
    <row r="5568" spans="1:1" s="199" customFormat="1" ht="12" hidden="1" customHeight="1">
      <c r="A5568" s="198"/>
    </row>
    <row r="5569" spans="1:1" s="199" customFormat="1" ht="12" hidden="1" customHeight="1">
      <c r="A5569" s="198"/>
    </row>
    <row r="5570" spans="1:1" s="199" customFormat="1" ht="12" hidden="1" customHeight="1">
      <c r="A5570" s="198"/>
    </row>
    <row r="5571" spans="1:1" s="199" customFormat="1" ht="12" hidden="1" customHeight="1">
      <c r="A5571" s="198"/>
    </row>
    <row r="5572" spans="1:1" s="199" customFormat="1" ht="12" hidden="1" customHeight="1">
      <c r="A5572" s="198"/>
    </row>
    <row r="5573" spans="1:1" s="199" customFormat="1" ht="12" hidden="1" customHeight="1">
      <c r="A5573" s="198"/>
    </row>
    <row r="5574" spans="1:1" s="199" customFormat="1" ht="12" hidden="1" customHeight="1">
      <c r="A5574" s="198"/>
    </row>
    <row r="5575" spans="1:1" s="199" customFormat="1" ht="12" hidden="1" customHeight="1">
      <c r="A5575" s="198"/>
    </row>
    <row r="5576" spans="1:1" s="199" customFormat="1" ht="12" hidden="1" customHeight="1">
      <c r="A5576" s="198"/>
    </row>
    <row r="5577" spans="1:1" s="199" customFormat="1" ht="12" hidden="1" customHeight="1">
      <c r="A5577" s="198"/>
    </row>
    <row r="5578" spans="1:1" s="199" customFormat="1" ht="12" hidden="1" customHeight="1">
      <c r="A5578" s="198"/>
    </row>
    <row r="5579" spans="1:1" s="199" customFormat="1" ht="12" hidden="1" customHeight="1">
      <c r="A5579" s="198"/>
    </row>
    <row r="5580" spans="1:1" s="199" customFormat="1" ht="12" hidden="1" customHeight="1">
      <c r="A5580" s="198"/>
    </row>
    <row r="5581" spans="1:1" s="199" customFormat="1" ht="12" hidden="1" customHeight="1">
      <c r="A5581" s="198"/>
    </row>
    <row r="5582" spans="1:1" s="199" customFormat="1" ht="12" hidden="1" customHeight="1">
      <c r="A5582" s="198"/>
    </row>
    <row r="5583" spans="1:1" s="199" customFormat="1" ht="12" hidden="1" customHeight="1">
      <c r="A5583" s="198"/>
    </row>
    <row r="5584" spans="1:1" s="199" customFormat="1" ht="12" hidden="1" customHeight="1">
      <c r="A5584" s="198"/>
    </row>
    <row r="5585" spans="1:1" s="199" customFormat="1" ht="12" hidden="1" customHeight="1">
      <c r="A5585" s="198"/>
    </row>
    <row r="5586" spans="1:1" s="199" customFormat="1" ht="12" hidden="1" customHeight="1">
      <c r="A5586" s="198"/>
    </row>
    <row r="5587" spans="1:1" s="199" customFormat="1" ht="12" hidden="1" customHeight="1">
      <c r="A5587" s="198"/>
    </row>
    <row r="5588" spans="1:1" s="199" customFormat="1" ht="12" hidden="1" customHeight="1">
      <c r="A5588" s="198"/>
    </row>
    <row r="5589" spans="1:1" s="199" customFormat="1" ht="12" hidden="1" customHeight="1">
      <c r="A5589" s="198"/>
    </row>
    <row r="5590" spans="1:1" s="199" customFormat="1" ht="12" hidden="1" customHeight="1">
      <c r="A5590" s="198"/>
    </row>
    <row r="5591" spans="1:1" s="199" customFormat="1" ht="12" hidden="1" customHeight="1">
      <c r="A5591" s="198"/>
    </row>
    <row r="5592" spans="1:1" s="199" customFormat="1" ht="12" hidden="1" customHeight="1">
      <c r="A5592" s="198"/>
    </row>
    <row r="5593" spans="1:1" s="199" customFormat="1" ht="12" hidden="1" customHeight="1">
      <c r="A5593" s="198"/>
    </row>
    <row r="5594" spans="1:1" s="199" customFormat="1" ht="12" hidden="1" customHeight="1">
      <c r="A5594" s="198"/>
    </row>
    <row r="5595" spans="1:1" s="199" customFormat="1" ht="12" hidden="1" customHeight="1">
      <c r="A5595" s="198"/>
    </row>
    <row r="5596" spans="1:1" s="199" customFormat="1" ht="12" hidden="1" customHeight="1">
      <c r="A5596" s="198"/>
    </row>
    <row r="5597" spans="1:1" s="199" customFormat="1" ht="12" hidden="1" customHeight="1">
      <c r="A5597" s="198"/>
    </row>
    <row r="5598" spans="1:1" s="199" customFormat="1" ht="12" hidden="1" customHeight="1">
      <c r="A5598" s="198"/>
    </row>
    <row r="5599" spans="1:1" s="199" customFormat="1" ht="12" hidden="1" customHeight="1">
      <c r="A5599" s="198"/>
    </row>
    <row r="5600" spans="1:1" s="199" customFormat="1" ht="12" hidden="1" customHeight="1">
      <c r="A5600" s="198"/>
    </row>
    <row r="5601" spans="1:1" s="199" customFormat="1" ht="12" hidden="1" customHeight="1">
      <c r="A5601" s="198"/>
    </row>
    <row r="5602" spans="1:1" s="199" customFormat="1" ht="12" hidden="1" customHeight="1">
      <c r="A5602" s="198"/>
    </row>
    <row r="5603" spans="1:1" s="199" customFormat="1" ht="12" hidden="1" customHeight="1">
      <c r="A5603" s="198"/>
    </row>
    <row r="5604" spans="1:1" s="199" customFormat="1" ht="12" hidden="1" customHeight="1">
      <c r="A5604" s="198"/>
    </row>
    <row r="5605" spans="1:1" s="199" customFormat="1" ht="12" hidden="1" customHeight="1">
      <c r="A5605" s="198"/>
    </row>
    <row r="5606" spans="1:1" s="199" customFormat="1" ht="12" hidden="1" customHeight="1">
      <c r="A5606" s="198"/>
    </row>
    <row r="5607" spans="1:1" s="199" customFormat="1" ht="12" hidden="1" customHeight="1">
      <c r="A5607" s="198"/>
    </row>
    <row r="5608" spans="1:1" s="199" customFormat="1" ht="12" hidden="1" customHeight="1">
      <c r="A5608" s="198"/>
    </row>
    <row r="5609" spans="1:1" s="199" customFormat="1" ht="12" hidden="1" customHeight="1">
      <c r="A5609" s="198"/>
    </row>
    <row r="5610" spans="1:1" s="199" customFormat="1" ht="12" hidden="1" customHeight="1">
      <c r="A5610" s="198"/>
    </row>
    <row r="5611" spans="1:1" s="199" customFormat="1" ht="12" hidden="1" customHeight="1">
      <c r="A5611" s="198"/>
    </row>
    <row r="5612" spans="1:1" s="199" customFormat="1" ht="12" hidden="1" customHeight="1">
      <c r="A5612" s="198"/>
    </row>
    <row r="5613" spans="1:1" s="199" customFormat="1" ht="12" hidden="1" customHeight="1">
      <c r="A5613" s="198"/>
    </row>
    <row r="5614" spans="1:1" s="199" customFormat="1" ht="12" hidden="1" customHeight="1">
      <c r="A5614" s="198"/>
    </row>
    <row r="5615" spans="1:1" s="199" customFormat="1" ht="12" hidden="1" customHeight="1">
      <c r="A5615" s="198"/>
    </row>
    <row r="5616" spans="1:1" s="199" customFormat="1" ht="12" hidden="1" customHeight="1">
      <c r="A5616" s="198"/>
    </row>
    <row r="5617" spans="1:1" s="199" customFormat="1" ht="12" hidden="1" customHeight="1">
      <c r="A5617" s="198"/>
    </row>
    <row r="5618" spans="1:1" s="199" customFormat="1" ht="12" hidden="1" customHeight="1">
      <c r="A5618" s="198"/>
    </row>
    <row r="5619" spans="1:1" s="199" customFormat="1" ht="12" hidden="1" customHeight="1">
      <c r="A5619" s="198"/>
    </row>
    <row r="5620" spans="1:1" s="199" customFormat="1" ht="12" hidden="1" customHeight="1">
      <c r="A5620" s="198"/>
    </row>
    <row r="5621" spans="1:1" s="199" customFormat="1" ht="12" hidden="1" customHeight="1">
      <c r="A5621" s="198"/>
    </row>
    <row r="5622" spans="1:1" s="199" customFormat="1" ht="12" hidden="1" customHeight="1">
      <c r="A5622" s="198"/>
    </row>
    <row r="5623" spans="1:1" s="199" customFormat="1" ht="12" hidden="1" customHeight="1">
      <c r="A5623" s="198"/>
    </row>
    <row r="5624" spans="1:1" s="199" customFormat="1" ht="12" hidden="1" customHeight="1">
      <c r="A5624" s="198"/>
    </row>
    <row r="5625" spans="1:1" s="199" customFormat="1" ht="12" hidden="1" customHeight="1">
      <c r="A5625" s="198"/>
    </row>
    <row r="5626" spans="1:1" s="199" customFormat="1" ht="12" hidden="1" customHeight="1">
      <c r="A5626" s="198"/>
    </row>
    <row r="5627" spans="1:1" s="199" customFormat="1" ht="12" hidden="1" customHeight="1">
      <c r="A5627" s="198"/>
    </row>
    <row r="5628" spans="1:1" s="199" customFormat="1" ht="12" hidden="1" customHeight="1">
      <c r="A5628" s="198"/>
    </row>
    <row r="5629" spans="1:1" s="199" customFormat="1" ht="12" hidden="1" customHeight="1">
      <c r="A5629" s="198"/>
    </row>
    <row r="5630" spans="1:1" s="199" customFormat="1" ht="12" hidden="1" customHeight="1">
      <c r="A5630" s="198"/>
    </row>
    <row r="5631" spans="1:1" s="199" customFormat="1" ht="12" hidden="1" customHeight="1">
      <c r="A5631" s="198"/>
    </row>
    <row r="5632" spans="1:1" s="199" customFormat="1" ht="12" hidden="1" customHeight="1">
      <c r="A5632" s="198"/>
    </row>
    <row r="5633" spans="1:1" s="199" customFormat="1" ht="12" hidden="1" customHeight="1">
      <c r="A5633" s="198"/>
    </row>
    <row r="5634" spans="1:1" s="199" customFormat="1" ht="12" hidden="1" customHeight="1">
      <c r="A5634" s="198"/>
    </row>
    <row r="5635" spans="1:1" s="199" customFormat="1" ht="12" hidden="1" customHeight="1">
      <c r="A5635" s="198"/>
    </row>
    <row r="5636" spans="1:1" s="199" customFormat="1" ht="12" hidden="1" customHeight="1">
      <c r="A5636" s="198"/>
    </row>
    <row r="5637" spans="1:1" s="199" customFormat="1" ht="12" hidden="1" customHeight="1">
      <c r="A5637" s="198"/>
    </row>
    <row r="5638" spans="1:1" s="199" customFormat="1" ht="12" hidden="1" customHeight="1">
      <c r="A5638" s="198"/>
    </row>
    <row r="5639" spans="1:1" s="199" customFormat="1" ht="12" hidden="1" customHeight="1">
      <c r="A5639" s="198"/>
    </row>
    <row r="5640" spans="1:1" s="199" customFormat="1" ht="12" hidden="1" customHeight="1">
      <c r="A5640" s="198"/>
    </row>
    <row r="5641" spans="1:1" s="199" customFormat="1" ht="12" hidden="1" customHeight="1">
      <c r="A5641" s="198"/>
    </row>
    <row r="5642" spans="1:1" s="199" customFormat="1" ht="12" hidden="1" customHeight="1">
      <c r="A5642" s="198"/>
    </row>
    <row r="5643" spans="1:1" s="199" customFormat="1" ht="12" hidden="1" customHeight="1">
      <c r="A5643" s="198"/>
    </row>
    <row r="5644" spans="1:1" s="199" customFormat="1" ht="12" hidden="1" customHeight="1">
      <c r="A5644" s="198"/>
    </row>
    <row r="5645" spans="1:1" s="199" customFormat="1" ht="12" hidden="1" customHeight="1">
      <c r="A5645" s="198"/>
    </row>
    <row r="5646" spans="1:1" s="199" customFormat="1" ht="12" hidden="1" customHeight="1">
      <c r="A5646" s="198"/>
    </row>
    <row r="5647" spans="1:1" s="199" customFormat="1" ht="12" hidden="1" customHeight="1">
      <c r="A5647" s="198"/>
    </row>
    <row r="5648" spans="1:1" s="199" customFormat="1" ht="12" hidden="1" customHeight="1">
      <c r="A5648" s="198"/>
    </row>
    <row r="5649" spans="1:1" s="199" customFormat="1" ht="12" hidden="1" customHeight="1">
      <c r="A5649" s="198"/>
    </row>
    <row r="5650" spans="1:1" s="199" customFormat="1" ht="12" hidden="1" customHeight="1">
      <c r="A5650" s="198"/>
    </row>
    <row r="5651" spans="1:1" s="199" customFormat="1" ht="12" hidden="1" customHeight="1">
      <c r="A5651" s="198"/>
    </row>
    <row r="5652" spans="1:1" s="199" customFormat="1" ht="12" hidden="1" customHeight="1">
      <c r="A5652" s="198"/>
    </row>
    <row r="5653" spans="1:1" s="199" customFormat="1" ht="12" hidden="1" customHeight="1">
      <c r="A5653" s="198"/>
    </row>
    <row r="5654" spans="1:1" s="199" customFormat="1" ht="12" hidden="1" customHeight="1">
      <c r="A5654" s="198"/>
    </row>
    <row r="5655" spans="1:1" s="199" customFormat="1" ht="12" hidden="1" customHeight="1">
      <c r="A5655" s="198"/>
    </row>
    <row r="5656" spans="1:1" s="199" customFormat="1" ht="12" hidden="1" customHeight="1">
      <c r="A5656" s="198"/>
    </row>
    <row r="5657" spans="1:1" s="199" customFormat="1" ht="12" hidden="1" customHeight="1">
      <c r="A5657" s="198"/>
    </row>
    <row r="5658" spans="1:1" s="199" customFormat="1" ht="12" hidden="1" customHeight="1">
      <c r="A5658" s="198"/>
    </row>
    <row r="5659" spans="1:1" s="199" customFormat="1" ht="12" hidden="1" customHeight="1">
      <c r="A5659" s="198"/>
    </row>
    <row r="5660" spans="1:1" s="199" customFormat="1" ht="12" hidden="1" customHeight="1">
      <c r="A5660" s="198"/>
    </row>
    <row r="5661" spans="1:1" s="199" customFormat="1" ht="12" hidden="1" customHeight="1">
      <c r="A5661" s="198"/>
    </row>
    <row r="5662" spans="1:1" s="199" customFormat="1" ht="12" hidden="1" customHeight="1">
      <c r="A5662" s="198"/>
    </row>
    <row r="5663" spans="1:1" s="199" customFormat="1" ht="12" hidden="1" customHeight="1">
      <c r="A5663" s="198"/>
    </row>
    <row r="5664" spans="1:1" s="199" customFormat="1" ht="12" hidden="1" customHeight="1">
      <c r="A5664" s="198"/>
    </row>
    <row r="5665" spans="1:1" s="199" customFormat="1" ht="12" hidden="1" customHeight="1">
      <c r="A5665" s="198"/>
    </row>
    <row r="5666" spans="1:1" s="199" customFormat="1" ht="12" hidden="1" customHeight="1">
      <c r="A5666" s="198"/>
    </row>
    <row r="5667" spans="1:1" s="199" customFormat="1" ht="12" hidden="1" customHeight="1">
      <c r="A5667" s="198"/>
    </row>
    <row r="5668" spans="1:1" s="199" customFormat="1" ht="12" hidden="1" customHeight="1">
      <c r="A5668" s="198"/>
    </row>
    <row r="5669" spans="1:1" s="199" customFormat="1" ht="12" hidden="1" customHeight="1">
      <c r="A5669" s="198"/>
    </row>
    <row r="5670" spans="1:1" s="199" customFormat="1" ht="12" hidden="1" customHeight="1">
      <c r="A5670" s="198"/>
    </row>
    <row r="5671" spans="1:1" s="199" customFormat="1" ht="12" hidden="1" customHeight="1">
      <c r="A5671" s="198"/>
    </row>
    <row r="5672" spans="1:1" s="199" customFormat="1" ht="12" hidden="1" customHeight="1">
      <c r="A5672" s="198"/>
    </row>
    <row r="5673" spans="1:1" s="199" customFormat="1" ht="12" hidden="1" customHeight="1">
      <c r="A5673" s="198"/>
    </row>
    <row r="5674" spans="1:1" s="199" customFormat="1" ht="12" hidden="1" customHeight="1">
      <c r="A5674" s="198"/>
    </row>
    <row r="5675" spans="1:1" s="199" customFormat="1" ht="12" hidden="1" customHeight="1">
      <c r="A5675" s="198"/>
    </row>
    <row r="5676" spans="1:1" s="199" customFormat="1" ht="12" hidden="1" customHeight="1">
      <c r="A5676" s="198"/>
    </row>
    <row r="5677" spans="1:1" s="199" customFormat="1" ht="12" hidden="1" customHeight="1">
      <c r="A5677" s="198"/>
    </row>
    <row r="5678" spans="1:1" s="199" customFormat="1" ht="12" hidden="1" customHeight="1">
      <c r="A5678" s="198"/>
    </row>
    <row r="5679" spans="1:1" s="199" customFormat="1" ht="12" hidden="1" customHeight="1">
      <c r="A5679" s="198"/>
    </row>
    <row r="5680" spans="1:1" s="199" customFormat="1" ht="12" hidden="1" customHeight="1">
      <c r="A5680" s="198"/>
    </row>
    <row r="5681" spans="1:1" s="199" customFormat="1" ht="12" hidden="1" customHeight="1">
      <c r="A5681" s="198"/>
    </row>
    <row r="5682" spans="1:1" s="199" customFormat="1" ht="12" hidden="1" customHeight="1">
      <c r="A5682" s="198"/>
    </row>
    <row r="5683" spans="1:1" s="199" customFormat="1" ht="12" hidden="1" customHeight="1">
      <c r="A5683" s="198"/>
    </row>
    <row r="5684" spans="1:1" s="199" customFormat="1" ht="12" hidden="1" customHeight="1">
      <c r="A5684" s="198"/>
    </row>
    <row r="5685" spans="1:1" s="199" customFormat="1" ht="12" hidden="1" customHeight="1">
      <c r="A5685" s="198"/>
    </row>
    <row r="5686" spans="1:1" s="199" customFormat="1" ht="12" hidden="1" customHeight="1">
      <c r="A5686" s="198"/>
    </row>
    <row r="5687" spans="1:1" s="199" customFormat="1" ht="12" hidden="1" customHeight="1">
      <c r="A5687" s="198"/>
    </row>
    <row r="5688" spans="1:1" s="199" customFormat="1" ht="12" hidden="1" customHeight="1">
      <c r="A5688" s="198"/>
    </row>
    <row r="5689" spans="1:1" s="199" customFormat="1" ht="12" hidden="1" customHeight="1">
      <c r="A5689" s="198"/>
    </row>
    <row r="5690" spans="1:1" s="199" customFormat="1" ht="12" hidden="1" customHeight="1">
      <c r="A5690" s="198"/>
    </row>
    <row r="5691" spans="1:1" s="199" customFormat="1" ht="12" hidden="1" customHeight="1">
      <c r="A5691" s="198"/>
    </row>
    <row r="5692" spans="1:1" s="199" customFormat="1" ht="12" hidden="1" customHeight="1">
      <c r="A5692" s="198"/>
    </row>
    <row r="5693" spans="1:1" s="199" customFormat="1" ht="12" hidden="1" customHeight="1">
      <c r="A5693" s="198"/>
    </row>
    <row r="5694" spans="1:1" s="199" customFormat="1" ht="12" hidden="1" customHeight="1">
      <c r="A5694" s="198"/>
    </row>
    <row r="5695" spans="1:1" s="199" customFormat="1" ht="12" hidden="1" customHeight="1">
      <c r="A5695" s="198"/>
    </row>
    <row r="5696" spans="1:1" s="199" customFormat="1" ht="12" hidden="1" customHeight="1">
      <c r="A5696" s="198"/>
    </row>
    <row r="5697" spans="1:1" s="199" customFormat="1" ht="12" hidden="1" customHeight="1">
      <c r="A5697" s="198"/>
    </row>
    <row r="5698" spans="1:1" s="199" customFormat="1" ht="12" hidden="1" customHeight="1">
      <c r="A5698" s="198"/>
    </row>
    <row r="5699" spans="1:1" s="199" customFormat="1" ht="12" hidden="1" customHeight="1">
      <c r="A5699" s="198"/>
    </row>
    <row r="5700" spans="1:1" s="199" customFormat="1" ht="12" hidden="1" customHeight="1">
      <c r="A5700" s="198"/>
    </row>
    <row r="5701" spans="1:1" s="199" customFormat="1" ht="12" hidden="1" customHeight="1">
      <c r="A5701" s="198"/>
    </row>
    <row r="5702" spans="1:1" s="199" customFormat="1" ht="12" hidden="1" customHeight="1">
      <c r="A5702" s="198"/>
    </row>
    <row r="5703" spans="1:1" s="199" customFormat="1" ht="12" hidden="1" customHeight="1">
      <c r="A5703" s="198"/>
    </row>
    <row r="5704" spans="1:1" s="199" customFormat="1" ht="12" hidden="1" customHeight="1">
      <c r="A5704" s="198"/>
    </row>
    <row r="5705" spans="1:1" s="199" customFormat="1" ht="12" hidden="1" customHeight="1">
      <c r="A5705" s="198"/>
    </row>
    <row r="5706" spans="1:1" s="199" customFormat="1" ht="12" hidden="1" customHeight="1">
      <c r="A5706" s="198"/>
    </row>
    <row r="5707" spans="1:1" s="199" customFormat="1" ht="12" hidden="1" customHeight="1">
      <c r="A5707" s="198"/>
    </row>
    <row r="5708" spans="1:1" s="199" customFormat="1" ht="12" hidden="1" customHeight="1">
      <c r="A5708" s="198"/>
    </row>
    <row r="5709" spans="1:1" s="199" customFormat="1" ht="12" hidden="1" customHeight="1">
      <c r="A5709" s="198"/>
    </row>
    <row r="5710" spans="1:1" s="199" customFormat="1" ht="12" hidden="1" customHeight="1">
      <c r="A5710" s="198"/>
    </row>
    <row r="5711" spans="1:1" s="199" customFormat="1" ht="12" hidden="1" customHeight="1">
      <c r="A5711" s="198"/>
    </row>
    <row r="5712" spans="1:1" s="199" customFormat="1" ht="12" hidden="1" customHeight="1">
      <c r="A5712" s="198"/>
    </row>
    <row r="5713" spans="1:1" s="199" customFormat="1" ht="12" hidden="1" customHeight="1">
      <c r="A5713" s="198"/>
    </row>
    <row r="5714" spans="1:1" s="199" customFormat="1" ht="12" hidden="1" customHeight="1">
      <c r="A5714" s="198"/>
    </row>
    <row r="5715" spans="1:1" s="199" customFormat="1" ht="12" hidden="1" customHeight="1">
      <c r="A5715" s="198"/>
    </row>
    <row r="5716" spans="1:1" s="199" customFormat="1" ht="12" hidden="1" customHeight="1">
      <c r="A5716" s="198"/>
    </row>
    <row r="5717" spans="1:1" s="199" customFormat="1" ht="12" hidden="1" customHeight="1">
      <c r="A5717" s="198"/>
    </row>
    <row r="5718" spans="1:1" s="199" customFormat="1" ht="12" hidden="1" customHeight="1">
      <c r="A5718" s="198"/>
    </row>
    <row r="5719" spans="1:1" s="199" customFormat="1" ht="12" hidden="1" customHeight="1">
      <c r="A5719" s="198"/>
    </row>
    <row r="5720" spans="1:1" s="199" customFormat="1" ht="12" hidden="1" customHeight="1">
      <c r="A5720" s="198"/>
    </row>
    <row r="5721" spans="1:1" s="199" customFormat="1" ht="12" hidden="1" customHeight="1">
      <c r="A5721" s="198"/>
    </row>
    <row r="5722" spans="1:1" s="199" customFormat="1" ht="12" hidden="1" customHeight="1">
      <c r="A5722" s="198"/>
    </row>
    <row r="5723" spans="1:1" s="199" customFormat="1" ht="12" hidden="1" customHeight="1">
      <c r="A5723" s="198"/>
    </row>
    <row r="5724" spans="1:1" s="199" customFormat="1" ht="12" hidden="1" customHeight="1">
      <c r="A5724" s="198"/>
    </row>
    <row r="5725" spans="1:1" s="199" customFormat="1" ht="12" hidden="1" customHeight="1">
      <c r="A5725" s="198"/>
    </row>
    <row r="5726" spans="1:1" s="199" customFormat="1" ht="12" hidden="1" customHeight="1">
      <c r="A5726" s="198"/>
    </row>
    <row r="5727" spans="1:1" s="199" customFormat="1" ht="12" hidden="1" customHeight="1">
      <c r="A5727" s="198"/>
    </row>
    <row r="5728" spans="1:1" s="199" customFormat="1" ht="12" hidden="1" customHeight="1">
      <c r="A5728" s="198"/>
    </row>
    <row r="5729" spans="1:1" s="199" customFormat="1" ht="12" hidden="1" customHeight="1">
      <c r="A5729" s="198"/>
    </row>
    <row r="5730" spans="1:1" s="199" customFormat="1" ht="12" hidden="1" customHeight="1">
      <c r="A5730" s="198"/>
    </row>
    <row r="5731" spans="1:1" s="199" customFormat="1" ht="12" hidden="1" customHeight="1">
      <c r="A5731" s="198"/>
    </row>
    <row r="5732" spans="1:1" s="199" customFormat="1" ht="12" hidden="1" customHeight="1">
      <c r="A5732" s="198"/>
    </row>
    <row r="5733" spans="1:1" s="199" customFormat="1" ht="12" hidden="1" customHeight="1">
      <c r="A5733" s="198"/>
    </row>
    <row r="5734" spans="1:1" s="199" customFormat="1" ht="12" hidden="1" customHeight="1">
      <c r="A5734" s="198"/>
    </row>
    <row r="5735" spans="1:1" s="199" customFormat="1" ht="12" hidden="1" customHeight="1">
      <c r="A5735" s="198"/>
    </row>
    <row r="5736" spans="1:1" s="199" customFormat="1" ht="12" hidden="1" customHeight="1">
      <c r="A5736" s="198"/>
    </row>
    <row r="5737" spans="1:1" s="199" customFormat="1" ht="12" hidden="1" customHeight="1">
      <c r="A5737" s="198"/>
    </row>
    <row r="5738" spans="1:1" s="199" customFormat="1" ht="12" hidden="1" customHeight="1">
      <c r="A5738" s="198"/>
    </row>
    <row r="5739" spans="1:1" s="199" customFormat="1" ht="12" hidden="1" customHeight="1">
      <c r="A5739" s="198"/>
    </row>
    <row r="5740" spans="1:1" s="199" customFormat="1" ht="12" hidden="1" customHeight="1">
      <c r="A5740" s="198"/>
    </row>
    <row r="5741" spans="1:1" s="199" customFormat="1" ht="12" hidden="1" customHeight="1">
      <c r="A5741" s="198"/>
    </row>
    <row r="5742" spans="1:1" s="199" customFormat="1" ht="12" hidden="1" customHeight="1">
      <c r="A5742" s="198"/>
    </row>
    <row r="5743" spans="1:1" s="199" customFormat="1" ht="12" hidden="1" customHeight="1">
      <c r="A5743" s="198"/>
    </row>
    <row r="5744" spans="1:1" s="199" customFormat="1" ht="12" hidden="1" customHeight="1">
      <c r="A5744" s="198"/>
    </row>
    <row r="5745" spans="1:1" s="199" customFormat="1" ht="12" hidden="1" customHeight="1">
      <c r="A5745" s="198"/>
    </row>
    <row r="5746" spans="1:1" s="199" customFormat="1" ht="12" hidden="1" customHeight="1">
      <c r="A5746" s="198"/>
    </row>
    <row r="5747" spans="1:1" s="199" customFormat="1" ht="12" hidden="1" customHeight="1">
      <c r="A5747" s="198"/>
    </row>
    <row r="5748" spans="1:1" s="199" customFormat="1" ht="12" hidden="1" customHeight="1">
      <c r="A5748" s="198"/>
    </row>
    <row r="5749" spans="1:1" s="199" customFormat="1" ht="12" hidden="1" customHeight="1">
      <c r="A5749" s="198"/>
    </row>
    <row r="5750" spans="1:1" s="199" customFormat="1" ht="12" hidden="1" customHeight="1">
      <c r="A5750" s="198"/>
    </row>
    <row r="5751" spans="1:1" s="199" customFormat="1" ht="12" hidden="1" customHeight="1">
      <c r="A5751" s="198"/>
    </row>
    <row r="5752" spans="1:1" s="199" customFormat="1" ht="12" hidden="1" customHeight="1">
      <c r="A5752" s="198"/>
    </row>
    <row r="5753" spans="1:1" s="199" customFormat="1" ht="12" hidden="1" customHeight="1">
      <c r="A5753" s="198"/>
    </row>
    <row r="5754" spans="1:1" s="199" customFormat="1" ht="12" hidden="1" customHeight="1">
      <c r="A5754" s="198"/>
    </row>
    <row r="5755" spans="1:1" s="199" customFormat="1" ht="12" hidden="1" customHeight="1">
      <c r="A5755" s="198"/>
    </row>
    <row r="5756" spans="1:1" s="199" customFormat="1" ht="12" hidden="1" customHeight="1">
      <c r="A5756" s="198"/>
    </row>
    <row r="5757" spans="1:1" s="199" customFormat="1" ht="12" hidden="1" customHeight="1">
      <c r="A5757" s="198"/>
    </row>
    <row r="5758" spans="1:1" s="199" customFormat="1" ht="12" hidden="1" customHeight="1">
      <c r="A5758" s="198"/>
    </row>
    <row r="5759" spans="1:1" s="199" customFormat="1" ht="12" hidden="1" customHeight="1">
      <c r="A5759" s="198"/>
    </row>
    <row r="5760" spans="1:1" s="199" customFormat="1" ht="12" hidden="1" customHeight="1">
      <c r="A5760" s="198"/>
    </row>
    <row r="5761" spans="1:1" s="199" customFormat="1" ht="12" hidden="1" customHeight="1">
      <c r="A5761" s="198"/>
    </row>
    <row r="5762" spans="1:1" s="199" customFormat="1" ht="12" hidden="1" customHeight="1">
      <c r="A5762" s="198"/>
    </row>
    <row r="5763" spans="1:1" s="199" customFormat="1" ht="12" hidden="1" customHeight="1">
      <c r="A5763" s="198"/>
    </row>
    <row r="5764" spans="1:1" s="199" customFormat="1" ht="12" hidden="1" customHeight="1">
      <c r="A5764" s="198"/>
    </row>
    <row r="5765" spans="1:1" s="199" customFormat="1" ht="12" hidden="1" customHeight="1">
      <c r="A5765" s="198"/>
    </row>
    <row r="5766" spans="1:1" s="199" customFormat="1" ht="12" hidden="1" customHeight="1">
      <c r="A5766" s="198"/>
    </row>
    <row r="5767" spans="1:1" s="199" customFormat="1" ht="12" hidden="1" customHeight="1">
      <c r="A5767" s="198"/>
    </row>
    <row r="5768" spans="1:1" s="199" customFormat="1" ht="12" hidden="1" customHeight="1">
      <c r="A5768" s="198"/>
    </row>
    <row r="5769" spans="1:1" s="199" customFormat="1" ht="12" hidden="1" customHeight="1">
      <c r="A5769" s="198"/>
    </row>
    <row r="5770" spans="1:1" s="199" customFormat="1" ht="12" hidden="1" customHeight="1">
      <c r="A5770" s="198"/>
    </row>
    <row r="5771" spans="1:1" s="199" customFormat="1" ht="12" hidden="1" customHeight="1">
      <c r="A5771" s="198"/>
    </row>
    <row r="5772" spans="1:1" s="199" customFormat="1" ht="12" hidden="1" customHeight="1">
      <c r="A5772" s="198"/>
    </row>
    <row r="5773" spans="1:1" s="199" customFormat="1" ht="12" hidden="1" customHeight="1">
      <c r="A5773" s="198"/>
    </row>
    <row r="5774" spans="1:1" s="199" customFormat="1" ht="12" hidden="1" customHeight="1">
      <c r="A5774" s="198"/>
    </row>
    <row r="5775" spans="1:1" s="199" customFormat="1" ht="12" hidden="1" customHeight="1">
      <c r="A5775" s="198"/>
    </row>
    <row r="5776" spans="1:1" s="199" customFormat="1" ht="12" hidden="1" customHeight="1">
      <c r="A5776" s="198"/>
    </row>
    <row r="5777" spans="1:1" s="199" customFormat="1" ht="12" hidden="1" customHeight="1">
      <c r="A5777" s="198"/>
    </row>
    <row r="5778" spans="1:1" s="199" customFormat="1" ht="12" hidden="1" customHeight="1">
      <c r="A5778" s="198"/>
    </row>
    <row r="5779" spans="1:1" s="199" customFormat="1" ht="12" hidden="1" customHeight="1">
      <c r="A5779" s="198"/>
    </row>
    <row r="5780" spans="1:1" s="199" customFormat="1" ht="12" hidden="1" customHeight="1">
      <c r="A5780" s="198"/>
    </row>
    <row r="5781" spans="1:1" s="199" customFormat="1" ht="12" hidden="1" customHeight="1">
      <c r="A5781" s="198"/>
    </row>
    <row r="5782" spans="1:1" s="199" customFormat="1" ht="12" hidden="1" customHeight="1">
      <c r="A5782" s="198"/>
    </row>
    <row r="5783" spans="1:1" s="199" customFormat="1" ht="12" hidden="1" customHeight="1">
      <c r="A5783" s="198"/>
    </row>
    <row r="5784" spans="1:1" s="199" customFormat="1" ht="12" hidden="1" customHeight="1">
      <c r="A5784" s="198"/>
    </row>
    <row r="5785" spans="1:1" s="199" customFormat="1" ht="12" hidden="1" customHeight="1">
      <c r="A5785" s="198"/>
    </row>
    <row r="5786" spans="1:1" s="199" customFormat="1" ht="12" hidden="1" customHeight="1">
      <c r="A5786" s="198"/>
    </row>
    <row r="5787" spans="1:1" s="199" customFormat="1" ht="12" hidden="1" customHeight="1">
      <c r="A5787" s="198"/>
    </row>
    <row r="5788" spans="1:1" s="199" customFormat="1" ht="12" hidden="1" customHeight="1">
      <c r="A5788" s="198"/>
    </row>
    <row r="5789" spans="1:1" s="199" customFormat="1" ht="12" hidden="1" customHeight="1">
      <c r="A5789" s="198"/>
    </row>
    <row r="5790" spans="1:1" s="199" customFormat="1" ht="12" hidden="1" customHeight="1">
      <c r="A5790" s="198"/>
    </row>
    <row r="5791" spans="1:1" s="199" customFormat="1" ht="12" hidden="1" customHeight="1">
      <c r="A5791" s="198"/>
    </row>
    <row r="5792" spans="1:1" s="199" customFormat="1" ht="12" hidden="1" customHeight="1">
      <c r="A5792" s="198"/>
    </row>
    <row r="5793" spans="1:1" s="199" customFormat="1" ht="12" hidden="1" customHeight="1">
      <c r="A5793" s="198"/>
    </row>
    <row r="5794" spans="1:1" s="199" customFormat="1" ht="12" hidden="1" customHeight="1">
      <c r="A5794" s="198"/>
    </row>
    <row r="5795" spans="1:1" s="199" customFormat="1" ht="12" hidden="1" customHeight="1">
      <c r="A5795" s="198"/>
    </row>
    <row r="5796" spans="1:1" s="199" customFormat="1" ht="12" hidden="1" customHeight="1">
      <c r="A5796" s="198"/>
    </row>
    <row r="5797" spans="1:1" s="199" customFormat="1" ht="12" hidden="1" customHeight="1">
      <c r="A5797" s="198"/>
    </row>
    <row r="5798" spans="1:1" s="199" customFormat="1" ht="12" hidden="1" customHeight="1">
      <c r="A5798" s="198"/>
    </row>
    <row r="5799" spans="1:1" s="199" customFormat="1" ht="12" hidden="1" customHeight="1">
      <c r="A5799" s="198"/>
    </row>
    <row r="5800" spans="1:1" s="199" customFormat="1" ht="12" hidden="1" customHeight="1">
      <c r="A5800" s="198"/>
    </row>
    <row r="5801" spans="1:1" s="199" customFormat="1" ht="12" hidden="1" customHeight="1">
      <c r="A5801" s="198"/>
    </row>
    <row r="5802" spans="1:1" s="199" customFormat="1" ht="12" hidden="1" customHeight="1">
      <c r="A5802" s="198"/>
    </row>
    <row r="5803" spans="1:1" s="199" customFormat="1" ht="12" hidden="1" customHeight="1">
      <c r="A5803" s="198"/>
    </row>
    <row r="5804" spans="1:1" s="199" customFormat="1" ht="12" hidden="1" customHeight="1">
      <c r="A5804" s="198"/>
    </row>
    <row r="5805" spans="1:1" s="199" customFormat="1" ht="12" hidden="1" customHeight="1">
      <c r="A5805" s="198"/>
    </row>
    <row r="5806" spans="1:1" s="199" customFormat="1" ht="12" hidden="1" customHeight="1">
      <c r="A5806" s="198"/>
    </row>
    <row r="5807" spans="1:1" s="199" customFormat="1" ht="12" hidden="1" customHeight="1">
      <c r="A5807" s="198"/>
    </row>
    <row r="5808" spans="1:1" s="199" customFormat="1" ht="12" hidden="1" customHeight="1">
      <c r="A5808" s="198"/>
    </row>
    <row r="5809" spans="1:1" s="199" customFormat="1" ht="12" hidden="1" customHeight="1">
      <c r="A5809" s="198"/>
    </row>
    <row r="5810" spans="1:1" s="199" customFormat="1" ht="12" hidden="1" customHeight="1">
      <c r="A5810" s="198"/>
    </row>
    <row r="5811" spans="1:1" s="199" customFormat="1" ht="12" hidden="1" customHeight="1">
      <c r="A5811" s="198"/>
    </row>
    <row r="5812" spans="1:1" s="199" customFormat="1" ht="12" hidden="1" customHeight="1">
      <c r="A5812" s="198"/>
    </row>
    <row r="5813" spans="1:1" s="199" customFormat="1" ht="12" hidden="1" customHeight="1">
      <c r="A5813" s="198"/>
    </row>
    <row r="5814" spans="1:1" s="199" customFormat="1" ht="12" hidden="1" customHeight="1">
      <c r="A5814" s="198"/>
    </row>
    <row r="5815" spans="1:1" s="199" customFormat="1" ht="12" hidden="1" customHeight="1">
      <c r="A5815" s="198"/>
    </row>
    <row r="5816" spans="1:1" s="199" customFormat="1" ht="12" hidden="1" customHeight="1">
      <c r="A5816" s="198"/>
    </row>
    <row r="5817" spans="1:1" s="199" customFormat="1" ht="12" hidden="1" customHeight="1">
      <c r="A5817" s="198"/>
    </row>
    <row r="5818" spans="1:1" s="199" customFormat="1" ht="12" hidden="1" customHeight="1">
      <c r="A5818" s="198"/>
    </row>
    <row r="5819" spans="1:1" s="199" customFormat="1" ht="12" hidden="1" customHeight="1">
      <c r="A5819" s="198"/>
    </row>
    <row r="5820" spans="1:1" s="199" customFormat="1" ht="12" hidden="1" customHeight="1">
      <c r="A5820" s="198"/>
    </row>
    <row r="5821" spans="1:1" s="199" customFormat="1" ht="12" hidden="1" customHeight="1">
      <c r="A5821" s="198"/>
    </row>
    <row r="5822" spans="1:1" s="199" customFormat="1" ht="12" hidden="1" customHeight="1">
      <c r="A5822" s="198"/>
    </row>
    <row r="5823" spans="1:1" s="199" customFormat="1" ht="12" hidden="1" customHeight="1">
      <c r="A5823" s="198"/>
    </row>
    <row r="5824" spans="1:1" s="199" customFormat="1" ht="12" hidden="1" customHeight="1">
      <c r="A5824" s="198"/>
    </row>
    <row r="5825" spans="1:1" s="199" customFormat="1" ht="12" hidden="1" customHeight="1">
      <c r="A5825" s="198"/>
    </row>
    <row r="5826" spans="1:1" s="199" customFormat="1" ht="12" hidden="1" customHeight="1">
      <c r="A5826" s="198"/>
    </row>
    <row r="5827" spans="1:1" s="199" customFormat="1" ht="12" hidden="1" customHeight="1">
      <c r="A5827" s="198"/>
    </row>
    <row r="5828" spans="1:1" s="199" customFormat="1" ht="12" hidden="1" customHeight="1">
      <c r="A5828" s="198"/>
    </row>
    <row r="5829" spans="1:1" s="199" customFormat="1" ht="12" hidden="1" customHeight="1">
      <c r="A5829" s="198"/>
    </row>
    <row r="5830" spans="1:1" s="199" customFormat="1" ht="12" hidden="1" customHeight="1">
      <c r="A5830" s="198"/>
    </row>
    <row r="5831" spans="1:1" s="199" customFormat="1" ht="12" hidden="1" customHeight="1">
      <c r="A5831" s="198"/>
    </row>
    <row r="5832" spans="1:1" s="199" customFormat="1" ht="12" hidden="1" customHeight="1">
      <c r="A5832" s="198"/>
    </row>
    <row r="5833" spans="1:1" s="199" customFormat="1" ht="12" hidden="1" customHeight="1">
      <c r="A5833" s="198"/>
    </row>
    <row r="5834" spans="1:1" s="199" customFormat="1" ht="12" hidden="1" customHeight="1">
      <c r="A5834" s="198"/>
    </row>
    <row r="5835" spans="1:1" s="199" customFormat="1" ht="12" hidden="1" customHeight="1">
      <c r="A5835" s="198"/>
    </row>
    <row r="5836" spans="1:1" s="199" customFormat="1" ht="12" hidden="1" customHeight="1">
      <c r="A5836" s="198"/>
    </row>
    <row r="5837" spans="1:1" s="199" customFormat="1" ht="12" hidden="1" customHeight="1">
      <c r="A5837" s="198"/>
    </row>
    <row r="5838" spans="1:1" s="199" customFormat="1" ht="12" hidden="1" customHeight="1">
      <c r="A5838" s="198"/>
    </row>
    <row r="5839" spans="1:1" s="199" customFormat="1" ht="12" hidden="1" customHeight="1">
      <c r="A5839" s="198"/>
    </row>
    <row r="5840" spans="1:1" s="199" customFormat="1" ht="12" hidden="1" customHeight="1">
      <c r="A5840" s="198"/>
    </row>
    <row r="5841" spans="1:1" s="199" customFormat="1" ht="12" hidden="1" customHeight="1">
      <c r="A5841" s="198"/>
    </row>
    <row r="5842" spans="1:1" s="199" customFormat="1" ht="12" hidden="1" customHeight="1">
      <c r="A5842" s="198"/>
    </row>
    <row r="5843" spans="1:1" s="199" customFormat="1" ht="12" hidden="1" customHeight="1">
      <c r="A5843" s="198"/>
    </row>
    <row r="5844" spans="1:1" s="199" customFormat="1" ht="12" hidden="1" customHeight="1">
      <c r="A5844" s="198"/>
    </row>
    <row r="5845" spans="1:1" s="199" customFormat="1" ht="12" hidden="1" customHeight="1">
      <c r="A5845" s="198"/>
    </row>
    <row r="5846" spans="1:1" s="199" customFormat="1" ht="12" hidden="1" customHeight="1">
      <c r="A5846" s="198"/>
    </row>
    <row r="5847" spans="1:1" s="199" customFormat="1" ht="12" hidden="1" customHeight="1">
      <c r="A5847" s="198"/>
    </row>
    <row r="5848" spans="1:1" s="199" customFormat="1" ht="12" hidden="1" customHeight="1">
      <c r="A5848" s="198"/>
    </row>
    <row r="5849" spans="1:1" s="199" customFormat="1" ht="12" hidden="1" customHeight="1">
      <c r="A5849" s="198"/>
    </row>
    <row r="5850" spans="1:1" s="199" customFormat="1" ht="12" hidden="1" customHeight="1">
      <c r="A5850" s="198"/>
    </row>
    <row r="5851" spans="1:1" s="199" customFormat="1" ht="12" hidden="1" customHeight="1">
      <c r="A5851" s="198"/>
    </row>
    <row r="5852" spans="1:1" s="199" customFormat="1" ht="12" hidden="1" customHeight="1">
      <c r="A5852" s="198"/>
    </row>
    <row r="5853" spans="1:1" s="199" customFormat="1" ht="12" hidden="1" customHeight="1">
      <c r="A5853" s="198"/>
    </row>
    <row r="5854" spans="1:1" s="199" customFormat="1" ht="12" hidden="1" customHeight="1">
      <c r="A5854" s="198"/>
    </row>
    <row r="5855" spans="1:1" s="199" customFormat="1" ht="12" hidden="1" customHeight="1">
      <c r="A5855" s="198"/>
    </row>
    <row r="5856" spans="1:1" s="199" customFormat="1" ht="12" hidden="1" customHeight="1">
      <c r="A5856" s="198"/>
    </row>
    <row r="5857" spans="1:1" s="199" customFormat="1" ht="12" hidden="1" customHeight="1">
      <c r="A5857" s="198"/>
    </row>
    <row r="5858" spans="1:1" s="199" customFormat="1" ht="12" hidden="1" customHeight="1">
      <c r="A5858" s="198"/>
    </row>
    <row r="5859" spans="1:1" s="199" customFormat="1" ht="12" hidden="1" customHeight="1">
      <c r="A5859" s="198"/>
    </row>
    <row r="5860" spans="1:1" s="199" customFormat="1" ht="12" hidden="1" customHeight="1">
      <c r="A5860" s="198"/>
    </row>
    <row r="5861" spans="1:1" s="199" customFormat="1" ht="12" hidden="1" customHeight="1">
      <c r="A5861" s="198"/>
    </row>
    <row r="5862" spans="1:1" s="199" customFormat="1" ht="12" hidden="1" customHeight="1">
      <c r="A5862" s="198"/>
    </row>
    <row r="5863" spans="1:1" s="199" customFormat="1" ht="12" hidden="1" customHeight="1">
      <c r="A5863" s="198"/>
    </row>
    <row r="5864" spans="1:1" s="199" customFormat="1" ht="12" hidden="1" customHeight="1">
      <c r="A5864" s="198"/>
    </row>
    <row r="5865" spans="1:1" s="199" customFormat="1" ht="12" hidden="1" customHeight="1">
      <c r="A5865" s="198"/>
    </row>
    <row r="5866" spans="1:1" s="199" customFormat="1" ht="12" hidden="1" customHeight="1">
      <c r="A5866" s="198"/>
    </row>
    <row r="5867" spans="1:1" s="199" customFormat="1" ht="12" hidden="1" customHeight="1">
      <c r="A5867" s="198"/>
    </row>
    <row r="5868" spans="1:1" s="199" customFormat="1" ht="12" hidden="1" customHeight="1">
      <c r="A5868" s="198"/>
    </row>
    <row r="5869" spans="1:1" s="199" customFormat="1" ht="12" hidden="1" customHeight="1">
      <c r="A5869" s="198"/>
    </row>
    <row r="5870" spans="1:1" s="199" customFormat="1" ht="12" hidden="1" customHeight="1">
      <c r="A5870" s="198"/>
    </row>
    <row r="5871" spans="1:1" s="199" customFormat="1" ht="12" hidden="1" customHeight="1">
      <c r="A5871" s="198"/>
    </row>
    <row r="5872" spans="1:1" s="199" customFormat="1" ht="12" hidden="1" customHeight="1">
      <c r="A5872" s="198"/>
    </row>
    <row r="5873" spans="1:1" s="199" customFormat="1" ht="12" hidden="1" customHeight="1">
      <c r="A5873" s="198"/>
    </row>
    <row r="5874" spans="1:1" s="199" customFormat="1" ht="12" hidden="1" customHeight="1">
      <c r="A5874" s="198"/>
    </row>
    <row r="5875" spans="1:1" s="199" customFormat="1" ht="12" hidden="1" customHeight="1">
      <c r="A5875" s="198"/>
    </row>
    <row r="5876" spans="1:1" s="199" customFormat="1" ht="12" hidden="1" customHeight="1">
      <c r="A5876" s="198"/>
    </row>
    <row r="5877" spans="1:1" s="199" customFormat="1" ht="12" hidden="1" customHeight="1">
      <c r="A5877" s="198"/>
    </row>
    <row r="5878" spans="1:1" s="199" customFormat="1" ht="12" hidden="1" customHeight="1">
      <c r="A5878" s="198"/>
    </row>
    <row r="5879" spans="1:1" s="199" customFormat="1" ht="12" hidden="1" customHeight="1">
      <c r="A5879" s="198"/>
    </row>
    <row r="5880" spans="1:1" s="199" customFormat="1" ht="12" hidden="1" customHeight="1">
      <c r="A5880" s="198"/>
    </row>
    <row r="5881" spans="1:1" s="199" customFormat="1" ht="12" hidden="1" customHeight="1">
      <c r="A5881" s="198"/>
    </row>
    <row r="5882" spans="1:1" s="199" customFormat="1" ht="12" hidden="1" customHeight="1">
      <c r="A5882" s="198"/>
    </row>
    <row r="5883" spans="1:1" s="199" customFormat="1" ht="12" hidden="1" customHeight="1">
      <c r="A5883" s="198"/>
    </row>
    <row r="5884" spans="1:1" s="199" customFormat="1" ht="12" hidden="1" customHeight="1">
      <c r="A5884" s="198"/>
    </row>
    <row r="5885" spans="1:1" s="199" customFormat="1" ht="12" hidden="1" customHeight="1">
      <c r="A5885" s="198"/>
    </row>
    <row r="5886" spans="1:1" s="199" customFormat="1" ht="12" hidden="1" customHeight="1">
      <c r="A5886" s="198"/>
    </row>
    <row r="5887" spans="1:1" s="199" customFormat="1" ht="12" hidden="1" customHeight="1">
      <c r="A5887" s="198"/>
    </row>
    <row r="5888" spans="1:1" s="199" customFormat="1" ht="12" hidden="1" customHeight="1">
      <c r="A5888" s="198"/>
    </row>
    <row r="5889" spans="1:1" s="199" customFormat="1" ht="12" hidden="1" customHeight="1">
      <c r="A5889" s="198"/>
    </row>
    <row r="5890" spans="1:1" s="199" customFormat="1" ht="12" hidden="1" customHeight="1">
      <c r="A5890" s="198"/>
    </row>
    <row r="5891" spans="1:1" s="199" customFormat="1" ht="12" hidden="1" customHeight="1">
      <c r="A5891" s="198"/>
    </row>
    <row r="5892" spans="1:1" s="199" customFormat="1" ht="12" hidden="1" customHeight="1">
      <c r="A5892" s="198"/>
    </row>
    <row r="5893" spans="1:1" s="199" customFormat="1" ht="12" hidden="1" customHeight="1">
      <c r="A5893" s="198"/>
    </row>
    <row r="5894" spans="1:1" s="199" customFormat="1" ht="12" hidden="1" customHeight="1">
      <c r="A5894" s="198"/>
    </row>
    <row r="5895" spans="1:1" s="199" customFormat="1" ht="12" hidden="1" customHeight="1">
      <c r="A5895" s="198"/>
    </row>
    <row r="5896" spans="1:1" s="199" customFormat="1" ht="12" hidden="1" customHeight="1">
      <c r="A5896" s="198"/>
    </row>
    <row r="5897" spans="1:1" s="199" customFormat="1" ht="12" hidden="1" customHeight="1">
      <c r="A5897" s="198"/>
    </row>
    <row r="5898" spans="1:1" s="199" customFormat="1" ht="12" hidden="1" customHeight="1">
      <c r="A5898" s="198"/>
    </row>
    <row r="5899" spans="1:1" s="199" customFormat="1" ht="12" hidden="1" customHeight="1">
      <c r="A5899" s="198"/>
    </row>
    <row r="5900" spans="1:1" s="199" customFormat="1" ht="12" hidden="1" customHeight="1">
      <c r="A5900" s="198"/>
    </row>
    <row r="5901" spans="1:1" s="199" customFormat="1" ht="12" hidden="1" customHeight="1">
      <c r="A5901" s="198"/>
    </row>
    <row r="5902" spans="1:1" s="199" customFormat="1" ht="12" hidden="1" customHeight="1">
      <c r="A5902" s="198"/>
    </row>
    <row r="5903" spans="1:1" s="199" customFormat="1" ht="12" hidden="1" customHeight="1">
      <c r="A5903" s="198"/>
    </row>
    <row r="5904" spans="1:1" s="199" customFormat="1" ht="12" hidden="1" customHeight="1">
      <c r="A5904" s="198"/>
    </row>
    <row r="5905" spans="1:1" s="199" customFormat="1" ht="12" hidden="1" customHeight="1">
      <c r="A5905" s="198"/>
    </row>
    <row r="5906" spans="1:1" s="199" customFormat="1" ht="12" hidden="1" customHeight="1">
      <c r="A5906" s="198"/>
    </row>
    <row r="5907" spans="1:1" s="199" customFormat="1" ht="12" hidden="1" customHeight="1">
      <c r="A5907" s="198"/>
    </row>
    <row r="5908" spans="1:1" s="199" customFormat="1" ht="12" hidden="1" customHeight="1">
      <c r="A5908" s="198"/>
    </row>
    <row r="5909" spans="1:1" s="199" customFormat="1" ht="12" hidden="1" customHeight="1">
      <c r="A5909" s="198"/>
    </row>
    <row r="5910" spans="1:1" s="199" customFormat="1" ht="12" hidden="1" customHeight="1">
      <c r="A5910" s="198"/>
    </row>
    <row r="5911" spans="1:1" s="199" customFormat="1" ht="12" hidden="1" customHeight="1">
      <c r="A5911" s="198"/>
    </row>
    <row r="5912" spans="1:1" s="199" customFormat="1" ht="12" hidden="1" customHeight="1">
      <c r="A5912" s="198"/>
    </row>
    <row r="5913" spans="1:1" s="199" customFormat="1" ht="12" hidden="1" customHeight="1">
      <c r="A5913" s="198"/>
    </row>
    <row r="5914" spans="1:1" s="199" customFormat="1" ht="12" hidden="1" customHeight="1">
      <c r="A5914" s="198"/>
    </row>
    <row r="5915" spans="1:1" s="199" customFormat="1" ht="12" hidden="1" customHeight="1">
      <c r="A5915" s="198"/>
    </row>
    <row r="5916" spans="1:1" s="199" customFormat="1" ht="12" hidden="1" customHeight="1">
      <c r="A5916" s="198"/>
    </row>
    <row r="5917" spans="1:1" s="199" customFormat="1" ht="12" hidden="1" customHeight="1">
      <c r="A5917" s="198"/>
    </row>
    <row r="5918" spans="1:1" s="199" customFormat="1" ht="12" hidden="1" customHeight="1">
      <c r="A5918" s="198"/>
    </row>
    <row r="5919" spans="1:1" s="199" customFormat="1" ht="12" hidden="1" customHeight="1">
      <c r="A5919" s="198"/>
    </row>
    <row r="5920" spans="1:1" s="199" customFormat="1" ht="12" hidden="1" customHeight="1">
      <c r="A5920" s="198"/>
    </row>
    <row r="5921" spans="1:1" s="199" customFormat="1" ht="12" hidden="1" customHeight="1">
      <c r="A5921" s="198"/>
    </row>
    <row r="5922" spans="1:1" s="199" customFormat="1" ht="12" hidden="1" customHeight="1">
      <c r="A5922" s="198"/>
    </row>
    <row r="5923" spans="1:1" s="199" customFormat="1" ht="12" hidden="1" customHeight="1">
      <c r="A5923" s="198"/>
    </row>
    <row r="5924" spans="1:1" s="199" customFormat="1" ht="12" hidden="1" customHeight="1">
      <c r="A5924" s="198"/>
    </row>
    <row r="5925" spans="1:1" s="199" customFormat="1" ht="12" hidden="1" customHeight="1">
      <c r="A5925" s="198"/>
    </row>
    <row r="5926" spans="1:1" s="199" customFormat="1" ht="12" hidden="1" customHeight="1">
      <c r="A5926" s="198"/>
    </row>
    <row r="5927" spans="1:1" s="199" customFormat="1" ht="12" hidden="1" customHeight="1">
      <c r="A5927" s="198"/>
    </row>
    <row r="5928" spans="1:1" s="199" customFormat="1" ht="12" hidden="1" customHeight="1">
      <c r="A5928" s="198"/>
    </row>
    <row r="5929" spans="1:1" s="199" customFormat="1" ht="12" hidden="1" customHeight="1">
      <c r="A5929" s="198"/>
    </row>
    <row r="5930" spans="1:1" s="199" customFormat="1" ht="12" hidden="1" customHeight="1">
      <c r="A5930" s="198"/>
    </row>
    <row r="5931" spans="1:1" s="199" customFormat="1" ht="12" hidden="1" customHeight="1">
      <c r="A5931" s="198"/>
    </row>
    <row r="5932" spans="1:1" s="199" customFormat="1" ht="12" hidden="1" customHeight="1">
      <c r="A5932" s="198"/>
    </row>
    <row r="5933" spans="1:1" s="199" customFormat="1" ht="12" hidden="1" customHeight="1">
      <c r="A5933" s="198"/>
    </row>
    <row r="5934" spans="1:1" s="199" customFormat="1" ht="12" hidden="1" customHeight="1">
      <c r="A5934" s="198"/>
    </row>
    <row r="5935" spans="1:1" s="199" customFormat="1" ht="12" hidden="1" customHeight="1">
      <c r="A5935" s="198"/>
    </row>
    <row r="5936" spans="1:1" s="199" customFormat="1" ht="12" hidden="1" customHeight="1">
      <c r="A5936" s="198"/>
    </row>
    <row r="5937" spans="1:1" s="199" customFormat="1" ht="12" hidden="1" customHeight="1">
      <c r="A5937" s="198"/>
    </row>
    <row r="5938" spans="1:1" s="199" customFormat="1" ht="12" hidden="1" customHeight="1">
      <c r="A5938" s="198"/>
    </row>
    <row r="5939" spans="1:1" s="199" customFormat="1" ht="12" hidden="1" customHeight="1">
      <c r="A5939" s="198"/>
    </row>
    <row r="5940" spans="1:1" s="199" customFormat="1" ht="12" hidden="1" customHeight="1">
      <c r="A5940" s="198"/>
    </row>
    <row r="5941" spans="1:1" s="199" customFormat="1" ht="12" hidden="1" customHeight="1">
      <c r="A5941" s="198"/>
    </row>
    <row r="5942" spans="1:1" s="199" customFormat="1" ht="12" hidden="1" customHeight="1">
      <c r="A5942" s="198"/>
    </row>
    <row r="5943" spans="1:1" s="199" customFormat="1" ht="12" hidden="1" customHeight="1">
      <c r="A5943" s="198"/>
    </row>
    <row r="5944" spans="1:1" s="199" customFormat="1" ht="12" hidden="1" customHeight="1">
      <c r="A5944" s="198"/>
    </row>
    <row r="5945" spans="1:1" s="199" customFormat="1" ht="12" hidden="1" customHeight="1">
      <c r="A5945" s="198"/>
    </row>
    <row r="5946" spans="1:1" s="199" customFormat="1" ht="12" hidden="1" customHeight="1">
      <c r="A5946" s="198"/>
    </row>
    <row r="5947" spans="1:1" s="199" customFormat="1" ht="12" hidden="1" customHeight="1">
      <c r="A5947" s="198"/>
    </row>
    <row r="5948" spans="1:1" s="199" customFormat="1" ht="12" hidden="1" customHeight="1">
      <c r="A5948" s="198"/>
    </row>
    <row r="5949" spans="1:1" s="199" customFormat="1" ht="12" hidden="1" customHeight="1">
      <c r="A5949" s="198"/>
    </row>
    <row r="5950" spans="1:1" s="199" customFormat="1" ht="12" hidden="1" customHeight="1">
      <c r="A5950" s="198"/>
    </row>
    <row r="5951" spans="1:1" s="199" customFormat="1" ht="12" hidden="1" customHeight="1">
      <c r="A5951" s="198"/>
    </row>
    <row r="5952" spans="1:1" s="199" customFormat="1" ht="12" hidden="1" customHeight="1">
      <c r="A5952" s="198"/>
    </row>
    <row r="5953" spans="1:1" s="199" customFormat="1" ht="12" hidden="1" customHeight="1">
      <c r="A5953" s="198"/>
    </row>
    <row r="5954" spans="1:1" s="199" customFormat="1" ht="12" hidden="1" customHeight="1">
      <c r="A5954" s="198"/>
    </row>
    <row r="5955" spans="1:1" s="199" customFormat="1" ht="12" hidden="1" customHeight="1">
      <c r="A5955" s="198"/>
    </row>
    <row r="5956" spans="1:1" s="199" customFormat="1" ht="12" hidden="1" customHeight="1">
      <c r="A5956" s="198"/>
    </row>
    <row r="5957" spans="1:1" s="199" customFormat="1" ht="12" hidden="1" customHeight="1">
      <c r="A5957" s="198"/>
    </row>
    <row r="5958" spans="1:1" s="199" customFormat="1" ht="12" hidden="1" customHeight="1">
      <c r="A5958" s="198"/>
    </row>
    <row r="5959" spans="1:1" s="199" customFormat="1" ht="12" hidden="1" customHeight="1">
      <c r="A5959" s="198"/>
    </row>
    <row r="5960" spans="1:1" s="199" customFormat="1" ht="12" hidden="1" customHeight="1">
      <c r="A5960" s="198"/>
    </row>
    <row r="5961" spans="1:1" s="199" customFormat="1" ht="12" hidden="1" customHeight="1">
      <c r="A5961" s="198"/>
    </row>
    <row r="5962" spans="1:1" s="199" customFormat="1" ht="12" hidden="1" customHeight="1">
      <c r="A5962" s="198"/>
    </row>
    <row r="5963" spans="1:1" s="199" customFormat="1" ht="12" hidden="1" customHeight="1">
      <c r="A5963" s="198"/>
    </row>
    <row r="5964" spans="1:1" s="199" customFormat="1" ht="12" hidden="1" customHeight="1">
      <c r="A5964" s="198"/>
    </row>
    <row r="5965" spans="1:1" s="199" customFormat="1" ht="12" hidden="1" customHeight="1">
      <c r="A5965" s="198"/>
    </row>
    <row r="5966" spans="1:1" s="199" customFormat="1" ht="12" hidden="1" customHeight="1">
      <c r="A5966" s="198"/>
    </row>
    <row r="5967" spans="1:1" s="199" customFormat="1" ht="12" hidden="1" customHeight="1">
      <c r="A5967" s="198"/>
    </row>
    <row r="5968" spans="1:1" s="199" customFormat="1" ht="12" hidden="1" customHeight="1">
      <c r="A5968" s="198"/>
    </row>
    <row r="5969" spans="1:1" s="199" customFormat="1" ht="12" hidden="1" customHeight="1">
      <c r="A5969" s="198"/>
    </row>
    <row r="5970" spans="1:1" s="199" customFormat="1" ht="12" hidden="1" customHeight="1">
      <c r="A5970" s="198"/>
    </row>
    <row r="5971" spans="1:1" s="199" customFormat="1" ht="12" hidden="1" customHeight="1">
      <c r="A5971" s="198"/>
    </row>
    <row r="5972" spans="1:1" s="199" customFormat="1" ht="12" hidden="1" customHeight="1">
      <c r="A5972" s="198"/>
    </row>
    <row r="5973" spans="1:1" s="199" customFormat="1" ht="12" hidden="1" customHeight="1">
      <c r="A5973" s="198"/>
    </row>
    <row r="5974" spans="1:1" s="199" customFormat="1" ht="12" hidden="1" customHeight="1">
      <c r="A5974" s="198"/>
    </row>
    <row r="5975" spans="1:1" s="199" customFormat="1" ht="12" hidden="1" customHeight="1">
      <c r="A5975" s="198"/>
    </row>
    <row r="5976" spans="1:1" s="199" customFormat="1" ht="12" hidden="1" customHeight="1">
      <c r="A5976" s="198"/>
    </row>
    <row r="5977" spans="1:1" s="199" customFormat="1" ht="12" hidden="1" customHeight="1">
      <c r="A5977" s="198"/>
    </row>
    <row r="5978" spans="1:1" s="199" customFormat="1" ht="12" hidden="1" customHeight="1">
      <c r="A5978" s="198"/>
    </row>
    <row r="5979" spans="1:1" s="199" customFormat="1" ht="12" hidden="1" customHeight="1">
      <c r="A5979" s="198"/>
    </row>
    <row r="5980" spans="1:1" s="199" customFormat="1" ht="12" hidden="1" customHeight="1">
      <c r="A5980" s="198"/>
    </row>
    <row r="5981" spans="1:1" s="199" customFormat="1" ht="12" hidden="1" customHeight="1">
      <c r="A5981" s="198"/>
    </row>
    <row r="5982" spans="1:1" s="199" customFormat="1" ht="12" hidden="1" customHeight="1">
      <c r="A5982" s="198"/>
    </row>
    <row r="5983" spans="1:1" s="199" customFormat="1" ht="12" hidden="1" customHeight="1">
      <c r="A5983" s="198"/>
    </row>
    <row r="5984" spans="1:1" s="199" customFormat="1" ht="12" hidden="1" customHeight="1">
      <c r="A5984" s="198"/>
    </row>
    <row r="5985" spans="1:1" s="199" customFormat="1" ht="12" hidden="1" customHeight="1">
      <c r="A5985" s="198"/>
    </row>
    <row r="5986" spans="1:1" s="199" customFormat="1" ht="12" hidden="1" customHeight="1">
      <c r="A5986" s="198"/>
    </row>
    <row r="5987" spans="1:1" s="199" customFormat="1" ht="12" hidden="1" customHeight="1">
      <c r="A5987" s="198"/>
    </row>
    <row r="5988" spans="1:1" s="199" customFormat="1" ht="12" hidden="1" customHeight="1">
      <c r="A5988" s="198"/>
    </row>
    <row r="5989" spans="1:1" s="199" customFormat="1" ht="12" hidden="1" customHeight="1">
      <c r="A5989" s="198"/>
    </row>
    <row r="5990" spans="1:1" s="199" customFormat="1" ht="12" hidden="1" customHeight="1">
      <c r="A5990" s="198"/>
    </row>
    <row r="5991" spans="1:1" s="199" customFormat="1" ht="12" hidden="1" customHeight="1">
      <c r="A5991" s="198"/>
    </row>
    <row r="5992" spans="1:1" s="199" customFormat="1" ht="12" hidden="1" customHeight="1">
      <c r="A5992" s="198"/>
    </row>
    <row r="5993" spans="1:1" s="199" customFormat="1" ht="12" hidden="1" customHeight="1">
      <c r="A5993" s="198"/>
    </row>
    <row r="5994" spans="1:1" s="199" customFormat="1" ht="12" hidden="1" customHeight="1">
      <c r="A5994" s="198"/>
    </row>
    <row r="5995" spans="1:1" s="199" customFormat="1" ht="12" hidden="1" customHeight="1">
      <c r="A5995" s="198"/>
    </row>
    <row r="5996" spans="1:1" s="199" customFormat="1" ht="12" hidden="1" customHeight="1">
      <c r="A5996" s="198"/>
    </row>
    <row r="5997" spans="1:1" s="199" customFormat="1" ht="12" hidden="1" customHeight="1">
      <c r="A5997" s="198"/>
    </row>
    <row r="5998" spans="1:1" s="199" customFormat="1" ht="12" hidden="1" customHeight="1">
      <c r="A5998" s="198"/>
    </row>
    <row r="5999" spans="1:1" s="199" customFormat="1" ht="12" hidden="1" customHeight="1">
      <c r="A5999" s="198"/>
    </row>
    <row r="6000" spans="1:1" s="199" customFormat="1" ht="12" hidden="1" customHeight="1">
      <c r="A6000" s="198"/>
    </row>
    <row r="6001" spans="1:1" s="199" customFormat="1" ht="12" hidden="1" customHeight="1">
      <c r="A6001" s="198"/>
    </row>
    <row r="6002" spans="1:1" s="199" customFormat="1" ht="12" hidden="1" customHeight="1">
      <c r="A6002" s="198"/>
    </row>
    <row r="6003" spans="1:1" s="199" customFormat="1" ht="12" hidden="1" customHeight="1">
      <c r="A6003" s="198"/>
    </row>
    <row r="6004" spans="1:1" s="199" customFormat="1" ht="12" hidden="1" customHeight="1">
      <c r="A6004" s="198"/>
    </row>
    <row r="6005" spans="1:1" s="199" customFormat="1" ht="12" hidden="1" customHeight="1">
      <c r="A6005" s="198"/>
    </row>
    <row r="6006" spans="1:1" s="199" customFormat="1" ht="12" hidden="1" customHeight="1">
      <c r="A6006" s="198"/>
    </row>
    <row r="6007" spans="1:1" s="199" customFormat="1" ht="12" hidden="1" customHeight="1">
      <c r="A6007" s="198"/>
    </row>
    <row r="6008" spans="1:1" s="199" customFormat="1" ht="12" hidden="1" customHeight="1">
      <c r="A6008" s="198"/>
    </row>
    <row r="6009" spans="1:1" s="199" customFormat="1" ht="12" hidden="1" customHeight="1">
      <c r="A6009" s="198"/>
    </row>
    <row r="6010" spans="1:1" s="199" customFormat="1" ht="12" hidden="1" customHeight="1">
      <c r="A6010" s="198"/>
    </row>
    <row r="6011" spans="1:1" s="199" customFormat="1" ht="12" hidden="1" customHeight="1">
      <c r="A6011" s="198"/>
    </row>
    <row r="6012" spans="1:1" s="199" customFormat="1" ht="12" hidden="1" customHeight="1">
      <c r="A6012" s="198"/>
    </row>
    <row r="6013" spans="1:1" s="199" customFormat="1" ht="12" hidden="1" customHeight="1">
      <c r="A6013" s="198"/>
    </row>
    <row r="6014" spans="1:1" s="199" customFormat="1" ht="12" hidden="1" customHeight="1">
      <c r="A6014" s="198"/>
    </row>
    <row r="6015" spans="1:1" s="199" customFormat="1" ht="12" hidden="1" customHeight="1">
      <c r="A6015" s="198"/>
    </row>
    <row r="6016" spans="1:1" s="199" customFormat="1" ht="12" hidden="1" customHeight="1">
      <c r="A6016" s="198"/>
    </row>
    <row r="6017" spans="1:1" s="199" customFormat="1" ht="12" hidden="1" customHeight="1">
      <c r="A6017" s="198"/>
    </row>
    <row r="6018" spans="1:1" s="199" customFormat="1" ht="12" hidden="1" customHeight="1">
      <c r="A6018" s="198"/>
    </row>
    <row r="6019" spans="1:1" s="199" customFormat="1" ht="12" hidden="1" customHeight="1">
      <c r="A6019" s="198"/>
    </row>
    <row r="6020" spans="1:1" s="199" customFormat="1" ht="12" hidden="1" customHeight="1">
      <c r="A6020" s="198"/>
    </row>
    <row r="6021" spans="1:1" s="199" customFormat="1" ht="12" hidden="1" customHeight="1">
      <c r="A6021" s="198"/>
    </row>
    <row r="6022" spans="1:1" s="199" customFormat="1" ht="12" hidden="1" customHeight="1">
      <c r="A6022" s="198"/>
    </row>
    <row r="6023" spans="1:1" s="199" customFormat="1" ht="12" hidden="1" customHeight="1">
      <c r="A6023" s="198"/>
    </row>
    <row r="6024" spans="1:1" s="199" customFormat="1" ht="12" hidden="1" customHeight="1">
      <c r="A6024" s="198"/>
    </row>
    <row r="6025" spans="1:1" s="199" customFormat="1" ht="12" hidden="1" customHeight="1">
      <c r="A6025" s="198"/>
    </row>
    <row r="6026" spans="1:1" s="199" customFormat="1" ht="12" hidden="1" customHeight="1">
      <c r="A6026" s="198"/>
    </row>
    <row r="6027" spans="1:1" s="199" customFormat="1" ht="12" hidden="1" customHeight="1">
      <c r="A6027" s="198"/>
    </row>
    <row r="6028" spans="1:1" s="199" customFormat="1" ht="12" hidden="1" customHeight="1">
      <c r="A6028" s="198"/>
    </row>
    <row r="6029" spans="1:1" s="199" customFormat="1" ht="12" hidden="1" customHeight="1">
      <c r="A6029" s="198"/>
    </row>
    <row r="6030" spans="1:1" s="199" customFormat="1" ht="12" hidden="1" customHeight="1">
      <c r="A6030" s="198"/>
    </row>
    <row r="6031" spans="1:1" s="199" customFormat="1" ht="12" hidden="1" customHeight="1">
      <c r="A6031" s="198"/>
    </row>
    <row r="6032" spans="1:1" s="199" customFormat="1" ht="12" hidden="1" customHeight="1">
      <c r="A6032" s="198"/>
    </row>
    <row r="6033" spans="1:1" s="199" customFormat="1" ht="12" hidden="1" customHeight="1">
      <c r="A6033" s="198"/>
    </row>
    <row r="6034" spans="1:1" s="199" customFormat="1" ht="12" hidden="1" customHeight="1">
      <c r="A6034" s="198"/>
    </row>
    <row r="6035" spans="1:1" s="199" customFormat="1" ht="12" hidden="1" customHeight="1">
      <c r="A6035" s="198"/>
    </row>
    <row r="6036" spans="1:1" s="199" customFormat="1" ht="12" hidden="1" customHeight="1">
      <c r="A6036" s="198"/>
    </row>
    <row r="6037" spans="1:1" s="199" customFormat="1" ht="12" hidden="1" customHeight="1">
      <c r="A6037" s="198"/>
    </row>
    <row r="6038" spans="1:1" s="199" customFormat="1" ht="12" hidden="1" customHeight="1">
      <c r="A6038" s="198"/>
    </row>
    <row r="6039" spans="1:1" s="199" customFormat="1" ht="12" hidden="1" customHeight="1">
      <c r="A6039" s="198"/>
    </row>
    <row r="6040" spans="1:1" s="199" customFormat="1" ht="12" hidden="1" customHeight="1">
      <c r="A6040" s="198"/>
    </row>
    <row r="6041" spans="1:1" s="199" customFormat="1" ht="12" hidden="1" customHeight="1">
      <c r="A6041" s="198"/>
    </row>
    <row r="6042" spans="1:1" s="199" customFormat="1" ht="12" hidden="1" customHeight="1">
      <c r="A6042" s="198"/>
    </row>
    <row r="6043" spans="1:1" s="199" customFormat="1" ht="12" hidden="1" customHeight="1">
      <c r="A6043" s="198"/>
    </row>
    <row r="6044" spans="1:1" s="199" customFormat="1" ht="12" hidden="1" customHeight="1">
      <c r="A6044" s="198"/>
    </row>
    <row r="6045" spans="1:1" s="199" customFormat="1" ht="12" hidden="1" customHeight="1">
      <c r="A6045" s="198"/>
    </row>
    <row r="6046" spans="1:1" s="199" customFormat="1" ht="12" hidden="1" customHeight="1">
      <c r="A6046" s="198"/>
    </row>
    <row r="6047" spans="1:1" s="199" customFormat="1" ht="12" hidden="1" customHeight="1">
      <c r="A6047" s="198"/>
    </row>
    <row r="6048" spans="1:1" s="199" customFormat="1" ht="12" hidden="1" customHeight="1">
      <c r="A6048" s="198"/>
    </row>
    <row r="6049" spans="1:1" s="199" customFormat="1" ht="12" hidden="1" customHeight="1">
      <c r="A6049" s="198"/>
    </row>
    <row r="6050" spans="1:1" s="199" customFormat="1" ht="12" hidden="1" customHeight="1">
      <c r="A6050" s="198"/>
    </row>
    <row r="6051" spans="1:1" s="199" customFormat="1" ht="12" hidden="1" customHeight="1">
      <c r="A6051" s="198"/>
    </row>
    <row r="6052" spans="1:1" s="199" customFormat="1" ht="12" hidden="1" customHeight="1">
      <c r="A6052" s="198"/>
    </row>
    <row r="6053" spans="1:1" s="199" customFormat="1" ht="12" hidden="1" customHeight="1">
      <c r="A6053" s="198"/>
    </row>
    <row r="6054" spans="1:1" s="199" customFormat="1" ht="12" hidden="1" customHeight="1">
      <c r="A6054" s="198"/>
    </row>
    <row r="6055" spans="1:1" s="199" customFormat="1" ht="12" hidden="1" customHeight="1">
      <c r="A6055" s="198"/>
    </row>
    <row r="6056" spans="1:1" s="199" customFormat="1" ht="12" hidden="1" customHeight="1">
      <c r="A6056" s="198"/>
    </row>
    <row r="6057" spans="1:1" s="199" customFormat="1" ht="12" hidden="1" customHeight="1">
      <c r="A6057" s="198"/>
    </row>
    <row r="6058" spans="1:1" s="199" customFormat="1" ht="12" hidden="1" customHeight="1">
      <c r="A6058" s="198"/>
    </row>
    <row r="6059" spans="1:1" s="199" customFormat="1" ht="12" hidden="1" customHeight="1">
      <c r="A6059" s="198"/>
    </row>
    <row r="6060" spans="1:1" s="199" customFormat="1" ht="12" hidden="1" customHeight="1">
      <c r="A6060" s="198"/>
    </row>
    <row r="6061" spans="1:1" s="199" customFormat="1" ht="12" hidden="1" customHeight="1">
      <c r="A6061" s="198"/>
    </row>
    <row r="6062" spans="1:1" s="199" customFormat="1" ht="12" hidden="1" customHeight="1">
      <c r="A6062" s="198"/>
    </row>
    <row r="6063" spans="1:1" s="199" customFormat="1" ht="12" hidden="1" customHeight="1">
      <c r="A6063" s="198"/>
    </row>
    <row r="6064" spans="1:1" s="199" customFormat="1" ht="12" hidden="1" customHeight="1">
      <c r="A6064" s="198"/>
    </row>
    <row r="6065" spans="1:1" s="199" customFormat="1" ht="12" hidden="1" customHeight="1">
      <c r="A6065" s="198"/>
    </row>
    <row r="6066" spans="1:1" s="199" customFormat="1" ht="12" hidden="1" customHeight="1">
      <c r="A6066" s="198"/>
    </row>
    <row r="6067" spans="1:1" s="199" customFormat="1" ht="12" hidden="1" customHeight="1">
      <c r="A6067" s="198"/>
    </row>
    <row r="6068" spans="1:1" s="199" customFormat="1" ht="12" hidden="1" customHeight="1">
      <c r="A6068" s="198"/>
    </row>
    <row r="6069" spans="1:1" s="199" customFormat="1" ht="12" hidden="1" customHeight="1">
      <c r="A6069" s="198"/>
    </row>
    <row r="6070" spans="1:1" s="199" customFormat="1" ht="12" hidden="1" customHeight="1">
      <c r="A6070" s="198"/>
    </row>
    <row r="6071" spans="1:1" s="199" customFormat="1" ht="12" hidden="1" customHeight="1">
      <c r="A6071" s="198"/>
    </row>
    <row r="6072" spans="1:1" s="199" customFormat="1" ht="12" hidden="1" customHeight="1">
      <c r="A6072" s="198"/>
    </row>
    <row r="6073" spans="1:1" s="199" customFormat="1" ht="12" hidden="1" customHeight="1">
      <c r="A6073" s="198"/>
    </row>
    <row r="6074" spans="1:1" s="199" customFormat="1" ht="12" hidden="1" customHeight="1">
      <c r="A6074" s="198"/>
    </row>
    <row r="6075" spans="1:1" s="199" customFormat="1" ht="12" hidden="1" customHeight="1">
      <c r="A6075" s="198"/>
    </row>
    <row r="6076" spans="1:1" s="199" customFormat="1" ht="12" hidden="1" customHeight="1">
      <c r="A6076" s="198"/>
    </row>
    <row r="6077" spans="1:1" s="199" customFormat="1" ht="12" hidden="1" customHeight="1">
      <c r="A6077" s="198"/>
    </row>
    <row r="6078" spans="1:1" s="199" customFormat="1" ht="12" hidden="1" customHeight="1">
      <c r="A6078" s="198"/>
    </row>
    <row r="6079" spans="1:1" s="199" customFormat="1" ht="12" hidden="1" customHeight="1">
      <c r="A6079" s="198"/>
    </row>
    <row r="6080" spans="1:1" s="199" customFormat="1" ht="12" hidden="1" customHeight="1">
      <c r="A6080" s="198"/>
    </row>
    <row r="6081" spans="1:1" s="199" customFormat="1" ht="12" hidden="1" customHeight="1">
      <c r="A6081" s="198"/>
    </row>
    <row r="6082" spans="1:1" s="199" customFormat="1" ht="12" hidden="1" customHeight="1">
      <c r="A6082" s="198"/>
    </row>
    <row r="6083" spans="1:1" s="199" customFormat="1" ht="12" hidden="1" customHeight="1">
      <c r="A6083" s="198"/>
    </row>
    <row r="6084" spans="1:1" s="199" customFormat="1" ht="12" hidden="1" customHeight="1">
      <c r="A6084" s="198"/>
    </row>
    <row r="6085" spans="1:1" s="199" customFormat="1" ht="12" hidden="1" customHeight="1">
      <c r="A6085" s="198"/>
    </row>
    <row r="6086" spans="1:1" s="199" customFormat="1" ht="12" hidden="1" customHeight="1">
      <c r="A6086" s="198"/>
    </row>
    <row r="6087" spans="1:1" s="199" customFormat="1" ht="12" hidden="1" customHeight="1">
      <c r="A6087" s="198"/>
    </row>
    <row r="6088" spans="1:1" s="199" customFormat="1" ht="12" hidden="1" customHeight="1">
      <c r="A6088" s="198"/>
    </row>
    <row r="6089" spans="1:1" s="199" customFormat="1" ht="12" hidden="1" customHeight="1">
      <c r="A6089" s="198"/>
    </row>
    <row r="6090" spans="1:1" s="199" customFormat="1" ht="12" hidden="1" customHeight="1">
      <c r="A6090" s="198"/>
    </row>
    <row r="6091" spans="1:1" s="199" customFormat="1" ht="12" hidden="1" customHeight="1">
      <c r="A6091" s="198"/>
    </row>
    <row r="6092" spans="1:1" s="199" customFormat="1" ht="12" hidden="1" customHeight="1">
      <c r="A6092" s="198"/>
    </row>
    <row r="6093" spans="1:1" s="199" customFormat="1" ht="12" hidden="1" customHeight="1">
      <c r="A6093" s="198"/>
    </row>
    <row r="6094" spans="1:1" s="199" customFormat="1" ht="12" hidden="1" customHeight="1">
      <c r="A6094" s="198"/>
    </row>
    <row r="6095" spans="1:1" s="199" customFormat="1" ht="12" hidden="1" customHeight="1">
      <c r="A6095" s="198"/>
    </row>
    <row r="6096" spans="1:1" s="199" customFormat="1" ht="12" hidden="1" customHeight="1">
      <c r="A6096" s="198"/>
    </row>
    <row r="6097" spans="1:1" s="199" customFormat="1" ht="12" hidden="1" customHeight="1">
      <c r="A6097" s="198"/>
    </row>
    <row r="6098" spans="1:1" s="199" customFormat="1" ht="12" hidden="1" customHeight="1">
      <c r="A6098" s="198"/>
    </row>
    <row r="6099" spans="1:1" s="199" customFormat="1" ht="12" hidden="1" customHeight="1">
      <c r="A6099" s="198"/>
    </row>
    <row r="6100" spans="1:1" s="199" customFormat="1" ht="12" hidden="1" customHeight="1">
      <c r="A6100" s="198"/>
    </row>
    <row r="6101" spans="1:1" s="199" customFormat="1" ht="12" hidden="1" customHeight="1">
      <c r="A6101" s="198"/>
    </row>
    <row r="6102" spans="1:1" s="199" customFormat="1" ht="12" hidden="1" customHeight="1">
      <c r="A6102" s="198"/>
    </row>
    <row r="6103" spans="1:1" s="199" customFormat="1" ht="12" hidden="1" customHeight="1">
      <c r="A6103" s="198"/>
    </row>
    <row r="6104" spans="1:1" s="199" customFormat="1" ht="12" hidden="1" customHeight="1">
      <c r="A6104" s="198"/>
    </row>
    <row r="6105" spans="1:1" s="199" customFormat="1" ht="12" hidden="1" customHeight="1">
      <c r="A6105" s="198"/>
    </row>
    <row r="6106" spans="1:1" s="199" customFormat="1" ht="12" hidden="1" customHeight="1">
      <c r="A6106" s="198"/>
    </row>
    <row r="6107" spans="1:1" s="199" customFormat="1" ht="12" hidden="1" customHeight="1">
      <c r="A6107" s="198"/>
    </row>
    <row r="6108" spans="1:1" s="199" customFormat="1" ht="12" hidden="1" customHeight="1">
      <c r="A6108" s="198"/>
    </row>
    <row r="6109" spans="1:1" s="199" customFormat="1" ht="12" hidden="1" customHeight="1">
      <c r="A6109" s="198"/>
    </row>
    <row r="6110" spans="1:1" s="199" customFormat="1" ht="12" hidden="1" customHeight="1">
      <c r="A6110" s="198"/>
    </row>
    <row r="6111" spans="1:1" s="199" customFormat="1" ht="12" hidden="1" customHeight="1">
      <c r="A6111" s="198"/>
    </row>
    <row r="6112" spans="1:1" s="199" customFormat="1" ht="12" hidden="1" customHeight="1">
      <c r="A6112" s="198"/>
    </row>
    <row r="6113" spans="1:1" s="199" customFormat="1" ht="12" hidden="1" customHeight="1">
      <c r="A6113" s="198"/>
    </row>
    <row r="6114" spans="1:1" s="199" customFormat="1" ht="12" hidden="1" customHeight="1">
      <c r="A6114" s="198"/>
    </row>
    <row r="6115" spans="1:1" s="199" customFormat="1" ht="12" hidden="1" customHeight="1">
      <c r="A6115" s="198"/>
    </row>
    <row r="6116" spans="1:1" s="199" customFormat="1" ht="12" hidden="1" customHeight="1">
      <c r="A6116" s="198"/>
    </row>
    <row r="6117" spans="1:1" s="199" customFormat="1" ht="12" hidden="1" customHeight="1">
      <c r="A6117" s="198"/>
    </row>
    <row r="6118" spans="1:1" s="199" customFormat="1" ht="12" hidden="1" customHeight="1">
      <c r="A6118" s="198"/>
    </row>
    <row r="6119" spans="1:1" s="199" customFormat="1" ht="12" hidden="1" customHeight="1">
      <c r="A6119" s="198"/>
    </row>
    <row r="6120" spans="1:1" s="199" customFormat="1" ht="12" hidden="1" customHeight="1">
      <c r="A6120" s="198"/>
    </row>
    <row r="6121" spans="1:1" s="199" customFormat="1" ht="12" hidden="1" customHeight="1">
      <c r="A6121" s="198"/>
    </row>
    <row r="6122" spans="1:1" s="199" customFormat="1" ht="12" hidden="1" customHeight="1">
      <c r="A6122" s="198"/>
    </row>
    <row r="6123" spans="1:1" s="199" customFormat="1" ht="12" hidden="1" customHeight="1">
      <c r="A6123" s="198"/>
    </row>
    <row r="6124" spans="1:1" s="199" customFormat="1" ht="12" hidden="1" customHeight="1">
      <c r="A6124" s="198"/>
    </row>
    <row r="6125" spans="1:1" s="199" customFormat="1" ht="12" hidden="1" customHeight="1">
      <c r="A6125" s="198"/>
    </row>
    <row r="6126" spans="1:1" s="199" customFormat="1" ht="12" hidden="1" customHeight="1">
      <c r="A6126" s="198"/>
    </row>
    <row r="6127" spans="1:1" s="199" customFormat="1" ht="12" hidden="1" customHeight="1">
      <c r="A6127" s="198"/>
    </row>
    <row r="6128" spans="1:1" s="199" customFormat="1" ht="12" hidden="1" customHeight="1">
      <c r="A6128" s="198"/>
    </row>
    <row r="6129" spans="1:1" s="199" customFormat="1" ht="12" hidden="1" customHeight="1">
      <c r="A6129" s="198"/>
    </row>
    <row r="6130" spans="1:1" s="199" customFormat="1" ht="12" hidden="1" customHeight="1">
      <c r="A6130" s="198"/>
    </row>
    <row r="6131" spans="1:1" s="199" customFormat="1" ht="12" hidden="1" customHeight="1">
      <c r="A6131" s="198"/>
    </row>
    <row r="6132" spans="1:1" s="199" customFormat="1" ht="12" hidden="1" customHeight="1">
      <c r="A6132" s="198"/>
    </row>
    <row r="6133" spans="1:1" s="199" customFormat="1" ht="12" hidden="1" customHeight="1">
      <c r="A6133" s="198"/>
    </row>
    <row r="6134" spans="1:1" s="199" customFormat="1" ht="12" hidden="1" customHeight="1">
      <c r="A6134" s="198"/>
    </row>
    <row r="6135" spans="1:1" s="199" customFormat="1" ht="12" hidden="1" customHeight="1">
      <c r="A6135" s="198"/>
    </row>
    <row r="6136" spans="1:1" s="199" customFormat="1" ht="12" hidden="1" customHeight="1">
      <c r="A6136" s="198"/>
    </row>
    <row r="6137" spans="1:1" s="199" customFormat="1" ht="12" hidden="1" customHeight="1">
      <c r="A6137" s="198"/>
    </row>
    <row r="6138" spans="1:1" s="199" customFormat="1" ht="12" hidden="1" customHeight="1">
      <c r="A6138" s="198"/>
    </row>
    <row r="6139" spans="1:1" s="199" customFormat="1" ht="12" hidden="1" customHeight="1">
      <c r="A6139" s="198"/>
    </row>
    <row r="6140" spans="1:1" s="199" customFormat="1" ht="12" hidden="1" customHeight="1">
      <c r="A6140" s="198"/>
    </row>
    <row r="6141" spans="1:1" s="199" customFormat="1" ht="12" hidden="1" customHeight="1">
      <c r="A6141" s="198"/>
    </row>
    <row r="6142" spans="1:1" s="199" customFormat="1" ht="12" hidden="1" customHeight="1">
      <c r="A6142" s="198"/>
    </row>
    <row r="6143" spans="1:1" s="199" customFormat="1" ht="12" hidden="1" customHeight="1">
      <c r="A6143" s="198"/>
    </row>
    <row r="6144" spans="1:1" s="199" customFormat="1" ht="12" hidden="1" customHeight="1">
      <c r="A6144" s="198"/>
    </row>
    <row r="6145" spans="1:1" s="199" customFormat="1" ht="12" hidden="1" customHeight="1">
      <c r="A6145" s="198"/>
    </row>
    <row r="6146" spans="1:1" s="199" customFormat="1" ht="12" hidden="1" customHeight="1">
      <c r="A6146" s="198"/>
    </row>
    <row r="6147" spans="1:1" s="199" customFormat="1" ht="12" hidden="1" customHeight="1">
      <c r="A6147" s="198"/>
    </row>
    <row r="6148" spans="1:1" s="199" customFormat="1" ht="12" hidden="1" customHeight="1">
      <c r="A6148" s="198"/>
    </row>
    <row r="6149" spans="1:1" s="199" customFormat="1" ht="12" hidden="1" customHeight="1">
      <c r="A6149" s="198"/>
    </row>
    <row r="6150" spans="1:1" s="199" customFormat="1" ht="12" hidden="1" customHeight="1">
      <c r="A6150" s="198"/>
    </row>
    <row r="6151" spans="1:1" s="199" customFormat="1" ht="12" hidden="1" customHeight="1">
      <c r="A6151" s="198"/>
    </row>
    <row r="6152" spans="1:1" s="199" customFormat="1" ht="12" hidden="1" customHeight="1">
      <c r="A6152" s="198"/>
    </row>
    <row r="6153" spans="1:1" s="199" customFormat="1" ht="12" hidden="1" customHeight="1">
      <c r="A6153" s="198"/>
    </row>
    <row r="6154" spans="1:1" s="199" customFormat="1" ht="12" hidden="1" customHeight="1">
      <c r="A6154" s="198"/>
    </row>
    <row r="6155" spans="1:1" s="199" customFormat="1" ht="12" hidden="1" customHeight="1">
      <c r="A6155" s="198"/>
    </row>
    <row r="6156" spans="1:1" s="199" customFormat="1" ht="12" hidden="1" customHeight="1">
      <c r="A6156" s="198"/>
    </row>
    <row r="6157" spans="1:1" s="199" customFormat="1" ht="12" hidden="1" customHeight="1">
      <c r="A6157" s="198"/>
    </row>
    <row r="6158" spans="1:1" s="199" customFormat="1" ht="12" hidden="1" customHeight="1">
      <c r="A6158" s="198"/>
    </row>
    <row r="6159" spans="1:1" s="199" customFormat="1" ht="12" hidden="1" customHeight="1">
      <c r="A6159" s="198"/>
    </row>
    <row r="6160" spans="1:1" s="199" customFormat="1" ht="12" hidden="1" customHeight="1">
      <c r="A6160" s="198"/>
    </row>
    <row r="6161" spans="1:1" s="199" customFormat="1" ht="12" hidden="1" customHeight="1">
      <c r="A6161" s="198"/>
    </row>
    <row r="6162" spans="1:1" s="199" customFormat="1" ht="12" hidden="1" customHeight="1">
      <c r="A6162" s="198"/>
    </row>
    <row r="6163" spans="1:1" s="199" customFormat="1" ht="12" hidden="1" customHeight="1">
      <c r="A6163" s="198"/>
    </row>
    <row r="6164" spans="1:1" s="199" customFormat="1" ht="12" hidden="1" customHeight="1">
      <c r="A6164" s="198"/>
    </row>
    <row r="6165" spans="1:1" s="199" customFormat="1" ht="12" hidden="1" customHeight="1">
      <c r="A6165" s="198"/>
    </row>
    <row r="6166" spans="1:1" s="199" customFormat="1" ht="12" hidden="1" customHeight="1">
      <c r="A6166" s="198"/>
    </row>
    <row r="6167" spans="1:1" s="199" customFormat="1" ht="12" hidden="1" customHeight="1">
      <c r="A6167" s="198"/>
    </row>
    <row r="6168" spans="1:1" s="199" customFormat="1" ht="12" hidden="1" customHeight="1">
      <c r="A6168" s="198"/>
    </row>
    <row r="6169" spans="1:1" s="199" customFormat="1" ht="12" hidden="1" customHeight="1">
      <c r="A6169" s="198"/>
    </row>
    <row r="6170" spans="1:1" s="199" customFormat="1" ht="12" hidden="1" customHeight="1">
      <c r="A6170" s="198"/>
    </row>
    <row r="6171" spans="1:1" s="199" customFormat="1" ht="12" hidden="1" customHeight="1">
      <c r="A6171" s="198"/>
    </row>
    <row r="6172" spans="1:1" s="199" customFormat="1" ht="12" hidden="1" customHeight="1">
      <c r="A6172" s="198"/>
    </row>
    <row r="6173" spans="1:1" s="199" customFormat="1" ht="12" hidden="1" customHeight="1">
      <c r="A6173" s="198"/>
    </row>
    <row r="6174" spans="1:1" s="199" customFormat="1" ht="12" hidden="1" customHeight="1">
      <c r="A6174" s="198"/>
    </row>
    <row r="6175" spans="1:1" s="199" customFormat="1" ht="12" hidden="1" customHeight="1">
      <c r="A6175" s="198"/>
    </row>
    <row r="6176" spans="1:1" s="199" customFormat="1" ht="12" hidden="1" customHeight="1">
      <c r="A6176" s="198"/>
    </row>
    <row r="6177" spans="1:1" s="199" customFormat="1" ht="12" hidden="1" customHeight="1">
      <c r="A6177" s="198"/>
    </row>
    <row r="6178" spans="1:1" s="199" customFormat="1" ht="12" hidden="1" customHeight="1">
      <c r="A6178" s="198"/>
    </row>
    <row r="6179" spans="1:1" s="199" customFormat="1" ht="12" hidden="1" customHeight="1">
      <c r="A6179" s="198"/>
    </row>
    <row r="6180" spans="1:1" s="199" customFormat="1" ht="12" hidden="1" customHeight="1">
      <c r="A6180" s="198"/>
    </row>
    <row r="6181" spans="1:1" s="199" customFormat="1" ht="12" hidden="1" customHeight="1">
      <c r="A6181" s="198"/>
    </row>
    <row r="6182" spans="1:1" s="199" customFormat="1" ht="12" hidden="1" customHeight="1">
      <c r="A6182" s="198"/>
    </row>
    <row r="6183" spans="1:1" s="199" customFormat="1" ht="12" hidden="1" customHeight="1">
      <c r="A6183" s="198"/>
    </row>
    <row r="6184" spans="1:1" s="199" customFormat="1" ht="12" hidden="1" customHeight="1">
      <c r="A6184" s="198"/>
    </row>
    <row r="6185" spans="1:1" s="199" customFormat="1" ht="12" hidden="1" customHeight="1">
      <c r="A6185" s="198"/>
    </row>
    <row r="6186" spans="1:1" s="199" customFormat="1" ht="12" hidden="1" customHeight="1">
      <c r="A6186" s="198"/>
    </row>
    <row r="6187" spans="1:1" s="199" customFormat="1" ht="12" hidden="1" customHeight="1">
      <c r="A6187" s="198"/>
    </row>
    <row r="6188" spans="1:1" s="199" customFormat="1" ht="12" hidden="1" customHeight="1">
      <c r="A6188" s="198"/>
    </row>
    <row r="6189" spans="1:1" s="199" customFormat="1" ht="12" hidden="1" customHeight="1">
      <c r="A6189" s="198"/>
    </row>
    <row r="6190" spans="1:1" s="199" customFormat="1" ht="12" hidden="1" customHeight="1">
      <c r="A6190" s="198"/>
    </row>
    <row r="6191" spans="1:1" s="199" customFormat="1" ht="12" hidden="1" customHeight="1">
      <c r="A6191" s="198"/>
    </row>
    <row r="6192" spans="1:1" s="199" customFormat="1" ht="12" hidden="1" customHeight="1">
      <c r="A6192" s="198"/>
    </row>
    <row r="6193" spans="1:1" s="199" customFormat="1" ht="12" hidden="1" customHeight="1">
      <c r="A6193" s="198"/>
    </row>
    <row r="6194" spans="1:1" s="199" customFormat="1" ht="12" hidden="1" customHeight="1">
      <c r="A6194" s="198"/>
    </row>
    <row r="6195" spans="1:1" s="199" customFormat="1" ht="12" hidden="1" customHeight="1">
      <c r="A6195" s="198"/>
    </row>
    <row r="6196" spans="1:1" s="199" customFormat="1" ht="12" hidden="1" customHeight="1">
      <c r="A6196" s="198"/>
    </row>
    <row r="6197" spans="1:1" s="199" customFormat="1" ht="12" hidden="1" customHeight="1">
      <c r="A6197" s="198"/>
    </row>
    <row r="6198" spans="1:1" s="199" customFormat="1" ht="12" hidden="1" customHeight="1">
      <c r="A6198" s="198"/>
    </row>
    <row r="6199" spans="1:1" s="199" customFormat="1" ht="12" hidden="1" customHeight="1">
      <c r="A6199" s="198"/>
    </row>
    <row r="6200" spans="1:1" s="199" customFormat="1" ht="12" hidden="1" customHeight="1">
      <c r="A6200" s="198"/>
    </row>
    <row r="6201" spans="1:1" s="199" customFormat="1" ht="12" hidden="1" customHeight="1">
      <c r="A6201" s="198"/>
    </row>
    <row r="6202" spans="1:1" s="199" customFormat="1" ht="12" hidden="1" customHeight="1">
      <c r="A6202" s="198"/>
    </row>
    <row r="6203" spans="1:1" s="199" customFormat="1" ht="12" hidden="1" customHeight="1">
      <c r="A6203" s="198"/>
    </row>
    <row r="6204" spans="1:1" s="199" customFormat="1" ht="12" hidden="1" customHeight="1">
      <c r="A6204" s="198"/>
    </row>
    <row r="6205" spans="1:1" s="199" customFormat="1" ht="12" hidden="1" customHeight="1">
      <c r="A6205" s="198"/>
    </row>
    <row r="6206" spans="1:1" s="199" customFormat="1" ht="12" hidden="1" customHeight="1">
      <c r="A6206" s="198"/>
    </row>
    <row r="6207" spans="1:1" s="199" customFormat="1" ht="12" hidden="1" customHeight="1">
      <c r="A6207" s="198"/>
    </row>
    <row r="6208" spans="1:1" s="199" customFormat="1" ht="12" hidden="1" customHeight="1">
      <c r="A6208" s="198"/>
    </row>
    <row r="6209" spans="1:1" s="199" customFormat="1" ht="12" hidden="1" customHeight="1">
      <c r="A6209" s="198"/>
    </row>
    <row r="6210" spans="1:1" s="199" customFormat="1" ht="12" hidden="1" customHeight="1">
      <c r="A6210" s="198"/>
    </row>
    <row r="6211" spans="1:1" s="199" customFormat="1" ht="12" hidden="1" customHeight="1">
      <c r="A6211" s="198"/>
    </row>
    <row r="6212" spans="1:1" s="199" customFormat="1" ht="12" hidden="1" customHeight="1">
      <c r="A6212" s="198"/>
    </row>
    <row r="6213" spans="1:1" s="199" customFormat="1" ht="12" hidden="1" customHeight="1">
      <c r="A6213" s="198"/>
    </row>
    <row r="6214" spans="1:1" s="199" customFormat="1" ht="12" hidden="1" customHeight="1">
      <c r="A6214" s="198"/>
    </row>
    <row r="6215" spans="1:1" s="199" customFormat="1" ht="12" hidden="1" customHeight="1">
      <c r="A6215" s="198"/>
    </row>
    <row r="6216" spans="1:1" s="199" customFormat="1" ht="12" hidden="1" customHeight="1">
      <c r="A6216" s="198"/>
    </row>
    <row r="6217" spans="1:1" s="199" customFormat="1" ht="12" hidden="1" customHeight="1">
      <c r="A6217" s="198"/>
    </row>
    <row r="6218" spans="1:1" s="199" customFormat="1" ht="12" hidden="1" customHeight="1">
      <c r="A6218" s="198"/>
    </row>
    <row r="6219" spans="1:1" s="199" customFormat="1" ht="12" hidden="1" customHeight="1">
      <c r="A6219" s="198"/>
    </row>
    <row r="6220" spans="1:1" s="199" customFormat="1" ht="12" hidden="1" customHeight="1">
      <c r="A6220" s="198"/>
    </row>
    <row r="6221" spans="1:1" s="199" customFormat="1" ht="12" hidden="1" customHeight="1">
      <c r="A6221" s="198"/>
    </row>
    <row r="6222" spans="1:1" s="199" customFormat="1" ht="12" hidden="1" customHeight="1">
      <c r="A6222" s="198"/>
    </row>
    <row r="6223" spans="1:1" s="199" customFormat="1" ht="12" hidden="1" customHeight="1">
      <c r="A6223" s="198"/>
    </row>
    <row r="6224" spans="1:1" s="199" customFormat="1" ht="12" hidden="1" customHeight="1">
      <c r="A6224" s="198"/>
    </row>
    <row r="6225" spans="1:1" s="199" customFormat="1" ht="12" hidden="1" customHeight="1">
      <c r="A6225" s="198"/>
    </row>
    <row r="6226" spans="1:1" s="199" customFormat="1" ht="12" hidden="1" customHeight="1">
      <c r="A6226" s="198"/>
    </row>
    <row r="6227" spans="1:1" s="199" customFormat="1" ht="12" hidden="1" customHeight="1">
      <c r="A6227" s="198"/>
    </row>
    <row r="6228" spans="1:1" s="199" customFormat="1" ht="12" hidden="1" customHeight="1">
      <c r="A6228" s="198"/>
    </row>
    <row r="6229" spans="1:1" s="199" customFormat="1" ht="12" hidden="1" customHeight="1">
      <c r="A6229" s="198"/>
    </row>
    <row r="6230" spans="1:1" s="199" customFormat="1" ht="12" hidden="1" customHeight="1">
      <c r="A6230" s="198"/>
    </row>
    <row r="6231" spans="1:1" s="199" customFormat="1" ht="12" hidden="1" customHeight="1">
      <c r="A6231" s="198"/>
    </row>
    <row r="6232" spans="1:1" s="199" customFormat="1" ht="12" hidden="1" customHeight="1">
      <c r="A6232" s="198"/>
    </row>
    <row r="6233" spans="1:1" s="199" customFormat="1" ht="12" hidden="1" customHeight="1">
      <c r="A6233" s="198"/>
    </row>
    <row r="6234" spans="1:1" s="199" customFormat="1" ht="12" hidden="1" customHeight="1">
      <c r="A6234" s="198"/>
    </row>
    <row r="6235" spans="1:1" s="199" customFormat="1" ht="12" hidden="1" customHeight="1">
      <c r="A6235" s="198"/>
    </row>
    <row r="6236" spans="1:1" s="199" customFormat="1" ht="12" hidden="1" customHeight="1">
      <c r="A6236" s="198"/>
    </row>
    <row r="6237" spans="1:1" s="199" customFormat="1" ht="12" hidden="1" customHeight="1">
      <c r="A6237" s="198"/>
    </row>
    <row r="6238" spans="1:1" s="199" customFormat="1" ht="12" hidden="1" customHeight="1">
      <c r="A6238" s="198"/>
    </row>
    <row r="6239" spans="1:1" s="199" customFormat="1" ht="12" hidden="1" customHeight="1">
      <c r="A6239" s="198"/>
    </row>
    <row r="6240" spans="1:1" s="199" customFormat="1" ht="12" hidden="1" customHeight="1">
      <c r="A6240" s="198"/>
    </row>
    <row r="6241" spans="1:1" s="199" customFormat="1" ht="12" hidden="1" customHeight="1">
      <c r="A6241" s="198"/>
    </row>
    <row r="6242" spans="1:1" s="199" customFormat="1" ht="12" hidden="1" customHeight="1">
      <c r="A6242" s="198"/>
    </row>
    <row r="6243" spans="1:1" s="199" customFormat="1" ht="12" hidden="1" customHeight="1">
      <c r="A6243" s="198"/>
    </row>
    <row r="6244" spans="1:1" s="199" customFormat="1" ht="12" hidden="1" customHeight="1">
      <c r="A6244" s="198"/>
    </row>
    <row r="6245" spans="1:1" s="199" customFormat="1" ht="12" hidden="1" customHeight="1">
      <c r="A6245" s="198"/>
    </row>
    <row r="6246" spans="1:1" s="199" customFormat="1" ht="12" hidden="1" customHeight="1">
      <c r="A6246" s="198"/>
    </row>
    <row r="6247" spans="1:1" s="199" customFormat="1" ht="12" hidden="1" customHeight="1">
      <c r="A6247" s="198"/>
    </row>
    <row r="6248" spans="1:1" s="199" customFormat="1" ht="12" hidden="1" customHeight="1">
      <c r="A6248" s="198"/>
    </row>
    <row r="6249" spans="1:1" s="199" customFormat="1" ht="12" hidden="1" customHeight="1">
      <c r="A6249" s="198"/>
    </row>
    <row r="6250" spans="1:1" s="199" customFormat="1" ht="12" hidden="1" customHeight="1">
      <c r="A6250" s="198"/>
    </row>
    <row r="6251" spans="1:1" s="199" customFormat="1" ht="12" hidden="1" customHeight="1">
      <c r="A6251" s="198"/>
    </row>
    <row r="6252" spans="1:1" s="199" customFormat="1" ht="12" hidden="1" customHeight="1">
      <c r="A6252" s="198"/>
    </row>
    <row r="6253" spans="1:1" s="199" customFormat="1" ht="12" hidden="1" customHeight="1">
      <c r="A6253" s="198"/>
    </row>
    <row r="6254" spans="1:1" s="199" customFormat="1" ht="12" hidden="1" customHeight="1">
      <c r="A6254" s="198"/>
    </row>
    <row r="6255" spans="1:1" s="199" customFormat="1" ht="12" hidden="1" customHeight="1">
      <c r="A6255" s="198"/>
    </row>
    <row r="6256" spans="1:1" s="199" customFormat="1" ht="12" hidden="1" customHeight="1">
      <c r="A6256" s="198"/>
    </row>
    <row r="6257" spans="1:1" s="199" customFormat="1" ht="12" hidden="1" customHeight="1">
      <c r="A6257" s="198"/>
    </row>
    <row r="6258" spans="1:1" s="199" customFormat="1" ht="12" hidden="1" customHeight="1">
      <c r="A6258" s="198"/>
    </row>
    <row r="6259" spans="1:1" s="199" customFormat="1" ht="12" hidden="1" customHeight="1">
      <c r="A6259" s="198"/>
    </row>
    <row r="6260" spans="1:1" s="199" customFormat="1" ht="12" hidden="1" customHeight="1">
      <c r="A6260" s="198"/>
    </row>
    <row r="6261" spans="1:1" s="199" customFormat="1" ht="12" hidden="1" customHeight="1">
      <c r="A6261" s="198"/>
    </row>
    <row r="6262" spans="1:1" s="199" customFormat="1" ht="12" hidden="1" customHeight="1">
      <c r="A6262" s="198"/>
    </row>
    <row r="6263" spans="1:1" s="199" customFormat="1" ht="12" hidden="1" customHeight="1">
      <c r="A6263" s="198"/>
    </row>
    <row r="6264" spans="1:1" s="199" customFormat="1" ht="12" hidden="1" customHeight="1">
      <c r="A6264" s="198"/>
    </row>
    <row r="6265" spans="1:1" s="199" customFormat="1" ht="12" hidden="1" customHeight="1">
      <c r="A6265" s="198"/>
    </row>
    <row r="6266" spans="1:1" s="199" customFormat="1" ht="12" hidden="1" customHeight="1">
      <c r="A6266" s="198"/>
    </row>
    <row r="6267" spans="1:1" s="199" customFormat="1" ht="12" hidden="1" customHeight="1">
      <c r="A6267" s="198"/>
    </row>
    <row r="6268" spans="1:1" s="199" customFormat="1" ht="12" hidden="1" customHeight="1">
      <c r="A6268" s="198"/>
    </row>
    <row r="6269" spans="1:1" s="199" customFormat="1" ht="12" hidden="1" customHeight="1">
      <c r="A6269" s="198"/>
    </row>
    <row r="6270" spans="1:1" s="199" customFormat="1" ht="12" hidden="1" customHeight="1">
      <c r="A6270" s="198"/>
    </row>
    <row r="6271" spans="1:1" s="199" customFormat="1" ht="12" hidden="1" customHeight="1">
      <c r="A6271" s="198"/>
    </row>
    <row r="6272" spans="1:1" s="199" customFormat="1" ht="12" hidden="1" customHeight="1">
      <c r="A6272" s="198"/>
    </row>
    <row r="6273" spans="1:1" s="199" customFormat="1" ht="12" hidden="1" customHeight="1">
      <c r="A6273" s="198"/>
    </row>
    <row r="6274" spans="1:1" s="199" customFormat="1" ht="12" hidden="1" customHeight="1">
      <c r="A6274" s="198"/>
    </row>
    <row r="6275" spans="1:1" s="199" customFormat="1" ht="12" hidden="1" customHeight="1">
      <c r="A6275" s="198"/>
    </row>
    <row r="6276" spans="1:1" s="199" customFormat="1" ht="12" hidden="1" customHeight="1">
      <c r="A6276" s="198"/>
    </row>
    <row r="6277" spans="1:1" s="199" customFormat="1" ht="12" hidden="1" customHeight="1">
      <c r="A6277" s="198"/>
    </row>
    <row r="6278" spans="1:1" s="199" customFormat="1" ht="12" hidden="1" customHeight="1">
      <c r="A6278" s="198"/>
    </row>
    <row r="6279" spans="1:1" s="199" customFormat="1" ht="12" hidden="1" customHeight="1">
      <c r="A6279" s="198"/>
    </row>
    <row r="6280" spans="1:1" s="199" customFormat="1" ht="12" hidden="1" customHeight="1">
      <c r="A6280" s="198"/>
    </row>
    <row r="6281" spans="1:1" s="199" customFormat="1" ht="12" hidden="1" customHeight="1">
      <c r="A6281" s="198"/>
    </row>
    <row r="6282" spans="1:1" s="199" customFormat="1" ht="12" hidden="1" customHeight="1">
      <c r="A6282" s="198"/>
    </row>
    <row r="6283" spans="1:1" s="199" customFormat="1" ht="12" hidden="1" customHeight="1">
      <c r="A6283" s="198"/>
    </row>
    <row r="6284" spans="1:1" s="199" customFormat="1" ht="12" hidden="1" customHeight="1">
      <c r="A6284" s="198"/>
    </row>
    <row r="6285" spans="1:1" s="199" customFormat="1" ht="12" hidden="1" customHeight="1">
      <c r="A6285" s="198"/>
    </row>
    <row r="6286" spans="1:1" s="199" customFormat="1" ht="12" hidden="1" customHeight="1">
      <c r="A6286" s="198"/>
    </row>
    <row r="6287" spans="1:1" s="199" customFormat="1" ht="12" hidden="1" customHeight="1">
      <c r="A6287" s="198"/>
    </row>
    <row r="6288" spans="1:1" s="199" customFormat="1" ht="12" hidden="1" customHeight="1">
      <c r="A6288" s="198"/>
    </row>
    <row r="6289" spans="1:1" s="199" customFormat="1" ht="12" hidden="1" customHeight="1">
      <c r="A6289" s="198"/>
    </row>
    <row r="6290" spans="1:1" s="199" customFormat="1" ht="12" hidden="1" customHeight="1">
      <c r="A6290" s="198"/>
    </row>
    <row r="6291" spans="1:1" s="199" customFormat="1" ht="12" hidden="1" customHeight="1">
      <c r="A6291" s="198"/>
    </row>
    <row r="6292" spans="1:1" s="199" customFormat="1" ht="12" hidden="1" customHeight="1">
      <c r="A6292" s="198"/>
    </row>
    <row r="6293" spans="1:1" s="199" customFormat="1" ht="12" hidden="1" customHeight="1">
      <c r="A6293" s="198"/>
    </row>
    <row r="6294" spans="1:1" s="199" customFormat="1" ht="12" hidden="1" customHeight="1">
      <c r="A6294" s="198"/>
    </row>
    <row r="6295" spans="1:1" s="199" customFormat="1" ht="12" hidden="1" customHeight="1">
      <c r="A6295" s="198"/>
    </row>
    <row r="6296" spans="1:1" s="199" customFormat="1" ht="12" hidden="1" customHeight="1">
      <c r="A6296" s="198"/>
    </row>
    <row r="6297" spans="1:1" s="199" customFormat="1" ht="12" hidden="1" customHeight="1">
      <c r="A6297" s="198"/>
    </row>
    <row r="6298" spans="1:1" s="199" customFormat="1" ht="12" hidden="1" customHeight="1">
      <c r="A6298" s="198"/>
    </row>
    <row r="6299" spans="1:1" s="199" customFormat="1" ht="12" hidden="1" customHeight="1">
      <c r="A6299" s="198"/>
    </row>
    <row r="6300" spans="1:1" s="199" customFormat="1" ht="12" hidden="1" customHeight="1">
      <c r="A6300" s="198"/>
    </row>
    <row r="6301" spans="1:1" s="199" customFormat="1" ht="12" hidden="1" customHeight="1">
      <c r="A6301" s="198"/>
    </row>
    <row r="6302" spans="1:1" s="199" customFormat="1" ht="12" hidden="1" customHeight="1">
      <c r="A6302" s="198"/>
    </row>
    <row r="6303" spans="1:1" s="199" customFormat="1" ht="12" hidden="1" customHeight="1">
      <c r="A6303" s="198"/>
    </row>
    <row r="6304" spans="1:1" s="199" customFormat="1" ht="12" hidden="1" customHeight="1">
      <c r="A6304" s="198"/>
    </row>
    <row r="6305" spans="1:1" s="199" customFormat="1" ht="12" hidden="1" customHeight="1">
      <c r="A6305" s="198"/>
    </row>
    <row r="6306" spans="1:1" s="199" customFormat="1" ht="12" hidden="1" customHeight="1">
      <c r="A6306" s="198"/>
    </row>
    <row r="6307" spans="1:1" s="199" customFormat="1" ht="12" hidden="1" customHeight="1">
      <c r="A6307" s="198"/>
    </row>
    <row r="6308" spans="1:1" s="199" customFormat="1" ht="12" hidden="1" customHeight="1">
      <c r="A6308" s="198"/>
    </row>
    <row r="6309" spans="1:1" s="199" customFormat="1" ht="12" hidden="1" customHeight="1">
      <c r="A6309" s="198"/>
    </row>
    <row r="6310" spans="1:1" s="199" customFormat="1" ht="12" hidden="1" customHeight="1">
      <c r="A6310" s="198"/>
    </row>
    <row r="6311" spans="1:1" s="199" customFormat="1" ht="12" hidden="1" customHeight="1">
      <c r="A6311" s="198"/>
    </row>
    <row r="6312" spans="1:1" s="199" customFormat="1" ht="12" hidden="1" customHeight="1">
      <c r="A6312" s="198"/>
    </row>
    <row r="6313" spans="1:1" s="199" customFormat="1" ht="12" hidden="1" customHeight="1">
      <c r="A6313" s="198"/>
    </row>
    <row r="6314" spans="1:1" s="199" customFormat="1" ht="12" hidden="1" customHeight="1">
      <c r="A6314" s="198"/>
    </row>
    <row r="6315" spans="1:1" s="199" customFormat="1" ht="12" hidden="1" customHeight="1">
      <c r="A6315" s="198"/>
    </row>
    <row r="6316" spans="1:1" s="199" customFormat="1" ht="12" hidden="1" customHeight="1">
      <c r="A6316" s="198"/>
    </row>
    <row r="6317" spans="1:1" s="199" customFormat="1" ht="12" hidden="1" customHeight="1">
      <c r="A6317" s="198"/>
    </row>
    <row r="6318" spans="1:1" s="199" customFormat="1" ht="12" hidden="1" customHeight="1">
      <c r="A6318" s="198"/>
    </row>
    <row r="6319" spans="1:1" s="199" customFormat="1" ht="12" hidden="1" customHeight="1">
      <c r="A6319" s="198"/>
    </row>
    <row r="6320" spans="1:1" s="199" customFormat="1" ht="12" hidden="1" customHeight="1">
      <c r="A6320" s="198"/>
    </row>
    <row r="6321" spans="1:1" s="199" customFormat="1" ht="12" hidden="1" customHeight="1">
      <c r="A6321" s="198"/>
    </row>
    <row r="6322" spans="1:1" s="199" customFormat="1" ht="12" hidden="1" customHeight="1">
      <c r="A6322" s="198"/>
    </row>
    <row r="6323" spans="1:1" s="199" customFormat="1" ht="12" hidden="1" customHeight="1">
      <c r="A6323" s="198"/>
    </row>
    <row r="6324" spans="1:1" s="199" customFormat="1" ht="12" hidden="1" customHeight="1">
      <c r="A6324" s="198"/>
    </row>
    <row r="6325" spans="1:1" s="199" customFormat="1" ht="12" hidden="1" customHeight="1">
      <c r="A6325" s="198"/>
    </row>
    <row r="6326" spans="1:1" s="199" customFormat="1" ht="12" hidden="1" customHeight="1">
      <c r="A6326" s="198"/>
    </row>
    <row r="6327" spans="1:1" s="199" customFormat="1" ht="12" hidden="1" customHeight="1">
      <c r="A6327" s="198"/>
    </row>
    <row r="6328" spans="1:1" s="199" customFormat="1" ht="12" hidden="1" customHeight="1">
      <c r="A6328" s="198"/>
    </row>
    <row r="6329" spans="1:1" s="199" customFormat="1" ht="12" hidden="1" customHeight="1">
      <c r="A6329" s="198"/>
    </row>
    <row r="6330" spans="1:1" s="199" customFormat="1" ht="12" hidden="1" customHeight="1">
      <c r="A6330" s="198"/>
    </row>
    <row r="6331" spans="1:1" s="199" customFormat="1" ht="12" hidden="1" customHeight="1">
      <c r="A6331" s="198"/>
    </row>
    <row r="6332" spans="1:1" s="199" customFormat="1" ht="12" hidden="1" customHeight="1">
      <c r="A6332" s="198"/>
    </row>
    <row r="6333" spans="1:1" s="199" customFormat="1" ht="12" hidden="1" customHeight="1">
      <c r="A6333" s="198"/>
    </row>
    <row r="6334" spans="1:1" s="199" customFormat="1" ht="12" hidden="1" customHeight="1">
      <c r="A6334" s="198"/>
    </row>
    <row r="6335" spans="1:1" s="199" customFormat="1" ht="12" hidden="1" customHeight="1">
      <c r="A6335" s="198"/>
    </row>
    <row r="6336" spans="1:1" s="199" customFormat="1" ht="12" hidden="1" customHeight="1">
      <c r="A6336" s="198"/>
    </row>
    <row r="6337" spans="1:1" s="199" customFormat="1" ht="12" hidden="1" customHeight="1">
      <c r="A6337" s="198"/>
    </row>
    <row r="6338" spans="1:1" s="199" customFormat="1" ht="12" hidden="1" customHeight="1">
      <c r="A6338" s="198"/>
    </row>
    <row r="6339" spans="1:1" s="199" customFormat="1" ht="12" hidden="1" customHeight="1">
      <c r="A6339" s="198"/>
    </row>
    <row r="6340" spans="1:1" s="199" customFormat="1" ht="12" hidden="1" customHeight="1">
      <c r="A6340" s="198"/>
    </row>
    <row r="6341" spans="1:1" s="199" customFormat="1" ht="12" hidden="1" customHeight="1">
      <c r="A6341" s="198"/>
    </row>
    <row r="6342" spans="1:1" s="199" customFormat="1" ht="12" hidden="1" customHeight="1">
      <c r="A6342" s="198"/>
    </row>
    <row r="6343" spans="1:1" s="199" customFormat="1" ht="12" hidden="1" customHeight="1">
      <c r="A6343" s="198"/>
    </row>
    <row r="6344" spans="1:1" s="199" customFormat="1" ht="12" hidden="1" customHeight="1">
      <c r="A6344" s="198"/>
    </row>
    <row r="6345" spans="1:1" s="199" customFormat="1" ht="12" hidden="1" customHeight="1">
      <c r="A6345" s="198"/>
    </row>
    <row r="6346" spans="1:1" s="199" customFormat="1" ht="12" hidden="1" customHeight="1">
      <c r="A6346" s="198"/>
    </row>
    <row r="6347" spans="1:1" s="199" customFormat="1" ht="12" hidden="1" customHeight="1">
      <c r="A6347" s="198"/>
    </row>
    <row r="6348" spans="1:1" s="199" customFormat="1" ht="12" hidden="1" customHeight="1">
      <c r="A6348" s="198"/>
    </row>
    <row r="6349" spans="1:1" s="199" customFormat="1" ht="12" hidden="1" customHeight="1">
      <c r="A6349" s="198"/>
    </row>
    <row r="6350" spans="1:1" s="199" customFormat="1" ht="12" hidden="1" customHeight="1">
      <c r="A6350" s="198"/>
    </row>
    <row r="6351" spans="1:1" s="199" customFormat="1" ht="12" hidden="1" customHeight="1">
      <c r="A6351" s="198"/>
    </row>
    <row r="6352" spans="1:1" s="199" customFormat="1" ht="12" hidden="1" customHeight="1">
      <c r="A6352" s="198"/>
    </row>
    <row r="6353" spans="1:1" s="199" customFormat="1" ht="12" hidden="1" customHeight="1">
      <c r="A6353" s="198"/>
    </row>
    <row r="6354" spans="1:1" s="199" customFormat="1" ht="12" hidden="1" customHeight="1">
      <c r="A6354" s="198"/>
    </row>
    <row r="6355" spans="1:1" s="199" customFormat="1" ht="12" hidden="1" customHeight="1">
      <c r="A6355" s="198"/>
    </row>
    <row r="6356" spans="1:1" s="199" customFormat="1" ht="12" hidden="1" customHeight="1">
      <c r="A6356" s="198"/>
    </row>
    <row r="6357" spans="1:1" s="199" customFormat="1" ht="12" hidden="1" customHeight="1">
      <c r="A6357" s="198"/>
    </row>
    <row r="6358" spans="1:1" s="199" customFormat="1" ht="12" hidden="1" customHeight="1">
      <c r="A6358" s="198"/>
    </row>
    <row r="6359" spans="1:1" s="199" customFormat="1" ht="12" hidden="1" customHeight="1">
      <c r="A6359" s="198"/>
    </row>
    <row r="6360" spans="1:1" s="199" customFormat="1" ht="12" hidden="1" customHeight="1">
      <c r="A6360" s="198"/>
    </row>
    <row r="6361" spans="1:1" s="199" customFormat="1" ht="12" hidden="1" customHeight="1">
      <c r="A6361" s="198"/>
    </row>
    <row r="6362" spans="1:1" s="199" customFormat="1" ht="12" hidden="1" customHeight="1">
      <c r="A6362" s="198"/>
    </row>
    <row r="6363" spans="1:1" s="199" customFormat="1" ht="12" hidden="1" customHeight="1">
      <c r="A6363" s="198"/>
    </row>
    <row r="6364" spans="1:1" s="199" customFormat="1" ht="12" hidden="1" customHeight="1">
      <c r="A6364" s="198"/>
    </row>
    <row r="6365" spans="1:1" s="199" customFormat="1" ht="12" hidden="1" customHeight="1">
      <c r="A6365" s="198"/>
    </row>
    <row r="6366" spans="1:1" s="199" customFormat="1" ht="12" hidden="1" customHeight="1">
      <c r="A6366" s="198"/>
    </row>
    <row r="6367" spans="1:1" s="199" customFormat="1" ht="12" hidden="1" customHeight="1">
      <c r="A6367" s="198"/>
    </row>
    <row r="6368" spans="1:1" s="199" customFormat="1" ht="12" hidden="1" customHeight="1">
      <c r="A6368" s="198"/>
    </row>
    <row r="6369" spans="1:1" s="199" customFormat="1" ht="12" hidden="1" customHeight="1">
      <c r="A6369" s="198"/>
    </row>
    <row r="6370" spans="1:1" s="199" customFormat="1" ht="12" hidden="1" customHeight="1">
      <c r="A6370" s="198"/>
    </row>
    <row r="6371" spans="1:1" s="199" customFormat="1" ht="12" hidden="1" customHeight="1">
      <c r="A6371" s="198"/>
    </row>
    <row r="6372" spans="1:1" s="199" customFormat="1" ht="12" hidden="1" customHeight="1">
      <c r="A6372" s="198"/>
    </row>
    <row r="6373" spans="1:1" s="199" customFormat="1" ht="12" hidden="1" customHeight="1">
      <c r="A6373" s="198"/>
    </row>
    <row r="6374" spans="1:1" s="199" customFormat="1" ht="12" hidden="1" customHeight="1">
      <c r="A6374" s="198"/>
    </row>
    <row r="6375" spans="1:1" s="199" customFormat="1" ht="12" hidden="1" customHeight="1">
      <c r="A6375" s="198"/>
    </row>
    <row r="6376" spans="1:1" s="199" customFormat="1" ht="12" hidden="1" customHeight="1">
      <c r="A6376" s="198"/>
    </row>
    <row r="6377" spans="1:1" s="199" customFormat="1" ht="12" hidden="1" customHeight="1">
      <c r="A6377" s="198"/>
    </row>
    <row r="6378" spans="1:1" s="199" customFormat="1" ht="12" hidden="1" customHeight="1">
      <c r="A6378" s="198"/>
    </row>
    <row r="6379" spans="1:1" s="199" customFormat="1" ht="12" hidden="1" customHeight="1">
      <c r="A6379" s="198"/>
    </row>
    <row r="6380" spans="1:1" s="199" customFormat="1" ht="12" hidden="1" customHeight="1">
      <c r="A6380" s="198"/>
    </row>
    <row r="6381" spans="1:1" s="199" customFormat="1" ht="12" hidden="1" customHeight="1">
      <c r="A6381" s="198"/>
    </row>
    <row r="6382" spans="1:1" s="199" customFormat="1" ht="12" hidden="1" customHeight="1">
      <c r="A6382" s="198"/>
    </row>
    <row r="6383" spans="1:1" s="199" customFormat="1" ht="12" hidden="1" customHeight="1">
      <c r="A6383" s="198"/>
    </row>
    <row r="6384" spans="1:1" s="199" customFormat="1" ht="12" hidden="1" customHeight="1">
      <c r="A6384" s="198"/>
    </row>
    <row r="6385" spans="1:1" s="199" customFormat="1" ht="12" hidden="1" customHeight="1">
      <c r="A6385" s="198"/>
    </row>
    <row r="6386" spans="1:1" s="199" customFormat="1" ht="12" hidden="1" customHeight="1">
      <c r="A6386" s="198"/>
    </row>
    <row r="6387" spans="1:1" s="199" customFormat="1" ht="12" hidden="1" customHeight="1">
      <c r="A6387" s="198"/>
    </row>
    <row r="6388" spans="1:1" s="199" customFormat="1" ht="12" hidden="1" customHeight="1">
      <c r="A6388" s="198"/>
    </row>
    <row r="6389" spans="1:1" s="199" customFormat="1" ht="12" hidden="1" customHeight="1">
      <c r="A6389" s="198"/>
    </row>
    <row r="6390" spans="1:1" s="199" customFormat="1" ht="12" hidden="1" customHeight="1">
      <c r="A6390" s="198"/>
    </row>
    <row r="6391" spans="1:1" s="199" customFormat="1" ht="12" hidden="1" customHeight="1">
      <c r="A6391" s="198"/>
    </row>
    <row r="6392" spans="1:1" s="199" customFormat="1" ht="12" hidden="1" customHeight="1">
      <c r="A6392" s="198"/>
    </row>
    <row r="6393" spans="1:1" s="199" customFormat="1" ht="12" hidden="1" customHeight="1">
      <c r="A6393" s="198"/>
    </row>
    <row r="6394" spans="1:1" s="199" customFormat="1" ht="12" hidden="1" customHeight="1">
      <c r="A6394" s="198"/>
    </row>
    <row r="6395" spans="1:1" s="199" customFormat="1" ht="12" hidden="1" customHeight="1">
      <c r="A6395" s="198"/>
    </row>
    <row r="6396" spans="1:1" s="199" customFormat="1" ht="12" hidden="1" customHeight="1">
      <c r="A6396" s="198"/>
    </row>
    <row r="6397" spans="1:1" s="199" customFormat="1" ht="12" hidden="1" customHeight="1">
      <c r="A6397" s="198"/>
    </row>
    <row r="6398" spans="1:1" s="199" customFormat="1" ht="12" hidden="1" customHeight="1">
      <c r="A6398" s="198"/>
    </row>
    <row r="6399" spans="1:1" s="199" customFormat="1" ht="12" hidden="1" customHeight="1">
      <c r="A6399" s="198"/>
    </row>
    <row r="6400" spans="1:1" s="199" customFormat="1" ht="12" hidden="1" customHeight="1">
      <c r="A6400" s="198"/>
    </row>
    <row r="6401" spans="1:1" s="199" customFormat="1" ht="12" hidden="1" customHeight="1">
      <c r="A6401" s="198"/>
    </row>
    <row r="6402" spans="1:1" s="199" customFormat="1" ht="12" hidden="1" customHeight="1">
      <c r="A6402" s="198"/>
    </row>
    <row r="6403" spans="1:1" s="199" customFormat="1" ht="12" hidden="1" customHeight="1">
      <c r="A6403" s="198"/>
    </row>
    <row r="6404" spans="1:1" s="199" customFormat="1" ht="12" hidden="1" customHeight="1">
      <c r="A6404" s="198"/>
    </row>
    <row r="6405" spans="1:1" s="199" customFormat="1" ht="12" hidden="1" customHeight="1">
      <c r="A6405" s="198"/>
    </row>
    <row r="6406" spans="1:1" s="199" customFormat="1" ht="12" hidden="1" customHeight="1">
      <c r="A6406" s="198"/>
    </row>
    <row r="6407" spans="1:1" s="199" customFormat="1" ht="12" hidden="1" customHeight="1">
      <c r="A6407" s="198"/>
    </row>
    <row r="6408" spans="1:1" s="199" customFormat="1" ht="12" hidden="1" customHeight="1">
      <c r="A6408" s="198"/>
    </row>
    <row r="6409" spans="1:1" s="199" customFormat="1" ht="12" hidden="1" customHeight="1">
      <c r="A6409" s="198"/>
    </row>
    <row r="6410" spans="1:1" s="199" customFormat="1" ht="12" hidden="1" customHeight="1">
      <c r="A6410" s="198"/>
    </row>
    <row r="6411" spans="1:1" s="199" customFormat="1" ht="12" hidden="1" customHeight="1">
      <c r="A6411" s="198"/>
    </row>
    <row r="6412" spans="1:1" s="199" customFormat="1" ht="12" hidden="1" customHeight="1">
      <c r="A6412" s="198"/>
    </row>
    <row r="6413" spans="1:1" s="199" customFormat="1" ht="12" hidden="1" customHeight="1">
      <c r="A6413" s="198"/>
    </row>
    <row r="6414" spans="1:1" s="199" customFormat="1" ht="12" hidden="1" customHeight="1">
      <c r="A6414" s="198"/>
    </row>
    <row r="6415" spans="1:1" s="199" customFormat="1" ht="12" hidden="1" customHeight="1">
      <c r="A6415" s="198"/>
    </row>
    <row r="6416" spans="1:1" s="199" customFormat="1" ht="12" hidden="1" customHeight="1">
      <c r="A6416" s="198"/>
    </row>
    <row r="6417" spans="1:1" s="199" customFormat="1" ht="12" hidden="1" customHeight="1">
      <c r="A6417" s="198"/>
    </row>
    <row r="6418" spans="1:1" s="199" customFormat="1" ht="12" hidden="1" customHeight="1">
      <c r="A6418" s="198"/>
    </row>
    <row r="6419" spans="1:1" s="199" customFormat="1" ht="12" hidden="1" customHeight="1">
      <c r="A6419" s="198"/>
    </row>
    <row r="6420" spans="1:1" s="199" customFormat="1" ht="12" hidden="1" customHeight="1">
      <c r="A6420" s="198"/>
    </row>
    <row r="6421" spans="1:1" s="199" customFormat="1" ht="12" hidden="1" customHeight="1">
      <c r="A6421" s="198"/>
    </row>
    <row r="6422" spans="1:1" s="199" customFormat="1" ht="12" hidden="1" customHeight="1">
      <c r="A6422" s="198"/>
    </row>
    <row r="6423" spans="1:1" s="199" customFormat="1" ht="12" hidden="1" customHeight="1">
      <c r="A6423" s="198"/>
    </row>
    <row r="6424" spans="1:1" s="199" customFormat="1" ht="12" hidden="1" customHeight="1">
      <c r="A6424" s="198"/>
    </row>
    <row r="6425" spans="1:1" s="199" customFormat="1" ht="12" hidden="1" customHeight="1">
      <c r="A6425" s="198"/>
    </row>
    <row r="6426" spans="1:1" s="199" customFormat="1" ht="12" hidden="1" customHeight="1">
      <c r="A6426" s="198"/>
    </row>
    <row r="6427" spans="1:1" s="199" customFormat="1" ht="12" hidden="1" customHeight="1">
      <c r="A6427" s="198"/>
    </row>
    <row r="6428" spans="1:1" s="199" customFormat="1" ht="12" hidden="1" customHeight="1">
      <c r="A6428" s="198"/>
    </row>
    <row r="6429" spans="1:1" s="199" customFormat="1" ht="12" hidden="1" customHeight="1">
      <c r="A6429" s="198"/>
    </row>
    <row r="6430" spans="1:1" s="199" customFormat="1" ht="12" hidden="1" customHeight="1">
      <c r="A6430" s="198"/>
    </row>
    <row r="6431" spans="1:1" s="199" customFormat="1" ht="12" hidden="1" customHeight="1">
      <c r="A6431" s="198"/>
    </row>
    <row r="6432" spans="1:1" s="199" customFormat="1" ht="12" hidden="1" customHeight="1">
      <c r="A6432" s="198"/>
    </row>
    <row r="6433" spans="1:1" s="199" customFormat="1" ht="12" hidden="1" customHeight="1">
      <c r="A6433" s="198"/>
    </row>
    <row r="6434" spans="1:1" s="199" customFormat="1" ht="12" hidden="1" customHeight="1">
      <c r="A6434" s="198"/>
    </row>
    <row r="6435" spans="1:1" s="199" customFormat="1" ht="12" hidden="1" customHeight="1">
      <c r="A6435" s="198"/>
    </row>
    <row r="6436" spans="1:1" s="199" customFormat="1" ht="12" hidden="1" customHeight="1">
      <c r="A6436" s="198"/>
    </row>
    <row r="6437" spans="1:1" s="199" customFormat="1" ht="12" hidden="1" customHeight="1">
      <c r="A6437" s="198"/>
    </row>
    <row r="6438" spans="1:1" s="199" customFormat="1" ht="12" hidden="1" customHeight="1">
      <c r="A6438" s="198"/>
    </row>
    <row r="6439" spans="1:1" s="199" customFormat="1" ht="12" hidden="1" customHeight="1">
      <c r="A6439" s="198"/>
    </row>
    <row r="6440" spans="1:1" s="199" customFormat="1" ht="12" hidden="1" customHeight="1">
      <c r="A6440" s="198"/>
    </row>
    <row r="6441" spans="1:1" s="199" customFormat="1" ht="12" hidden="1" customHeight="1">
      <c r="A6441" s="198"/>
    </row>
    <row r="6442" spans="1:1" s="199" customFormat="1" ht="12" hidden="1" customHeight="1">
      <c r="A6442" s="198"/>
    </row>
    <row r="6443" spans="1:1" s="199" customFormat="1" ht="12" hidden="1" customHeight="1">
      <c r="A6443" s="198"/>
    </row>
    <row r="6444" spans="1:1" s="199" customFormat="1" ht="12" hidden="1" customHeight="1">
      <c r="A6444" s="198"/>
    </row>
    <row r="6445" spans="1:1" s="199" customFormat="1" ht="12" hidden="1" customHeight="1">
      <c r="A6445" s="198"/>
    </row>
    <row r="6446" spans="1:1" s="199" customFormat="1" ht="12" hidden="1" customHeight="1">
      <c r="A6446" s="198"/>
    </row>
    <row r="6447" spans="1:1" s="199" customFormat="1" ht="12" hidden="1" customHeight="1">
      <c r="A6447" s="198"/>
    </row>
    <row r="6448" spans="1:1" s="199" customFormat="1" ht="12" hidden="1" customHeight="1">
      <c r="A6448" s="198"/>
    </row>
    <row r="6449" spans="1:1" s="199" customFormat="1" ht="12" hidden="1" customHeight="1">
      <c r="A6449" s="198"/>
    </row>
    <row r="6450" spans="1:1" s="199" customFormat="1" ht="12" hidden="1" customHeight="1">
      <c r="A6450" s="198"/>
    </row>
    <row r="6451" spans="1:1" s="199" customFormat="1" ht="12" hidden="1" customHeight="1">
      <c r="A6451" s="198"/>
    </row>
    <row r="6452" spans="1:1" s="199" customFormat="1" ht="12" hidden="1" customHeight="1">
      <c r="A6452" s="198"/>
    </row>
    <row r="6453" spans="1:1" s="199" customFormat="1" ht="12" hidden="1" customHeight="1">
      <c r="A6453" s="198"/>
    </row>
    <row r="6454" spans="1:1" s="199" customFormat="1" ht="12" hidden="1" customHeight="1">
      <c r="A6454" s="198"/>
    </row>
    <row r="6455" spans="1:1" s="199" customFormat="1" ht="12" hidden="1" customHeight="1">
      <c r="A6455" s="198"/>
    </row>
    <row r="6456" spans="1:1" s="199" customFormat="1" ht="12" hidden="1" customHeight="1">
      <c r="A6456" s="198"/>
    </row>
    <row r="6457" spans="1:1" s="199" customFormat="1" ht="12" hidden="1" customHeight="1">
      <c r="A6457" s="198"/>
    </row>
    <row r="6458" spans="1:1" s="199" customFormat="1" ht="12" hidden="1" customHeight="1">
      <c r="A6458" s="198"/>
    </row>
    <row r="6459" spans="1:1" s="199" customFormat="1" ht="12" hidden="1" customHeight="1">
      <c r="A6459" s="198"/>
    </row>
    <row r="6460" spans="1:1" s="199" customFormat="1" ht="12" hidden="1" customHeight="1">
      <c r="A6460" s="198"/>
    </row>
    <row r="6461" spans="1:1" s="199" customFormat="1" ht="12" hidden="1" customHeight="1">
      <c r="A6461" s="198"/>
    </row>
    <row r="6462" spans="1:1" s="199" customFormat="1" ht="12" hidden="1" customHeight="1">
      <c r="A6462" s="198"/>
    </row>
    <row r="6463" spans="1:1" s="199" customFormat="1" ht="12" hidden="1" customHeight="1">
      <c r="A6463" s="198"/>
    </row>
    <row r="6464" spans="1:1" s="199" customFormat="1" ht="12" hidden="1" customHeight="1">
      <c r="A6464" s="198"/>
    </row>
    <row r="6465" spans="1:1" s="199" customFormat="1" ht="12" hidden="1" customHeight="1">
      <c r="A6465" s="198"/>
    </row>
    <row r="6466" spans="1:1" s="199" customFormat="1" ht="12" hidden="1" customHeight="1">
      <c r="A6466" s="198"/>
    </row>
    <row r="6467" spans="1:1" s="199" customFormat="1" ht="12" hidden="1" customHeight="1">
      <c r="A6467" s="198"/>
    </row>
    <row r="6468" spans="1:1" s="199" customFormat="1" ht="12" hidden="1" customHeight="1">
      <c r="A6468" s="198"/>
    </row>
    <row r="6469" spans="1:1" s="199" customFormat="1" ht="12" hidden="1" customHeight="1">
      <c r="A6469" s="198"/>
    </row>
    <row r="6470" spans="1:1" s="199" customFormat="1" ht="12" hidden="1" customHeight="1">
      <c r="A6470" s="198"/>
    </row>
    <row r="6471" spans="1:1" s="199" customFormat="1" ht="12" hidden="1" customHeight="1">
      <c r="A6471" s="198"/>
    </row>
    <row r="6472" spans="1:1" s="199" customFormat="1" ht="12" hidden="1" customHeight="1">
      <c r="A6472" s="198"/>
    </row>
    <row r="6473" spans="1:1" s="199" customFormat="1" ht="12" hidden="1" customHeight="1">
      <c r="A6473" s="198"/>
    </row>
    <row r="6474" spans="1:1" s="199" customFormat="1" ht="12" hidden="1" customHeight="1">
      <c r="A6474" s="198"/>
    </row>
    <row r="6475" spans="1:1" s="199" customFormat="1" ht="12" hidden="1" customHeight="1">
      <c r="A6475" s="198"/>
    </row>
    <row r="6476" spans="1:1" s="199" customFormat="1" ht="12" hidden="1" customHeight="1">
      <c r="A6476" s="198"/>
    </row>
    <row r="6477" spans="1:1" s="199" customFormat="1" ht="12" hidden="1" customHeight="1">
      <c r="A6477" s="198"/>
    </row>
    <row r="6478" spans="1:1" s="199" customFormat="1" ht="12" hidden="1" customHeight="1">
      <c r="A6478" s="198"/>
    </row>
    <row r="6479" spans="1:1" s="199" customFormat="1" ht="12" hidden="1" customHeight="1">
      <c r="A6479" s="198"/>
    </row>
    <row r="6480" spans="1:1" s="199" customFormat="1" ht="12" hidden="1" customHeight="1">
      <c r="A6480" s="198"/>
    </row>
    <row r="6481" spans="1:1" s="199" customFormat="1" ht="12" hidden="1" customHeight="1">
      <c r="A6481" s="198"/>
    </row>
    <row r="6482" spans="1:1" s="199" customFormat="1" ht="12" hidden="1" customHeight="1">
      <c r="A6482" s="198"/>
    </row>
    <row r="6483" spans="1:1" s="199" customFormat="1" ht="12" hidden="1" customHeight="1">
      <c r="A6483" s="198"/>
    </row>
    <row r="6484" spans="1:1" s="199" customFormat="1" ht="12" hidden="1" customHeight="1">
      <c r="A6484" s="198"/>
    </row>
    <row r="6485" spans="1:1" s="199" customFormat="1" ht="12" hidden="1" customHeight="1">
      <c r="A6485" s="198"/>
    </row>
    <row r="6486" spans="1:1" s="199" customFormat="1" ht="12" hidden="1" customHeight="1">
      <c r="A6486" s="198"/>
    </row>
    <row r="6487" spans="1:1" s="199" customFormat="1" ht="12" hidden="1" customHeight="1">
      <c r="A6487" s="198"/>
    </row>
    <row r="6488" spans="1:1" s="199" customFormat="1" ht="12" hidden="1" customHeight="1">
      <c r="A6488" s="198"/>
    </row>
    <row r="6489" spans="1:1" s="199" customFormat="1" ht="12" hidden="1" customHeight="1">
      <c r="A6489" s="198"/>
    </row>
    <row r="6490" spans="1:1" s="199" customFormat="1" ht="12" hidden="1" customHeight="1">
      <c r="A6490" s="198"/>
    </row>
    <row r="6491" spans="1:1" s="199" customFormat="1" ht="12" hidden="1" customHeight="1">
      <c r="A6491" s="198"/>
    </row>
    <row r="6492" spans="1:1" s="199" customFormat="1" ht="12" hidden="1" customHeight="1">
      <c r="A6492" s="198"/>
    </row>
    <row r="6493" spans="1:1" s="199" customFormat="1" ht="12" hidden="1" customHeight="1">
      <c r="A6493" s="198"/>
    </row>
    <row r="6494" spans="1:1" s="199" customFormat="1" ht="12" hidden="1" customHeight="1">
      <c r="A6494" s="198"/>
    </row>
    <row r="6495" spans="1:1" s="199" customFormat="1" ht="12" hidden="1" customHeight="1">
      <c r="A6495" s="198"/>
    </row>
    <row r="6496" spans="1:1" s="199" customFormat="1" ht="12" hidden="1" customHeight="1">
      <c r="A6496" s="198"/>
    </row>
    <row r="6497" spans="1:1" s="199" customFormat="1" ht="12" hidden="1" customHeight="1">
      <c r="A6497" s="198"/>
    </row>
    <row r="6498" spans="1:1" s="199" customFormat="1" ht="12" hidden="1" customHeight="1">
      <c r="A6498" s="198"/>
    </row>
    <row r="6499" spans="1:1" s="199" customFormat="1" ht="12" hidden="1" customHeight="1">
      <c r="A6499" s="198"/>
    </row>
    <row r="6500" spans="1:1" s="199" customFormat="1" ht="12" hidden="1" customHeight="1">
      <c r="A6500" s="198"/>
    </row>
    <row r="6501" spans="1:1" s="199" customFormat="1" ht="12" hidden="1" customHeight="1">
      <c r="A6501" s="198"/>
    </row>
    <row r="6502" spans="1:1" s="199" customFormat="1" ht="12" hidden="1" customHeight="1">
      <c r="A6502" s="198"/>
    </row>
    <row r="6503" spans="1:1" s="199" customFormat="1" ht="12" hidden="1" customHeight="1">
      <c r="A6503" s="198"/>
    </row>
    <row r="6504" spans="1:1" s="199" customFormat="1" ht="12" hidden="1" customHeight="1">
      <c r="A6504" s="198"/>
    </row>
    <row r="6505" spans="1:1" s="199" customFormat="1" ht="12" hidden="1" customHeight="1">
      <c r="A6505" s="198"/>
    </row>
    <row r="6506" spans="1:1" s="199" customFormat="1" ht="12" hidden="1" customHeight="1">
      <c r="A6506" s="198"/>
    </row>
    <row r="6507" spans="1:1" s="199" customFormat="1" ht="12" hidden="1" customHeight="1">
      <c r="A6507" s="198"/>
    </row>
    <row r="6508" spans="1:1" s="199" customFormat="1" ht="12" hidden="1" customHeight="1">
      <c r="A6508" s="198"/>
    </row>
    <row r="6509" spans="1:1" s="199" customFormat="1" ht="12" hidden="1" customHeight="1">
      <c r="A6509" s="198"/>
    </row>
    <row r="6510" spans="1:1" s="199" customFormat="1" ht="12" hidden="1" customHeight="1">
      <c r="A6510" s="198"/>
    </row>
    <row r="6511" spans="1:1" s="199" customFormat="1" ht="12" hidden="1" customHeight="1">
      <c r="A6511" s="198"/>
    </row>
    <row r="6512" spans="1:1" s="199" customFormat="1" ht="12" hidden="1" customHeight="1">
      <c r="A6512" s="198"/>
    </row>
    <row r="6513" spans="1:1" s="199" customFormat="1" ht="12" hidden="1" customHeight="1">
      <c r="A6513" s="198"/>
    </row>
    <row r="6514" spans="1:1" s="199" customFormat="1" ht="12" hidden="1" customHeight="1">
      <c r="A6514" s="198"/>
    </row>
    <row r="6515" spans="1:1" s="199" customFormat="1" ht="12" hidden="1" customHeight="1">
      <c r="A6515" s="198"/>
    </row>
    <row r="6516" spans="1:1" s="199" customFormat="1" ht="12" hidden="1" customHeight="1">
      <c r="A6516" s="198"/>
    </row>
    <row r="6517" spans="1:1" s="199" customFormat="1" ht="12" hidden="1" customHeight="1">
      <c r="A6517" s="198"/>
    </row>
    <row r="6518" spans="1:1" s="199" customFormat="1" ht="12" hidden="1" customHeight="1">
      <c r="A6518" s="198"/>
    </row>
    <row r="6519" spans="1:1" s="199" customFormat="1" ht="12" hidden="1" customHeight="1">
      <c r="A6519" s="198"/>
    </row>
    <row r="6520" spans="1:1" s="199" customFormat="1" ht="12" hidden="1" customHeight="1">
      <c r="A6520" s="198"/>
    </row>
    <row r="6521" spans="1:1" s="199" customFormat="1" ht="12" hidden="1" customHeight="1">
      <c r="A6521" s="198"/>
    </row>
    <row r="6522" spans="1:1" s="199" customFormat="1" ht="12" hidden="1" customHeight="1">
      <c r="A6522" s="198"/>
    </row>
    <row r="6523" spans="1:1" s="199" customFormat="1" ht="12" hidden="1" customHeight="1">
      <c r="A6523" s="198"/>
    </row>
    <row r="6524" spans="1:1" s="199" customFormat="1" ht="12" hidden="1" customHeight="1">
      <c r="A6524" s="198"/>
    </row>
    <row r="6525" spans="1:1" s="199" customFormat="1" ht="12" hidden="1" customHeight="1">
      <c r="A6525" s="198"/>
    </row>
    <row r="6526" spans="1:1" s="199" customFormat="1" ht="12" hidden="1" customHeight="1">
      <c r="A6526" s="198"/>
    </row>
    <row r="6527" spans="1:1" s="199" customFormat="1" ht="12" hidden="1" customHeight="1">
      <c r="A6527" s="198"/>
    </row>
    <row r="6528" spans="1:1" s="199" customFormat="1" ht="12" hidden="1" customHeight="1">
      <c r="A6528" s="198"/>
    </row>
    <row r="6529" spans="1:1" s="199" customFormat="1" ht="12" hidden="1" customHeight="1">
      <c r="A6529" s="198"/>
    </row>
    <row r="6530" spans="1:1" s="199" customFormat="1" ht="12" hidden="1" customHeight="1">
      <c r="A6530" s="198"/>
    </row>
    <row r="6531" spans="1:1" s="199" customFormat="1" ht="12" hidden="1" customHeight="1">
      <c r="A6531" s="198"/>
    </row>
    <row r="6532" spans="1:1" s="199" customFormat="1" ht="12" hidden="1" customHeight="1">
      <c r="A6532" s="198"/>
    </row>
    <row r="6533" spans="1:1" s="199" customFormat="1" ht="12" hidden="1" customHeight="1">
      <c r="A6533" s="198"/>
    </row>
    <row r="6534" spans="1:1" s="199" customFormat="1" ht="12" hidden="1" customHeight="1">
      <c r="A6534" s="198"/>
    </row>
    <row r="6535" spans="1:1" s="199" customFormat="1" ht="12" hidden="1" customHeight="1">
      <c r="A6535" s="198"/>
    </row>
    <row r="6536" spans="1:1" s="199" customFormat="1" ht="12" hidden="1" customHeight="1">
      <c r="A6536" s="198"/>
    </row>
    <row r="6537" spans="1:1" s="199" customFormat="1" ht="12" hidden="1" customHeight="1">
      <c r="A6537" s="198"/>
    </row>
    <row r="6538" spans="1:1" s="199" customFormat="1" ht="12" hidden="1" customHeight="1">
      <c r="A6538" s="198"/>
    </row>
    <row r="6539" spans="1:1" s="199" customFormat="1" ht="12" hidden="1" customHeight="1">
      <c r="A6539" s="198"/>
    </row>
    <row r="6540" spans="1:1" s="199" customFormat="1" ht="12" hidden="1" customHeight="1">
      <c r="A6540" s="198"/>
    </row>
    <row r="6541" spans="1:1" s="199" customFormat="1" ht="12" hidden="1" customHeight="1">
      <c r="A6541" s="198"/>
    </row>
    <row r="6542" spans="1:1" s="199" customFormat="1" ht="12" hidden="1" customHeight="1">
      <c r="A6542" s="198"/>
    </row>
    <row r="6543" spans="1:1" s="199" customFormat="1" ht="12" hidden="1" customHeight="1">
      <c r="A6543" s="198"/>
    </row>
    <row r="6544" spans="1:1" s="199" customFormat="1" ht="12" hidden="1" customHeight="1">
      <c r="A6544" s="198"/>
    </row>
    <row r="6545" spans="1:1" s="199" customFormat="1" ht="12" hidden="1" customHeight="1">
      <c r="A6545" s="198"/>
    </row>
    <row r="6546" spans="1:1" s="199" customFormat="1" ht="12" hidden="1" customHeight="1">
      <c r="A6546" s="198"/>
    </row>
    <row r="6547" spans="1:1" s="199" customFormat="1" ht="12" hidden="1" customHeight="1">
      <c r="A6547" s="198"/>
    </row>
    <row r="6548" spans="1:1" s="199" customFormat="1" ht="12" hidden="1" customHeight="1">
      <c r="A6548" s="198"/>
    </row>
    <row r="6549" spans="1:1" s="199" customFormat="1" ht="12" hidden="1" customHeight="1">
      <c r="A6549" s="198"/>
    </row>
    <row r="6550" spans="1:1" s="199" customFormat="1" ht="12" hidden="1" customHeight="1">
      <c r="A6550" s="198"/>
    </row>
    <row r="6551" spans="1:1" s="199" customFormat="1" ht="12" hidden="1" customHeight="1">
      <c r="A6551" s="198"/>
    </row>
    <row r="6552" spans="1:1" s="199" customFormat="1" ht="12" hidden="1" customHeight="1">
      <c r="A6552" s="198"/>
    </row>
    <row r="6553" spans="1:1" s="199" customFormat="1" ht="12" hidden="1" customHeight="1">
      <c r="A6553" s="198"/>
    </row>
    <row r="6554" spans="1:1" s="199" customFormat="1" ht="12" hidden="1" customHeight="1">
      <c r="A6554" s="198"/>
    </row>
    <row r="6555" spans="1:1" s="199" customFormat="1" ht="12" hidden="1" customHeight="1">
      <c r="A6555" s="198"/>
    </row>
    <row r="6556" spans="1:1" s="199" customFormat="1" ht="12" hidden="1" customHeight="1">
      <c r="A6556" s="198"/>
    </row>
    <row r="6557" spans="1:1" s="199" customFormat="1" ht="12" hidden="1" customHeight="1">
      <c r="A6557" s="198"/>
    </row>
    <row r="6558" spans="1:1" s="199" customFormat="1" ht="12" hidden="1" customHeight="1">
      <c r="A6558" s="198"/>
    </row>
    <row r="6559" spans="1:1" s="199" customFormat="1" ht="12" hidden="1" customHeight="1">
      <c r="A6559" s="198"/>
    </row>
    <row r="6560" spans="1:1" s="199" customFormat="1" ht="12" hidden="1" customHeight="1">
      <c r="A6560" s="198"/>
    </row>
    <row r="6561" spans="1:1" s="199" customFormat="1" ht="12" hidden="1" customHeight="1">
      <c r="A6561" s="198"/>
    </row>
    <row r="6562" spans="1:1" s="199" customFormat="1" ht="12" hidden="1" customHeight="1">
      <c r="A6562" s="198"/>
    </row>
    <row r="6563" spans="1:1" s="199" customFormat="1" ht="12" hidden="1" customHeight="1">
      <c r="A6563" s="198"/>
    </row>
    <row r="6564" spans="1:1" s="199" customFormat="1" ht="12" hidden="1" customHeight="1">
      <c r="A6564" s="198"/>
    </row>
    <row r="6565" spans="1:1" s="199" customFormat="1" ht="12" hidden="1" customHeight="1">
      <c r="A6565" s="198"/>
    </row>
    <row r="6566" spans="1:1" s="199" customFormat="1" ht="12" hidden="1" customHeight="1">
      <c r="A6566" s="198"/>
    </row>
    <row r="6567" spans="1:1" s="199" customFormat="1" ht="12" hidden="1" customHeight="1">
      <c r="A6567" s="198"/>
    </row>
    <row r="6568" spans="1:1" s="199" customFormat="1" ht="12" hidden="1" customHeight="1">
      <c r="A6568" s="198"/>
    </row>
    <row r="6569" spans="1:1" s="199" customFormat="1" ht="12" hidden="1" customHeight="1">
      <c r="A6569" s="198"/>
    </row>
    <row r="6570" spans="1:1" s="199" customFormat="1" ht="12" hidden="1" customHeight="1">
      <c r="A6570" s="198"/>
    </row>
    <row r="6571" spans="1:1" s="199" customFormat="1" ht="12" hidden="1" customHeight="1">
      <c r="A6571" s="198"/>
    </row>
    <row r="6572" spans="1:1" s="199" customFormat="1" ht="12" hidden="1" customHeight="1">
      <c r="A6572" s="198"/>
    </row>
    <row r="6573" spans="1:1" s="199" customFormat="1" ht="12" hidden="1" customHeight="1">
      <c r="A6573" s="198"/>
    </row>
    <row r="6574" spans="1:1" s="199" customFormat="1" ht="12" hidden="1" customHeight="1">
      <c r="A6574" s="198"/>
    </row>
    <row r="6575" spans="1:1" s="199" customFormat="1" ht="12" hidden="1" customHeight="1">
      <c r="A6575" s="198"/>
    </row>
    <row r="6576" spans="1:1" s="199" customFormat="1" ht="12" hidden="1" customHeight="1">
      <c r="A6576" s="198"/>
    </row>
    <row r="6577" spans="1:1" s="199" customFormat="1" ht="12" hidden="1" customHeight="1">
      <c r="A6577" s="198"/>
    </row>
    <row r="6578" spans="1:1" s="199" customFormat="1" ht="12" hidden="1" customHeight="1">
      <c r="A6578" s="198"/>
    </row>
    <row r="6579" spans="1:1" s="199" customFormat="1" ht="12" hidden="1" customHeight="1">
      <c r="A6579" s="198"/>
    </row>
    <row r="6580" spans="1:1" s="199" customFormat="1" ht="12" hidden="1" customHeight="1">
      <c r="A6580" s="198"/>
    </row>
    <row r="6581" spans="1:1" s="199" customFormat="1" ht="12" hidden="1" customHeight="1">
      <c r="A6581" s="198"/>
    </row>
    <row r="6582" spans="1:1" s="199" customFormat="1" ht="12" hidden="1" customHeight="1">
      <c r="A6582" s="198"/>
    </row>
    <row r="6583" spans="1:1" s="199" customFormat="1" ht="12" hidden="1" customHeight="1">
      <c r="A6583" s="198"/>
    </row>
    <row r="6584" spans="1:1" s="199" customFormat="1" ht="12" hidden="1" customHeight="1">
      <c r="A6584" s="198"/>
    </row>
    <row r="6585" spans="1:1" s="199" customFormat="1" ht="12" hidden="1" customHeight="1">
      <c r="A6585" s="198"/>
    </row>
    <row r="6586" spans="1:1" s="199" customFormat="1" ht="12" hidden="1" customHeight="1">
      <c r="A6586" s="198"/>
    </row>
    <row r="6587" spans="1:1" s="199" customFormat="1" ht="12" hidden="1" customHeight="1">
      <c r="A6587" s="198"/>
    </row>
    <row r="6588" spans="1:1" s="199" customFormat="1" ht="12" hidden="1" customHeight="1">
      <c r="A6588" s="198"/>
    </row>
    <row r="6589" spans="1:1" s="199" customFormat="1" ht="12" hidden="1" customHeight="1">
      <c r="A6589" s="198"/>
    </row>
    <row r="6590" spans="1:1" s="199" customFormat="1" ht="12" hidden="1" customHeight="1">
      <c r="A6590" s="198"/>
    </row>
    <row r="6591" spans="1:1" s="199" customFormat="1" ht="12" hidden="1" customHeight="1">
      <c r="A6591" s="198"/>
    </row>
    <row r="6592" spans="1:1" s="199" customFormat="1" ht="12" hidden="1" customHeight="1">
      <c r="A6592" s="198"/>
    </row>
    <row r="6593" spans="1:1" s="199" customFormat="1" ht="12" hidden="1" customHeight="1">
      <c r="A6593" s="198"/>
    </row>
    <row r="6594" spans="1:1" s="199" customFormat="1" ht="12" hidden="1" customHeight="1">
      <c r="A6594" s="198"/>
    </row>
    <row r="6595" spans="1:1" s="199" customFormat="1" ht="12" hidden="1" customHeight="1">
      <c r="A6595" s="198"/>
    </row>
    <row r="6596" spans="1:1" s="199" customFormat="1" ht="12" hidden="1" customHeight="1">
      <c r="A6596" s="198"/>
    </row>
    <row r="6597" spans="1:1" s="199" customFormat="1" ht="12" hidden="1" customHeight="1">
      <c r="A6597" s="198"/>
    </row>
    <row r="6598" spans="1:1" s="199" customFormat="1" ht="12" hidden="1" customHeight="1">
      <c r="A6598" s="198"/>
    </row>
    <row r="6599" spans="1:1" s="199" customFormat="1" ht="12" hidden="1" customHeight="1">
      <c r="A6599" s="198"/>
    </row>
    <row r="6600" spans="1:1" s="199" customFormat="1" ht="12" hidden="1" customHeight="1">
      <c r="A6600" s="198"/>
    </row>
    <row r="6601" spans="1:1" s="199" customFormat="1" ht="12" hidden="1" customHeight="1">
      <c r="A6601" s="198"/>
    </row>
    <row r="6602" spans="1:1" s="199" customFormat="1" ht="12" hidden="1" customHeight="1">
      <c r="A6602" s="198"/>
    </row>
    <row r="6603" spans="1:1" s="199" customFormat="1" ht="12" hidden="1" customHeight="1">
      <c r="A6603" s="198"/>
    </row>
    <row r="6604" spans="1:1" s="199" customFormat="1" ht="12" hidden="1" customHeight="1">
      <c r="A6604" s="198"/>
    </row>
    <row r="6605" spans="1:1" s="199" customFormat="1" ht="12" hidden="1" customHeight="1">
      <c r="A6605" s="198"/>
    </row>
    <row r="6606" spans="1:1" s="199" customFormat="1" ht="12" hidden="1" customHeight="1">
      <c r="A6606" s="198"/>
    </row>
    <row r="6607" spans="1:1" s="199" customFormat="1" ht="12" hidden="1" customHeight="1">
      <c r="A6607" s="198"/>
    </row>
    <row r="6608" spans="1:1" s="199" customFormat="1" ht="12" hidden="1" customHeight="1">
      <c r="A6608" s="198"/>
    </row>
    <row r="6609" spans="1:1" s="199" customFormat="1" ht="12" hidden="1" customHeight="1">
      <c r="A6609" s="198"/>
    </row>
    <row r="6610" spans="1:1" s="199" customFormat="1" ht="12" hidden="1" customHeight="1">
      <c r="A6610" s="198"/>
    </row>
    <row r="6611" spans="1:1" s="199" customFormat="1" ht="12" hidden="1" customHeight="1">
      <c r="A6611" s="198"/>
    </row>
    <row r="6612" spans="1:1" s="199" customFormat="1" ht="12" hidden="1" customHeight="1">
      <c r="A6612" s="198"/>
    </row>
    <row r="6613" spans="1:1" s="199" customFormat="1" ht="12" hidden="1" customHeight="1">
      <c r="A6613" s="198"/>
    </row>
    <row r="6614" spans="1:1" s="199" customFormat="1" ht="12" hidden="1" customHeight="1">
      <c r="A6614" s="198"/>
    </row>
    <row r="6615" spans="1:1" s="199" customFormat="1" ht="12" hidden="1" customHeight="1">
      <c r="A6615" s="198"/>
    </row>
    <row r="6616" spans="1:1" s="199" customFormat="1" ht="12" hidden="1" customHeight="1">
      <c r="A6616" s="198"/>
    </row>
    <row r="6617" spans="1:1" s="199" customFormat="1" ht="12" hidden="1" customHeight="1">
      <c r="A6617" s="198"/>
    </row>
    <row r="6618" spans="1:1" s="199" customFormat="1" ht="12" hidden="1" customHeight="1">
      <c r="A6618" s="198"/>
    </row>
    <row r="6619" spans="1:1" s="199" customFormat="1" ht="12" hidden="1" customHeight="1">
      <c r="A6619" s="198"/>
    </row>
    <row r="6620" spans="1:1" s="199" customFormat="1" ht="12" hidden="1" customHeight="1">
      <c r="A6620" s="198"/>
    </row>
    <row r="6621" spans="1:1" s="199" customFormat="1" ht="12" hidden="1" customHeight="1">
      <c r="A6621" s="198"/>
    </row>
    <row r="6622" spans="1:1" s="199" customFormat="1" ht="12" hidden="1" customHeight="1">
      <c r="A6622" s="198"/>
    </row>
    <row r="6623" spans="1:1" s="199" customFormat="1" ht="12" hidden="1" customHeight="1">
      <c r="A6623" s="198"/>
    </row>
    <row r="6624" spans="1:1" s="199" customFormat="1" ht="12" hidden="1" customHeight="1">
      <c r="A6624" s="198"/>
    </row>
    <row r="6625" spans="1:1" s="199" customFormat="1" ht="12" hidden="1" customHeight="1">
      <c r="A6625" s="198"/>
    </row>
    <row r="6626" spans="1:1" s="199" customFormat="1" ht="12" hidden="1" customHeight="1">
      <c r="A6626" s="198"/>
    </row>
    <row r="6627" spans="1:1" s="199" customFormat="1" ht="12" hidden="1" customHeight="1">
      <c r="A6627" s="198"/>
    </row>
    <row r="6628" spans="1:1" s="199" customFormat="1" ht="12" hidden="1" customHeight="1">
      <c r="A6628" s="198"/>
    </row>
    <row r="6629" spans="1:1" s="199" customFormat="1" ht="12" hidden="1" customHeight="1">
      <c r="A6629" s="198"/>
    </row>
    <row r="6630" spans="1:1" s="199" customFormat="1" ht="12" hidden="1" customHeight="1">
      <c r="A6630" s="198"/>
    </row>
    <row r="6631" spans="1:1" s="199" customFormat="1" ht="12" hidden="1" customHeight="1">
      <c r="A6631" s="198"/>
    </row>
    <row r="6632" spans="1:1" s="199" customFormat="1" ht="12" hidden="1" customHeight="1">
      <c r="A6632" s="198"/>
    </row>
    <row r="6633" spans="1:1" s="199" customFormat="1" ht="12" hidden="1" customHeight="1">
      <c r="A6633" s="198"/>
    </row>
    <row r="6634" spans="1:1" s="199" customFormat="1" ht="12" hidden="1" customHeight="1">
      <c r="A6634" s="198"/>
    </row>
    <row r="6635" spans="1:1" s="199" customFormat="1" ht="12" hidden="1" customHeight="1">
      <c r="A6635" s="198"/>
    </row>
    <row r="6636" spans="1:1" s="199" customFormat="1" ht="12" hidden="1" customHeight="1">
      <c r="A6636" s="198"/>
    </row>
    <row r="6637" spans="1:1" s="199" customFormat="1" ht="12" hidden="1" customHeight="1">
      <c r="A6637" s="198"/>
    </row>
    <row r="6638" spans="1:1" s="199" customFormat="1" ht="12" hidden="1" customHeight="1">
      <c r="A6638" s="198"/>
    </row>
    <row r="6639" spans="1:1" s="199" customFormat="1" ht="12" hidden="1" customHeight="1">
      <c r="A6639" s="198"/>
    </row>
    <row r="6640" spans="1:1" s="199" customFormat="1" ht="12" hidden="1" customHeight="1">
      <c r="A6640" s="198"/>
    </row>
    <row r="6641" spans="1:1" s="199" customFormat="1" ht="12" hidden="1" customHeight="1">
      <c r="A6641" s="198"/>
    </row>
    <row r="6642" spans="1:1" s="199" customFormat="1" ht="12" hidden="1" customHeight="1">
      <c r="A6642" s="198"/>
    </row>
    <row r="6643" spans="1:1" s="199" customFormat="1" ht="12" hidden="1" customHeight="1">
      <c r="A6643" s="198"/>
    </row>
    <row r="6644" spans="1:1" s="199" customFormat="1" ht="12" hidden="1" customHeight="1">
      <c r="A6644" s="198"/>
    </row>
    <row r="6645" spans="1:1" s="199" customFormat="1" ht="12" hidden="1" customHeight="1">
      <c r="A6645" s="198"/>
    </row>
    <row r="6646" spans="1:1" s="199" customFormat="1" ht="12" hidden="1" customHeight="1">
      <c r="A6646" s="198"/>
    </row>
    <row r="6647" spans="1:1" s="199" customFormat="1" ht="12" hidden="1" customHeight="1">
      <c r="A6647" s="198"/>
    </row>
    <row r="6648" spans="1:1" s="199" customFormat="1" ht="12" hidden="1" customHeight="1">
      <c r="A6648" s="198"/>
    </row>
    <row r="6649" spans="1:1" s="199" customFormat="1" ht="12" hidden="1" customHeight="1">
      <c r="A6649" s="198"/>
    </row>
    <row r="6650" spans="1:1" s="199" customFormat="1" ht="12" hidden="1" customHeight="1">
      <c r="A6650" s="198"/>
    </row>
    <row r="6651" spans="1:1" s="199" customFormat="1" ht="12" hidden="1" customHeight="1">
      <c r="A6651" s="198"/>
    </row>
    <row r="6652" spans="1:1" s="199" customFormat="1" ht="12" hidden="1" customHeight="1">
      <c r="A6652" s="198"/>
    </row>
    <row r="6653" spans="1:1" s="199" customFormat="1" ht="12" hidden="1" customHeight="1">
      <c r="A6653" s="198"/>
    </row>
    <row r="6654" spans="1:1" s="199" customFormat="1" ht="12" hidden="1" customHeight="1">
      <c r="A6654" s="198"/>
    </row>
    <row r="6655" spans="1:1" s="199" customFormat="1" ht="12" hidden="1" customHeight="1">
      <c r="A6655" s="198"/>
    </row>
    <row r="6656" spans="1:1" s="199" customFormat="1" ht="12" hidden="1" customHeight="1">
      <c r="A6656" s="198"/>
    </row>
    <row r="6657" spans="1:1" s="199" customFormat="1" ht="12" hidden="1" customHeight="1">
      <c r="A6657" s="198"/>
    </row>
    <row r="6658" spans="1:1" s="199" customFormat="1" ht="12" hidden="1" customHeight="1">
      <c r="A6658" s="198"/>
    </row>
    <row r="6659" spans="1:1" s="199" customFormat="1" ht="12" hidden="1" customHeight="1">
      <c r="A6659" s="198"/>
    </row>
    <row r="6660" spans="1:1" s="199" customFormat="1" ht="12" hidden="1" customHeight="1">
      <c r="A6660" s="198"/>
    </row>
    <row r="6661" spans="1:1" s="199" customFormat="1" ht="12" hidden="1" customHeight="1">
      <c r="A6661" s="198"/>
    </row>
    <row r="6662" spans="1:1" s="199" customFormat="1" ht="12" hidden="1" customHeight="1">
      <c r="A6662" s="198"/>
    </row>
    <row r="6663" spans="1:1" s="199" customFormat="1" ht="12" hidden="1" customHeight="1">
      <c r="A6663" s="198"/>
    </row>
    <row r="6664" spans="1:1" s="199" customFormat="1" ht="12" hidden="1" customHeight="1">
      <c r="A6664" s="198"/>
    </row>
    <row r="6665" spans="1:1" s="199" customFormat="1" ht="12" hidden="1" customHeight="1">
      <c r="A6665" s="198"/>
    </row>
    <row r="6666" spans="1:1" s="199" customFormat="1" ht="12" hidden="1" customHeight="1">
      <c r="A6666" s="198"/>
    </row>
    <row r="6667" spans="1:1" s="199" customFormat="1" ht="12" hidden="1" customHeight="1">
      <c r="A6667" s="198"/>
    </row>
    <row r="6668" spans="1:1" s="199" customFormat="1" ht="12" hidden="1" customHeight="1">
      <c r="A6668" s="198"/>
    </row>
    <row r="6669" spans="1:1" s="199" customFormat="1" ht="12" hidden="1" customHeight="1">
      <c r="A6669" s="198"/>
    </row>
    <row r="6670" spans="1:1" s="199" customFormat="1" ht="12" hidden="1" customHeight="1">
      <c r="A6670" s="198"/>
    </row>
    <row r="6671" spans="1:1" s="199" customFormat="1" ht="12" hidden="1" customHeight="1">
      <c r="A6671" s="198"/>
    </row>
    <row r="6672" spans="1:1" s="199" customFormat="1" ht="12" hidden="1" customHeight="1">
      <c r="A6672" s="198"/>
    </row>
    <row r="6673" spans="1:1" s="199" customFormat="1" ht="12" hidden="1" customHeight="1">
      <c r="A6673" s="198"/>
    </row>
    <row r="6674" spans="1:1" s="199" customFormat="1" ht="12" hidden="1" customHeight="1">
      <c r="A6674" s="198"/>
    </row>
    <row r="6675" spans="1:1" s="199" customFormat="1" ht="12" hidden="1" customHeight="1">
      <c r="A6675" s="198"/>
    </row>
    <row r="6676" spans="1:1" s="199" customFormat="1" ht="12" hidden="1" customHeight="1">
      <c r="A6676" s="198"/>
    </row>
    <row r="6677" spans="1:1" s="199" customFormat="1" ht="12" hidden="1" customHeight="1">
      <c r="A6677" s="198"/>
    </row>
    <row r="6678" spans="1:1" s="199" customFormat="1" ht="12" hidden="1" customHeight="1">
      <c r="A6678" s="198"/>
    </row>
    <row r="6679" spans="1:1" s="199" customFormat="1" ht="12" hidden="1" customHeight="1">
      <c r="A6679" s="198"/>
    </row>
    <row r="6680" spans="1:1" s="199" customFormat="1" ht="12" hidden="1" customHeight="1">
      <c r="A6680" s="198"/>
    </row>
    <row r="6681" spans="1:1" s="199" customFormat="1" ht="12" hidden="1" customHeight="1">
      <c r="A6681" s="198"/>
    </row>
    <row r="6682" spans="1:1" s="199" customFormat="1" ht="12" hidden="1" customHeight="1">
      <c r="A6682" s="198"/>
    </row>
    <row r="6683" spans="1:1" s="199" customFormat="1" ht="12" hidden="1" customHeight="1">
      <c r="A6683" s="198"/>
    </row>
    <row r="6684" spans="1:1" s="199" customFormat="1" ht="12" hidden="1" customHeight="1">
      <c r="A6684" s="198"/>
    </row>
    <row r="6685" spans="1:1" s="199" customFormat="1" ht="12" hidden="1" customHeight="1">
      <c r="A6685" s="198"/>
    </row>
    <row r="6686" spans="1:1" s="199" customFormat="1" ht="12" hidden="1" customHeight="1">
      <c r="A6686" s="198"/>
    </row>
    <row r="6687" spans="1:1" s="199" customFormat="1" ht="12" hidden="1" customHeight="1">
      <c r="A6687" s="198"/>
    </row>
    <row r="6688" spans="1:1" s="199" customFormat="1" ht="12" hidden="1" customHeight="1">
      <c r="A6688" s="198"/>
    </row>
    <row r="6689" spans="1:1" s="199" customFormat="1" ht="12" hidden="1" customHeight="1">
      <c r="A6689" s="198"/>
    </row>
    <row r="6690" spans="1:1" s="199" customFormat="1" ht="12" hidden="1" customHeight="1">
      <c r="A6690" s="198"/>
    </row>
    <row r="6691" spans="1:1" s="199" customFormat="1" ht="12" hidden="1" customHeight="1">
      <c r="A6691" s="198"/>
    </row>
    <row r="6692" spans="1:1" s="199" customFormat="1" ht="12" hidden="1" customHeight="1">
      <c r="A6692" s="198"/>
    </row>
    <row r="6693" spans="1:1" s="199" customFormat="1" ht="12" hidden="1" customHeight="1">
      <c r="A6693" s="198"/>
    </row>
    <row r="6694" spans="1:1" s="199" customFormat="1" ht="12" hidden="1" customHeight="1">
      <c r="A6694" s="198"/>
    </row>
    <row r="6695" spans="1:1" s="199" customFormat="1" ht="12" hidden="1" customHeight="1">
      <c r="A6695" s="198"/>
    </row>
    <row r="6696" spans="1:1" s="199" customFormat="1" ht="12" hidden="1" customHeight="1">
      <c r="A6696" s="198"/>
    </row>
    <row r="6697" spans="1:1" s="199" customFormat="1" ht="12" hidden="1" customHeight="1">
      <c r="A6697" s="198"/>
    </row>
    <row r="6698" spans="1:1" s="199" customFormat="1" ht="12" hidden="1" customHeight="1">
      <c r="A6698" s="198"/>
    </row>
    <row r="6699" spans="1:1" s="199" customFormat="1" ht="12" hidden="1" customHeight="1">
      <c r="A6699" s="198"/>
    </row>
    <row r="6700" spans="1:1" s="199" customFormat="1" ht="12" hidden="1" customHeight="1">
      <c r="A6700" s="198"/>
    </row>
    <row r="6701" spans="1:1" s="199" customFormat="1" ht="12" hidden="1" customHeight="1">
      <c r="A6701" s="198"/>
    </row>
    <row r="6702" spans="1:1" s="199" customFormat="1" ht="12" hidden="1" customHeight="1">
      <c r="A6702" s="198"/>
    </row>
    <row r="6703" spans="1:1" s="199" customFormat="1" ht="12" hidden="1" customHeight="1">
      <c r="A6703" s="198"/>
    </row>
    <row r="6704" spans="1:1" s="199" customFormat="1" ht="12" hidden="1" customHeight="1">
      <c r="A6704" s="198"/>
    </row>
    <row r="6705" spans="1:1" s="199" customFormat="1" ht="12" hidden="1" customHeight="1">
      <c r="A6705" s="198"/>
    </row>
    <row r="6706" spans="1:1" s="199" customFormat="1" ht="12" hidden="1" customHeight="1">
      <c r="A6706" s="198"/>
    </row>
    <row r="6707" spans="1:1" s="199" customFormat="1" ht="12" hidden="1" customHeight="1">
      <c r="A6707" s="198"/>
    </row>
    <row r="6708" spans="1:1" s="199" customFormat="1" ht="12" hidden="1" customHeight="1">
      <c r="A6708" s="198"/>
    </row>
    <row r="6709" spans="1:1" s="199" customFormat="1" ht="12" hidden="1" customHeight="1">
      <c r="A6709" s="198"/>
    </row>
    <row r="6710" spans="1:1" s="199" customFormat="1" ht="12" hidden="1" customHeight="1">
      <c r="A6710" s="198"/>
    </row>
    <row r="6711" spans="1:1" s="199" customFormat="1" ht="12" hidden="1" customHeight="1">
      <c r="A6711" s="198"/>
    </row>
    <row r="6712" spans="1:1" s="199" customFormat="1" ht="12" hidden="1" customHeight="1">
      <c r="A6712" s="198"/>
    </row>
    <row r="6713" spans="1:1" s="199" customFormat="1" ht="12" hidden="1" customHeight="1">
      <c r="A6713" s="198"/>
    </row>
    <row r="6714" spans="1:1" s="199" customFormat="1" ht="12" hidden="1" customHeight="1">
      <c r="A6714" s="198"/>
    </row>
    <row r="6715" spans="1:1" s="199" customFormat="1" ht="12" hidden="1" customHeight="1">
      <c r="A6715" s="198"/>
    </row>
    <row r="6716" spans="1:1" s="199" customFormat="1" ht="12" hidden="1" customHeight="1">
      <c r="A6716" s="198"/>
    </row>
    <row r="6717" spans="1:1" s="199" customFormat="1" ht="12" hidden="1" customHeight="1">
      <c r="A6717" s="198"/>
    </row>
    <row r="6718" spans="1:1" s="199" customFormat="1" ht="12" hidden="1" customHeight="1">
      <c r="A6718" s="198"/>
    </row>
    <row r="6719" spans="1:1" s="199" customFormat="1" ht="12" hidden="1" customHeight="1">
      <c r="A6719" s="198"/>
    </row>
    <row r="6720" spans="1:1" s="199" customFormat="1" ht="12" hidden="1" customHeight="1">
      <c r="A6720" s="198"/>
    </row>
    <row r="6721" spans="1:1" s="199" customFormat="1" ht="12" hidden="1" customHeight="1">
      <c r="A6721" s="198"/>
    </row>
    <row r="6722" spans="1:1" s="199" customFormat="1" ht="12" hidden="1" customHeight="1">
      <c r="A6722" s="198"/>
    </row>
    <row r="6723" spans="1:1" s="199" customFormat="1" ht="12" hidden="1" customHeight="1">
      <c r="A6723" s="198"/>
    </row>
    <row r="6724" spans="1:1" s="199" customFormat="1" ht="12" hidden="1" customHeight="1">
      <c r="A6724" s="198"/>
    </row>
    <row r="6725" spans="1:1" s="199" customFormat="1" ht="12" hidden="1" customHeight="1">
      <c r="A6725" s="198"/>
    </row>
    <row r="6726" spans="1:1" s="199" customFormat="1" ht="12" hidden="1" customHeight="1">
      <c r="A6726" s="198"/>
    </row>
    <row r="6727" spans="1:1" s="199" customFormat="1" ht="12" hidden="1" customHeight="1">
      <c r="A6727" s="198"/>
    </row>
    <row r="6728" spans="1:1" s="199" customFormat="1" ht="12" hidden="1" customHeight="1">
      <c r="A6728" s="198"/>
    </row>
    <row r="6729" spans="1:1" s="199" customFormat="1" ht="12" hidden="1" customHeight="1">
      <c r="A6729" s="198"/>
    </row>
    <row r="6730" spans="1:1" s="199" customFormat="1" ht="12" hidden="1" customHeight="1">
      <c r="A6730" s="198"/>
    </row>
    <row r="6731" spans="1:1" s="199" customFormat="1" ht="12" hidden="1" customHeight="1">
      <c r="A6731" s="198"/>
    </row>
    <row r="6732" spans="1:1" s="199" customFormat="1" ht="12" hidden="1" customHeight="1">
      <c r="A6732" s="198"/>
    </row>
    <row r="6733" spans="1:1" s="199" customFormat="1" ht="12" hidden="1" customHeight="1">
      <c r="A6733" s="198"/>
    </row>
    <row r="6734" spans="1:1" s="199" customFormat="1" ht="12" hidden="1" customHeight="1">
      <c r="A6734" s="198"/>
    </row>
    <row r="6735" spans="1:1" s="199" customFormat="1" ht="12" hidden="1" customHeight="1">
      <c r="A6735" s="198"/>
    </row>
    <row r="6736" spans="1:1" s="199" customFormat="1" ht="12" hidden="1" customHeight="1">
      <c r="A6736" s="198"/>
    </row>
    <row r="6737" spans="1:1" s="199" customFormat="1" ht="12" hidden="1" customHeight="1">
      <c r="A6737" s="198"/>
    </row>
    <row r="6738" spans="1:1" s="199" customFormat="1" ht="12" hidden="1" customHeight="1">
      <c r="A6738" s="198"/>
    </row>
    <row r="6739" spans="1:1" s="199" customFormat="1" ht="12" hidden="1" customHeight="1">
      <c r="A6739" s="198"/>
    </row>
    <row r="6740" spans="1:1" s="199" customFormat="1" ht="12" hidden="1" customHeight="1">
      <c r="A6740" s="198"/>
    </row>
    <row r="6741" spans="1:1" s="199" customFormat="1" ht="12" hidden="1" customHeight="1">
      <c r="A6741" s="198"/>
    </row>
    <row r="6742" spans="1:1" s="199" customFormat="1" ht="12" hidden="1" customHeight="1">
      <c r="A6742" s="198"/>
    </row>
    <row r="6743" spans="1:1" s="199" customFormat="1" ht="12" hidden="1" customHeight="1">
      <c r="A6743" s="198"/>
    </row>
    <row r="6744" spans="1:1" s="199" customFormat="1" ht="12" hidden="1" customHeight="1">
      <c r="A6744" s="198"/>
    </row>
    <row r="6745" spans="1:1" s="199" customFormat="1" ht="12" hidden="1" customHeight="1">
      <c r="A6745" s="198"/>
    </row>
    <row r="6746" spans="1:1" s="199" customFormat="1" ht="12" hidden="1" customHeight="1">
      <c r="A6746" s="198"/>
    </row>
    <row r="6747" spans="1:1" s="199" customFormat="1" ht="12" hidden="1" customHeight="1">
      <c r="A6747" s="198"/>
    </row>
    <row r="6748" spans="1:1" s="199" customFormat="1" ht="12" hidden="1" customHeight="1">
      <c r="A6748" s="198"/>
    </row>
    <row r="6749" spans="1:1" s="199" customFormat="1" ht="12" hidden="1" customHeight="1">
      <c r="A6749" s="198"/>
    </row>
    <row r="6750" spans="1:1" s="199" customFormat="1" ht="12" hidden="1" customHeight="1">
      <c r="A6750" s="198"/>
    </row>
    <row r="6751" spans="1:1" s="199" customFormat="1" ht="12" hidden="1" customHeight="1">
      <c r="A6751" s="198"/>
    </row>
    <row r="6752" spans="1:1" s="199" customFormat="1" ht="12" hidden="1" customHeight="1">
      <c r="A6752" s="198"/>
    </row>
    <row r="6753" spans="1:1" s="199" customFormat="1" ht="12" hidden="1" customHeight="1">
      <c r="A6753" s="198"/>
    </row>
    <row r="6754" spans="1:1" s="199" customFormat="1" ht="12" hidden="1" customHeight="1">
      <c r="A6754" s="198"/>
    </row>
    <row r="6755" spans="1:1" s="199" customFormat="1" ht="12" hidden="1" customHeight="1">
      <c r="A6755" s="198"/>
    </row>
    <row r="6756" spans="1:1" s="199" customFormat="1" ht="12" hidden="1" customHeight="1">
      <c r="A6756" s="198"/>
    </row>
    <row r="6757" spans="1:1" s="199" customFormat="1" ht="12" hidden="1" customHeight="1">
      <c r="A6757" s="198"/>
    </row>
    <row r="6758" spans="1:1" s="199" customFormat="1" ht="12" hidden="1" customHeight="1">
      <c r="A6758" s="198"/>
    </row>
    <row r="6759" spans="1:1" s="199" customFormat="1" ht="12" hidden="1" customHeight="1">
      <c r="A6759" s="198"/>
    </row>
    <row r="6760" spans="1:1" s="199" customFormat="1" ht="12" hidden="1" customHeight="1">
      <c r="A6760" s="198"/>
    </row>
    <row r="6761" spans="1:1" s="199" customFormat="1" ht="12" hidden="1" customHeight="1">
      <c r="A6761" s="198"/>
    </row>
    <row r="6762" spans="1:1" s="199" customFormat="1" ht="12" hidden="1" customHeight="1">
      <c r="A6762" s="198"/>
    </row>
    <row r="6763" spans="1:1" s="199" customFormat="1" ht="12" hidden="1" customHeight="1">
      <c r="A6763" s="198"/>
    </row>
    <row r="6764" spans="1:1" s="199" customFormat="1" ht="12" hidden="1" customHeight="1">
      <c r="A6764" s="198"/>
    </row>
    <row r="6765" spans="1:1" s="199" customFormat="1" ht="12" hidden="1" customHeight="1">
      <c r="A6765" s="198"/>
    </row>
    <row r="6766" spans="1:1" s="199" customFormat="1" ht="12" hidden="1" customHeight="1">
      <c r="A6766" s="198"/>
    </row>
    <row r="6767" spans="1:1" s="199" customFormat="1" ht="12" hidden="1" customHeight="1">
      <c r="A6767" s="198"/>
    </row>
    <row r="6768" spans="1:1" s="199" customFormat="1" ht="12" hidden="1" customHeight="1">
      <c r="A6768" s="198"/>
    </row>
    <row r="6769" spans="1:1" s="199" customFormat="1" ht="12" hidden="1" customHeight="1">
      <c r="A6769" s="198"/>
    </row>
    <row r="6770" spans="1:1" s="199" customFormat="1" ht="12" hidden="1" customHeight="1">
      <c r="A6770" s="198"/>
    </row>
    <row r="6771" spans="1:1" s="199" customFormat="1" ht="12" hidden="1" customHeight="1">
      <c r="A6771" s="198"/>
    </row>
    <row r="6772" spans="1:1" s="199" customFormat="1" ht="12" hidden="1" customHeight="1">
      <c r="A6772" s="198"/>
    </row>
    <row r="6773" spans="1:1" s="199" customFormat="1" ht="12" hidden="1" customHeight="1">
      <c r="A6773" s="198"/>
    </row>
    <row r="6774" spans="1:1" s="199" customFormat="1" ht="12" hidden="1" customHeight="1">
      <c r="A6774" s="198"/>
    </row>
    <row r="6775" spans="1:1" s="199" customFormat="1" ht="12" hidden="1" customHeight="1">
      <c r="A6775" s="198"/>
    </row>
    <row r="6776" spans="1:1" s="199" customFormat="1" ht="12" hidden="1" customHeight="1">
      <c r="A6776" s="198"/>
    </row>
    <row r="6777" spans="1:1" s="199" customFormat="1" ht="12" hidden="1" customHeight="1">
      <c r="A6777" s="198"/>
    </row>
    <row r="6778" spans="1:1" s="199" customFormat="1" ht="12" hidden="1" customHeight="1">
      <c r="A6778" s="198"/>
    </row>
    <row r="6779" spans="1:1" s="199" customFormat="1" ht="12" hidden="1" customHeight="1">
      <c r="A6779" s="198"/>
    </row>
    <row r="6780" spans="1:1" s="199" customFormat="1" ht="12" hidden="1" customHeight="1">
      <c r="A6780" s="198"/>
    </row>
    <row r="6781" spans="1:1" s="199" customFormat="1" ht="12" hidden="1" customHeight="1">
      <c r="A6781" s="198"/>
    </row>
    <row r="6782" spans="1:1" s="199" customFormat="1" ht="12" hidden="1" customHeight="1">
      <c r="A6782" s="198"/>
    </row>
    <row r="6783" spans="1:1" s="199" customFormat="1" ht="12" hidden="1" customHeight="1">
      <c r="A6783" s="198"/>
    </row>
    <row r="6784" spans="1:1" s="199" customFormat="1" ht="12" hidden="1" customHeight="1">
      <c r="A6784" s="198"/>
    </row>
    <row r="6785" spans="1:1" s="199" customFormat="1" ht="12" hidden="1" customHeight="1">
      <c r="A6785" s="198"/>
    </row>
    <row r="6786" spans="1:1" s="199" customFormat="1" ht="12" hidden="1" customHeight="1">
      <c r="A6786" s="198"/>
    </row>
    <row r="6787" spans="1:1" s="199" customFormat="1" ht="12" hidden="1" customHeight="1">
      <c r="A6787" s="198"/>
    </row>
    <row r="6788" spans="1:1" s="199" customFormat="1" ht="12" hidden="1" customHeight="1">
      <c r="A6788" s="198"/>
    </row>
    <row r="6789" spans="1:1" s="199" customFormat="1" ht="12" hidden="1" customHeight="1">
      <c r="A6789" s="198"/>
    </row>
    <row r="6790" spans="1:1" s="199" customFormat="1" ht="12" hidden="1" customHeight="1">
      <c r="A6790" s="198"/>
    </row>
    <row r="6791" spans="1:1" s="199" customFormat="1" ht="12" hidden="1" customHeight="1">
      <c r="A6791" s="198"/>
    </row>
    <row r="6792" spans="1:1" s="199" customFormat="1" ht="12" hidden="1" customHeight="1">
      <c r="A6792" s="198"/>
    </row>
    <row r="6793" spans="1:1" s="199" customFormat="1" ht="12" hidden="1" customHeight="1">
      <c r="A6793" s="198"/>
    </row>
    <row r="6794" spans="1:1" s="199" customFormat="1" ht="12" hidden="1" customHeight="1">
      <c r="A6794" s="198"/>
    </row>
    <row r="6795" spans="1:1" s="199" customFormat="1" ht="12" hidden="1" customHeight="1">
      <c r="A6795" s="198"/>
    </row>
    <row r="6796" spans="1:1" s="199" customFormat="1" ht="12" hidden="1" customHeight="1">
      <c r="A6796" s="198"/>
    </row>
    <row r="6797" spans="1:1" s="199" customFormat="1" ht="12" hidden="1" customHeight="1">
      <c r="A6797" s="198"/>
    </row>
    <row r="6798" spans="1:1" s="199" customFormat="1" ht="12" hidden="1" customHeight="1">
      <c r="A6798" s="198"/>
    </row>
    <row r="6799" spans="1:1" s="199" customFormat="1" ht="12" hidden="1" customHeight="1">
      <c r="A6799" s="198"/>
    </row>
    <row r="6800" spans="1:1" s="199" customFormat="1" ht="12" hidden="1" customHeight="1">
      <c r="A6800" s="198"/>
    </row>
    <row r="6801" spans="1:1" s="199" customFormat="1" ht="12" hidden="1" customHeight="1">
      <c r="A6801" s="198"/>
    </row>
    <row r="6802" spans="1:1" s="199" customFormat="1" ht="12" hidden="1" customHeight="1">
      <c r="A6802" s="198"/>
    </row>
    <row r="6803" spans="1:1" s="199" customFormat="1" ht="12" hidden="1" customHeight="1">
      <c r="A6803" s="198"/>
    </row>
    <row r="6804" spans="1:1" s="199" customFormat="1" ht="12" hidden="1" customHeight="1">
      <c r="A6804" s="198"/>
    </row>
    <row r="6805" spans="1:1" s="199" customFormat="1" ht="12" hidden="1" customHeight="1">
      <c r="A6805" s="198"/>
    </row>
    <row r="6806" spans="1:1" s="199" customFormat="1" ht="12" hidden="1" customHeight="1">
      <c r="A6806" s="198"/>
    </row>
    <row r="6807" spans="1:1" s="199" customFormat="1" ht="12" hidden="1" customHeight="1">
      <c r="A6807" s="198"/>
    </row>
    <row r="6808" spans="1:1" s="199" customFormat="1" ht="12" hidden="1" customHeight="1">
      <c r="A6808" s="198"/>
    </row>
    <row r="6809" spans="1:1" s="199" customFormat="1" ht="12" hidden="1" customHeight="1">
      <c r="A6809" s="198"/>
    </row>
    <row r="6810" spans="1:1" s="199" customFormat="1" ht="12" hidden="1" customHeight="1">
      <c r="A6810" s="198"/>
    </row>
    <row r="6811" spans="1:1" s="199" customFormat="1" ht="12" hidden="1" customHeight="1">
      <c r="A6811" s="198"/>
    </row>
    <row r="6812" spans="1:1" s="199" customFormat="1" ht="12" hidden="1" customHeight="1">
      <c r="A6812" s="198"/>
    </row>
    <row r="6813" spans="1:1" s="199" customFormat="1" ht="12" hidden="1" customHeight="1">
      <c r="A6813" s="198"/>
    </row>
    <row r="6814" spans="1:1" s="199" customFormat="1" ht="12" hidden="1" customHeight="1">
      <c r="A6814" s="198"/>
    </row>
    <row r="6815" spans="1:1" s="199" customFormat="1" ht="12" hidden="1" customHeight="1">
      <c r="A6815" s="198"/>
    </row>
    <row r="6816" spans="1:1" s="199" customFormat="1" ht="12" hidden="1" customHeight="1">
      <c r="A6816" s="198"/>
    </row>
    <row r="6817" spans="1:1" s="199" customFormat="1" ht="12" hidden="1" customHeight="1">
      <c r="A6817" s="198"/>
    </row>
    <row r="6818" spans="1:1" s="199" customFormat="1" ht="12" hidden="1" customHeight="1">
      <c r="A6818" s="198"/>
    </row>
    <row r="6819" spans="1:1" s="199" customFormat="1" ht="12" hidden="1" customHeight="1">
      <c r="A6819" s="198"/>
    </row>
    <row r="6820" spans="1:1" s="199" customFormat="1" ht="12" hidden="1" customHeight="1">
      <c r="A6820" s="198"/>
    </row>
    <row r="6821" spans="1:1" s="199" customFormat="1" ht="12" hidden="1" customHeight="1">
      <c r="A6821" s="198"/>
    </row>
    <row r="6822" spans="1:1" s="199" customFormat="1" ht="12" hidden="1" customHeight="1">
      <c r="A6822" s="198"/>
    </row>
    <row r="6823" spans="1:1" s="199" customFormat="1" ht="12" hidden="1" customHeight="1">
      <c r="A6823" s="198"/>
    </row>
    <row r="6824" spans="1:1" s="199" customFormat="1" ht="12" hidden="1" customHeight="1">
      <c r="A6824" s="198"/>
    </row>
    <row r="6825" spans="1:1" s="199" customFormat="1" ht="12" hidden="1" customHeight="1">
      <c r="A6825" s="198"/>
    </row>
    <row r="6826" spans="1:1" s="199" customFormat="1" ht="12" hidden="1" customHeight="1">
      <c r="A6826" s="198"/>
    </row>
    <row r="6827" spans="1:1" s="199" customFormat="1" ht="12" hidden="1" customHeight="1">
      <c r="A6827" s="198"/>
    </row>
    <row r="6828" spans="1:1" s="199" customFormat="1" ht="12" hidden="1" customHeight="1">
      <c r="A6828" s="198"/>
    </row>
    <row r="6829" spans="1:1" s="199" customFormat="1" ht="12" hidden="1" customHeight="1">
      <c r="A6829" s="198"/>
    </row>
    <row r="6830" spans="1:1" s="199" customFormat="1" ht="12" hidden="1" customHeight="1">
      <c r="A6830" s="198"/>
    </row>
    <row r="6831" spans="1:1" s="199" customFormat="1" ht="12" hidden="1" customHeight="1">
      <c r="A6831" s="198"/>
    </row>
    <row r="6832" spans="1:1" s="199" customFormat="1" ht="12" hidden="1" customHeight="1">
      <c r="A6832" s="198"/>
    </row>
    <row r="6833" spans="1:1" s="199" customFormat="1" ht="12" hidden="1" customHeight="1">
      <c r="A6833" s="198"/>
    </row>
    <row r="6834" spans="1:1" s="199" customFormat="1" ht="12" hidden="1" customHeight="1">
      <c r="A6834" s="198"/>
    </row>
    <row r="6835" spans="1:1" s="199" customFormat="1" ht="12" hidden="1" customHeight="1">
      <c r="A6835" s="198"/>
    </row>
    <row r="6836" spans="1:1" s="199" customFormat="1" ht="12" hidden="1" customHeight="1">
      <c r="A6836" s="198"/>
    </row>
    <row r="6837" spans="1:1" s="199" customFormat="1" ht="12" hidden="1" customHeight="1">
      <c r="A6837" s="198"/>
    </row>
    <row r="6838" spans="1:1" s="199" customFormat="1" ht="12" hidden="1" customHeight="1">
      <c r="A6838" s="198"/>
    </row>
    <row r="6839" spans="1:1" s="199" customFormat="1" ht="12" hidden="1" customHeight="1">
      <c r="A6839" s="198"/>
    </row>
    <row r="6840" spans="1:1" s="199" customFormat="1" ht="12" hidden="1" customHeight="1">
      <c r="A6840" s="198"/>
    </row>
    <row r="6841" spans="1:1" s="199" customFormat="1" ht="12" hidden="1" customHeight="1">
      <c r="A6841" s="198"/>
    </row>
    <row r="6842" spans="1:1" s="199" customFormat="1" ht="12" hidden="1" customHeight="1">
      <c r="A6842" s="198"/>
    </row>
    <row r="6843" spans="1:1" s="199" customFormat="1" ht="12" hidden="1" customHeight="1">
      <c r="A6843" s="198"/>
    </row>
    <row r="6844" spans="1:1" s="199" customFormat="1" ht="12" hidden="1" customHeight="1">
      <c r="A6844" s="198"/>
    </row>
    <row r="6845" spans="1:1" s="199" customFormat="1" ht="12" hidden="1" customHeight="1">
      <c r="A6845" s="198"/>
    </row>
    <row r="6846" spans="1:1" s="199" customFormat="1" ht="12" hidden="1" customHeight="1">
      <c r="A6846" s="198"/>
    </row>
    <row r="6847" spans="1:1" s="199" customFormat="1" ht="12" hidden="1" customHeight="1">
      <c r="A6847" s="198"/>
    </row>
    <row r="6848" spans="1:1" s="199" customFormat="1" ht="12" hidden="1" customHeight="1">
      <c r="A6848" s="198"/>
    </row>
    <row r="6849" spans="1:1" s="199" customFormat="1" ht="12" hidden="1" customHeight="1">
      <c r="A6849" s="198"/>
    </row>
    <row r="6850" spans="1:1" s="199" customFormat="1" ht="12" hidden="1" customHeight="1">
      <c r="A6850" s="198"/>
    </row>
    <row r="6851" spans="1:1" s="199" customFormat="1" ht="12" hidden="1" customHeight="1">
      <c r="A6851" s="198"/>
    </row>
    <row r="6852" spans="1:1" s="199" customFormat="1" ht="12" hidden="1" customHeight="1">
      <c r="A6852" s="198"/>
    </row>
    <row r="6853" spans="1:1" s="199" customFormat="1" ht="12" hidden="1" customHeight="1">
      <c r="A6853" s="198"/>
    </row>
    <row r="6854" spans="1:1" s="199" customFormat="1" ht="12" hidden="1" customHeight="1">
      <c r="A6854" s="198"/>
    </row>
    <row r="6855" spans="1:1" s="199" customFormat="1" ht="12" hidden="1" customHeight="1">
      <c r="A6855" s="198"/>
    </row>
    <row r="6856" spans="1:1" s="199" customFormat="1" ht="12" hidden="1" customHeight="1">
      <c r="A6856" s="198"/>
    </row>
    <row r="6857" spans="1:1" s="199" customFormat="1" ht="12" hidden="1" customHeight="1">
      <c r="A6857" s="198"/>
    </row>
    <row r="6858" spans="1:1" s="199" customFormat="1" ht="12" hidden="1" customHeight="1">
      <c r="A6858" s="198"/>
    </row>
    <row r="6859" spans="1:1" s="199" customFormat="1" ht="12" hidden="1" customHeight="1">
      <c r="A6859" s="198"/>
    </row>
    <row r="6860" spans="1:1" s="199" customFormat="1" ht="12" hidden="1" customHeight="1">
      <c r="A6860" s="198"/>
    </row>
    <row r="6861" spans="1:1" s="199" customFormat="1" ht="12" hidden="1" customHeight="1">
      <c r="A6861" s="198"/>
    </row>
    <row r="6862" spans="1:1" s="199" customFormat="1" ht="12" hidden="1" customHeight="1">
      <c r="A6862" s="198"/>
    </row>
    <row r="6863" spans="1:1" s="199" customFormat="1" ht="12" hidden="1" customHeight="1">
      <c r="A6863" s="198"/>
    </row>
    <row r="6864" spans="1:1" s="199" customFormat="1" ht="12" hidden="1" customHeight="1">
      <c r="A6864" s="198"/>
    </row>
    <row r="6865" spans="1:1" s="199" customFormat="1" ht="12" hidden="1" customHeight="1">
      <c r="A6865" s="198"/>
    </row>
    <row r="6866" spans="1:1" s="199" customFormat="1" ht="12" hidden="1" customHeight="1">
      <c r="A6866" s="198"/>
    </row>
    <row r="6867" spans="1:1" s="199" customFormat="1" ht="12" hidden="1" customHeight="1">
      <c r="A6867" s="198"/>
    </row>
    <row r="6868" spans="1:1" s="199" customFormat="1" ht="12" hidden="1" customHeight="1">
      <c r="A6868" s="198"/>
    </row>
    <row r="6869" spans="1:1" s="199" customFormat="1" ht="12" hidden="1" customHeight="1">
      <c r="A6869" s="198"/>
    </row>
    <row r="6870" spans="1:1" s="199" customFormat="1" ht="12" hidden="1" customHeight="1">
      <c r="A6870" s="198"/>
    </row>
    <row r="6871" spans="1:1" s="199" customFormat="1" ht="12" hidden="1" customHeight="1">
      <c r="A6871" s="198"/>
    </row>
    <row r="6872" spans="1:1" s="199" customFormat="1" ht="12" hidden="1" customHeight="1">
      <c r="A6872" s="198"/>
    </row>
    <row r="6873" spans="1:1" s="199" customFormat="1" ht="12" hidden="1" customHeight="1">
      <c r="A6873" s="198"/>
    </row>
    <row r="6874" spans="1:1" s="199" customFormat="1" ht="12" hidden="1" customHeight="1">
      <c r="A6874" s="198"/>
    </row>
    <row r="6875" spans="1:1" s="199" customFormat="1" ht="12" hidden="1" customHeight="1">
      <c r="A6875" s="198"/>
    </row>
    <row r="6876" spans="1:1" s="199" customFormat="1" ht="12" hidden="1" customHeight="1">
      <c r="A6876" s="198"/>
    </row>
    <row r="6877" spans="1:1" s="199" customFormat="1" ht="12" hidden="1" customHeight="1">
      <c r="A6877" s="198"/>
    </row>
    <row r="6878" spans="1:1" s="199" customFormat="1" ht="12" hidden="1" customHeight="1">
      <c r="A6878" s="198"/>
    </row>
    <row r="6879" spans="1:1" s="199" customFormat="1" ht="12" hidden="1" customHeight="1">
      <c r="A6879" s="198"/>
    </row>
    <row r="6880" spans="1:1" s="199" customFormat="1" ht="12" hidden="1" customHeight="1">
      <c r="A6880" s="198"/>
    </row>
    <row r="6881" spans="1:1" s="199" customFormat="1" ht="12" hidden="1" customHeight="1">
      <c r="A6881" s="198"/>
    </row>
    <row r="6882" spans="1:1" s="199" customFormat="1" ht="12" hidden="1" customHeight="1">
      <c r="A6882" s="198"/>
    </row>
    <row r="6883" spans="1:1" s="199" customFormat="1" ht="12" hidden="1" customHeight="1">
      <c r="A6883" s="198"/>
    </row>
    <row r="6884" spans="1:1" s="199" customFormat="1" ht="12" hidden="1" customHeight="1">
      <c r="A6884" s="198"/>
    </row>
    <row r="6885" spans="1:1" s="199" customFormat="1" ht="12" hidden="1" customHeight="1">
      <c r="A6885" s="198"/>
    </row>
    <row r="6886" spans="1:1" s="199" customFormat="1" ht="12" hidden="1" customHeight="1">
      <c r="A6886" s="198"/>
    </row>
    <row r="6887" spans="1:1" s="199" customFormat="1" ht="12" hidden="1" customHeight="1">
      <c r="A6887" s="198"/>
    </row>
    <row r="6888" spans="1:1" s="199" customFormat="1" ht="12" hidden="1" customHeight="1">
      <c r="A6888" s="198"/>
    </row>
    <row r="6889" spans="1:1" s="199" customFormat="1" ht="12" hidden="1" customHeight="1">
      <c r="A6889" s="198"/>
    </row>
    <row r="6890" spans="1:1" s="199" customFormat="1" ht="12" hidden="1" customHeight="1">
      <c r="A6890" s="198"/>
    </row>
    <row r="6891" spans="1:1" s="199" customFormat="1" ht="12" hidden="1" customHeight="1">
      <c r="A6891" s="198"/>
    </row>
    <row r="6892" spans="1:1" s="199" customFormat="1" ht="12" hidden="1" customHeight="1">
      <c r="A6892" s="198"/>
    </row>
    <row r="6893" spans="1:1" s="199" customFormat="1" ht="12" hidden="1" customHeight="1">
      <c r="A6893" s="198"/>
    </row>
    <row r="6894" spans="1:1" s="199" customFormat="1" ht="12" hidden="1" customHeight="1">
      <c r="A6894" s="198"/>
    </row>
    <row r="6895" spans="1:1" s="199" customFormat="1" ht="12" hidden="1" customHeight="1">
      <c r="A6895" s="198"/>
    </row>
    <row r="6896" spans="1:1" s="199" customFormat="1" ht="12" hidden="1" customHeight="1">
      <c r="A6896" s="198"/>
    </row>
    <row r="6897" spans="1:1" s="199" customFormat="1" ht="12" hidden="1" customHeight="1">
      <c r="A6897" s="198"/>
    </row>
    <row r="6898" spans="1:1" s="199" customFormat="1" ht="12" hidden="1" customHeight="1">
      <c r="A6898" s="198"/>
    </row>
    <row r="6899" spans="1:1" s="199" customFormat="1" ht="12" hidden="1" customHeight="1">
      <c r="A6899" s="198"/>
    </row>
    <row r="6900" spans="1:1" s="199" customFormat="1" ht="12" hidden="1" customHeight="1">
      <c r="A6900" s="198"/>
    </row>
    <row r="6901" spans="1:1" s="199" customFormat="1" ht="12" hidden="1" customHeight="1">
      <c r="A6901" s="198"/>
    </row>
    <row r="6902" spans="1:1" s="199" customFormat="1" ht="12" hidden="1" customHeight="1">
      <c r="A6902" s="198"/>
    </row>
    <row r="6903" spans="1:1" s="199" customFormat="1" ht="12" hidden="1" customHeight="1">
      <c r="A6903" s="198"/>
    </row>
    <row r="6904" spans="1:1" s="199" customFormat="1" ht="12" hidden="1" customHeight="1">
      <c r="A6904" s="198"/>
    </row>
    <row r="6905" spans="1:1" s="199" customFormat="1" ht="12" hidden="1" customHeight="1">
      <c r="A6905" s="198"/>
    </row>
    <row r="6906" spans="1:1" s="199" customFormat="1" ht="12" hidden="1" customHeight="1">
      <c r="A6906" s="198"/>
    </row>
    <row r="6907" spans="1:1" s="199" customFormat="1" ht="12" hidden="1" customHeight="1">
      <c r="A6907" s="198"/>
    </row>
    <row r="6908" spans="1:1" s="199" customFormat="1" ht="12" hidden="1" customHeight="1">
      <c r="A6908" s="198"/>
    </row>
    <row r="6909" spans="1:1" s="199" customFormat="1" ht="12" hidden="1" customHeight="1">
      <c r="A6909" s="198"/>
    </row>
    <row r="6910" spans="1:1" s="199" customFormat="1" ht="12" hidden="1" customHeight="1">
      <c r="A6910" s="198"/>
    </row>
    <row r="6911" spans="1:1" s="199" customFormat="1" ht="12" hidden="1" customHeight="1">
      <c r="A6911" s="198"/>
    </row>
    <row r="6912" spans="1:1" s="199" customFormat="1" ht="12" hidden="1" customHeight="1">
      <c r="A6912" s="198"/>
    </row>
    <row r="6913" spans="1:1" s="199" customFormat="1" ht="12" hidden="1" customHeight="1">
      <c r="A6913" s="198"/>
    </row>
    <row r="6914" spans="1:1" s="199" customFormat="1" ht="12" hidden="1" customHeight="1">
      <c r="A6914" s="198"/>
    </row>
    <row r="6915" spans="1:1" s="199" customFormat="1" ht="12" hidden="1" customHeight="1">
      <c r="A6915" s="198"/>
    </row>
    <row r="6916" spans="1:1" s="199" customFormat="1" ht="12" hidden="1" customHeight="1">
      <c r="A6916" s="198"/>
    </row>
    <row r="6917" spans="1:1" s="199" customFormat="1" ht="12" hidden="1" customHeight="1">
      <c r="A6917" s="198"/>
    </row>
    <row r="6918" spans="1:1" s="199" customFormat="1" ht="12" hidden="1" customHeight="1">
      <c r="A6918" s="198"/>
    </row>
    <row r="6919" spans="1:1" s="199" customFormat="1" ht="12" hidden="1" customHeight="1">
      <c r="A6919" s="198"/>
    </row>
    <row r="6920" spans="1:1" s="199" customFormat="1" ht="12" hidden="1" customHeight="1">
      <c r="A6920" s="198"/>
    </row>
    <row r="6921" spans="1:1" s="199" customFormat="1" ht="12" hidden="1" customHeight="1">
      <c r="A6921" s="198"/>
    </row>
    <row r="6922" spans="1:1" s="199" customFormat="1" ht="12" hidden="1" customHeight="1">
      <c r="A6922" s="198"/>
    </row>
    <row r="6923" spans="1:1" s="199" customFormat="1" ht="12" hidden="1" customHeight="1">
      <c r="A6923" s="198"/>
    </row>
    <row r="6924" spans="1:1" s="199" customFormat="1" ht="12" hidden="1" customHeight="1">
      <c r="A6924" s="198"/>
    </row>
    <row r="6925" spans="1:1" s="199" customFormat="1" ht="12" hidden="1" customHeight="1">
      <c r="A6925" s="198"/>
    </row>
    <row r="6926" spans="1:1" s="199" customFormat="1" ht="12" hidden="1" customHeight="1">
      <c r="A6926" s="198"/>
    </row>
    <row r="6927" spans="1:1" s="199" customFormat="1" ht="12" hidden="1" customHeight="1">
      <c r="A6927" s="198"/>
    </row>
    <row r="6928" spans="1:1" s="199" customFormat="1" ht="12" hidden="1" customHeight="1">
      <c r="A6928" s="198"/>
    </row>
    <row r="6929" spans="1:1" s="199" customFormat="1" ht="12" hidden="1" customHeight="1">
      <c r="A6929" s="198"/>
    </row>
    <row r="6930" spans="1:1" s="199" customFormat="1" ht="12" hidden="1" customHeight="1">
      <c r="A6930" s="198"/>
    </row>
    <row r="6931" spans="1:1" s="199" customFormat="1" ht="12" hidden="1" customHeight="1">
      <c r="A6931" s="198"/>
    </row>
    <row r="6932" spans="1:1" s="199" customFormat="1" ht="12" hidden="1" customHeight="1">
      <c r="A6932" s="198"/>
    </row>
    <row r="6933" spans="1:1" s="199" customFormat="1" ht="12" hidden="1" customHeight="1">
      <c r="A6933" s="198"/>
    </row>
    <row r="6934" spans="1:1" s="199" customFormat="1" ht="12" hidden="1" customHeight="1">
      <c r="A6934" s="198"/>
    </row>
    <row r="6935" spans="1:1" s="199" customFormat="1" ht="12" hidden="1" customHeight="1">
      <c r="A6935" s="198"/>
    </row>
    <row r="6936" spans="1:1" s="199" customFormat="1" ht="12" hidden="1" customHeight="1">
      <c r="A6936" s="198"/>
    </row>
    <row r="6937" spans="1:1" s="199" customFormat="1" ht="12" hidden="1" customHeight="1">
      <c r="A6937" s="198"/>
    </row>
    <row r="6938" spans="1:1" s="199" customFormat="1" ht="12" hidden="1" customHeight="1">
      <c r="A6938" s="198"/>
    </row>
    <row r="6939" spans="1:1" s="199" customFormat="1" ht="12" hidden="1" customHeight="1">
      <c r="A6939" s="198"/>
    </row>
    <row r="6940" spans="1:1" s="199" customFormat="1" ht="12" hidden="1" customHeight="1">
      <c r="A6940" s="198"/>
    </row>
    <row r="6941" spans="1:1" s="199" customFormat="1" ht="12" hidden="1" customHeight="1">
      <c r="A6941" s="198"/>
    </row>
    <row r="6942" spans="1:1" s="199" customFormat="1" ht="12" hidden="1" customHeight="1">
      <c r="A6942" s="198"/>
    </row>
    <row r="6943" spans="1:1" s="199" customFormat="1" ht="12" hidden="1" customHeight="1">
      <c r="A6943" s="198"/>
    </row>
    <row r="6944" spans="1:1" s="199" customFormat="1" ht="12" hidden="1" customHeight="1">
      <c r="A6944" s="198"/>
    </row>
    <row r="6945" spans="1:1" s="199" customFormat="1" ht="12" hidden="1" customHeight="1">
      <c r="A6945" s="198"/>
    </row>
    <row r="6946" spans="1:1" s="199" customFormat="1" ht="12" hidden="1" customHeight="1">
      <c r="A6946" s="198"/>
    </row>
    <row r="6947" spans="1:1" s="199" customFormat="1" ht="12" hidden="1" customHeight="1">
      <c r="A6947" s="198"/>
    </row>
    <row r="6948" spans="1:1" s="199" customFormat="1" ht="12" hidden="1" customHeight="1">
      <c r="A6948" s="198"/>
    </row>
    <row r="6949" spans="1:1" s="199" customFormat="1" ht="12" hidden="1" customHeight="1">
      <c r="A6949" s="198"/>
    </row>
    <row r="6950" spans="1:1" s="199" customFormat="1" ht="12" hidden="1" customHeight="1">
      <c r="A6950" s="198"/>
    </row>
    <row r="6951" spans="1:1" s="199" customFormat="1" ht="12" hidden="1" customHeight="1">
      <c r="A6951" s="198"/>
    </row>
    <row r="6952" spans="1:1" s="199" customFormat="1" ht="12" hidden="1" customHeight="1">
      <c r="A6952" s="198"/>
    </row>
    <row r="6953" spans="1:1" s="199" customFormat="1" ht="12" hidden="1" customHeight="1">
      <c r="A6953" s="198"/>
    </row>
    <row r="6954" spans="1:1" s="199" customFormat="1" ht="12" hidden="1" customHeight="1">
      <c r="A6954" s="198"/>
    </row>
    <row r="6955" spans="1:1" s="199" customFormat="1" ht="12" hidden="1" customHeight="1">
      <c r="A6955" s="198"/>
    </row>
    <row r="6956" spans="1:1" s="199" customFormat="1" ht="12" hidden="1" customHeight="1">
      <c r="A6956" s="198"/>
    </row>
    <row r="6957" spans="1:1" s="199" customFormat="1" ht="12" hidden="1" customHeight="1">
      <c r="A6957" s="198"/>
    </row>
    <row r="6958" spans="1:1" s="199" customFormat="1" ht="12" hidden="1" customHeight="1">
      <c r="A6958" s="198"/>
    </row>
    <row r="6959" spans="1:1" s="199" customFormat="1" ht="12" hidden="1" customHeight="1">
      <c r="A6959" s="198"/>
    </row>
    <row r="6960" spans="1:1" s="199" customFormat="1" ht="12" hidden="1" customHeight="1">
      <c r="A6960" s="198"/>
    </row>
    <row r="6961" spans="1:1" s="199" customFormat="1" ht="12" hidden="1" customHeight="1">
      <c r="A6961" s="198"/>
    </row>
    <row r="6962" spans="1:1" s="199" customFormat="1" ht="12" hidden="1" customHeight="1">
      <c r="A6962" s="198"/>
    </row>
    <row r="6963" spans="1:1" s="199" customFormat="1" ht="12" hidden="1" customHeight="1">
      <c r="A6963" s="198"/>
    </row>
    <row r="6964" spans="1:1" s="199" customFormat="1" ht="12" hidden="1" customHeight="1">
      <c r="A6964" s="198"/>
    </row>
    <row r="6965" spans="1:1" s="199" customFormat="1" ht="12" hidden="1" customHeight="1">
      <c r="A6965" s="198"/>
    </row>
    <row r="6966" spans="1:1" s="199" customFormat="1" ht="12" hidden="1" customHeight="1">
      <c r="A6966" s="198"/>
    </row>
    <row r="6967" spans="1:1" s="199" customFormat="1" ht="12" hidden="1" customHeight="1">
      <c r="A6967" s="198"/>
    </row>
    <row r="6968" spans="1:1" s="199" customFormat="1" ht="12" hidden="1" customHeight="1">
      <c r="A6968" s="198"/>
    </row>
    <row r="6969" spans="1:1" s="199" customFormat="1" ht="12" hidden="1" customHeight="1">
      <c r="A6969" s="198"/>
    </row>
    <row r="6970" spans="1:1" s="199" customFormat="1" ht="12" hidden="1" customHeight="1">
      <c r="A6970" s="198"/>
    </row>
    <row r="6971" spans="1:1" s="199" customFormat="1" ht="12" hidden="1" customHeight="1">
      <c r="A6971" s="198"/>
    </row>
    <row r="6972" spans="1:1" s="199" customFormat="1" ht="12" hidden="1" customHeight="1">
      <c r="A6972" s="198"/>
    </row>
    <row r="6973" spans="1:1" s="199" customFormat="1" ht="12" hidden="1" customHeight="1">
      <c r="A6973" s="198"/>
    </row>
    <row r="6974" spans="1:1" s="199" customFormat="1" ht="12" hidden="1" customHeight="1">
      <c r="A6974" s="198"/>
    </row>
    <row r="6975" spans="1:1" s="199" customFormat="1" ht="12" hidden="1" customHeight="1">
      <c r="A6975" s="198"/>
    </row>
    <row r="6976" spans="1:1" s="199" customFormat="1" ht="12" hidden="1" customHeight="1">
      <c r="A6976" s="198"/>
    </row>
    <row r="6977" spans="1:1" s="199" customFormat="1" ht="12" hidden="1" customHeight="1">
      <c r="A6977" s="198"/>
    </row>
    <row r="6978" spans="1:1" s="199" customFormat="1" ht="12" hidden="1" customHeight="1">
      <c r="A6978" s="198"/>
    </row>
    <row r="6979" spans="1:1" s="199" customFormat="1" ht="12" hidden="1" customHeight="1">
      <c r="A6979" s="198"/>
    </row>
    <row r="6980" spans="1:1" s="199" customFormat="1" ht="12" hidden="1" customHeight="1">
      <c r="A6980" s="198"/>
    </row>
    <row r="6981" spans="1:1" s="199" customFormat="1" ht="12" hidden="1" customHeight="1">
      <c r="A6981" s="198"/>
    </row>
    <row r="6982" spans="1:1" s="199" customFormat="1" ht="12" hidden="1" customHeight="1">
      <c r="A6982" s="198"/>
    </row>
    <row r="6983" spans="1:1" s="199" customFormat="1" ht="12" hidden="1" customHeight="1">
      <c r="A6983" s="198"/>
    </row>
    <row r="6984" spans="1:1" s="199" customFormat="1" ht="12" hidden="1" customHeight="1">
      <c r="A6984" s="198"/>
    </row>
    <row r="6985" spans="1:1" s="199" customFormat="1" ht="12" hidden="1" customHeight="1">
      <c r="A6985" s="198"/>
    </row>
    <row r="6986" spans="1:1" s="199" customFormat="1" ht="12" hidden="1" customHeight="1">
      <c r="A6986" s="198"/>
    </row>
    <row r="6987" spans="1:1" s="199" customFormat="1" ht="12" hidden="1" customHeight="1">
      <c r="A6987" s="198"/>
    </row>
    <row r="6988" spans="1:1" s="199" customFormat="1" ht="12" hidden="1" customHeight="1">
      <c r="A6988" s="198"/>
    </row>
    <row r="6989" spans="1:1" s="199" customFormat="1" ht="12" hidden="1" customHeight="1">
      <c r="A6989" s="198"/>
    </row>
    <row r="6990" spans="1:1" s="199" customFormat="1" ht="12" hidden="1" customHeight="1">
      <c r="A6990" s="198"/>
    </row>
    <row r="6991" spans="1:1" s="199" customFormat="1" ht="12" hidden="1" customHeight="1">
      <c r="A6991" s="198"/>
    </row>
    <row r="6992" spans="1:1" s="199" customFormat="1" ht="12" hidden="1" customHeight="1">
      <c r="A6992" s="198"/>
    </row>
    <row r="6993" spans="1:1" s="199" customFormat="1" ht="12" hidden="1" customHeight="1">
      <c r="A6993" s="198"/>
    </row>
    <row r="6994" spans="1:1" s="199" customFormat="1" ht="12" hidden="1" customHeight="1">
      <c r="A6994" s="198"/>
    </row>
    <row r="6995" spans="1:1" s="199" customFormat="1" ht="12" hidden="1" customHeight="1">
      <c r="A6995" s="198"/>
    </row>
    <row r="6996" spans="1:1" s="199" customFormat="1" ht="12" hidden="1" customHeight="1">
      <c r="A6996" s="198"/>
    </row>
    <row r="6997" spans="1:1" s="199" customFormat="1" ht="12" hidden="1" customHeight="1">
      <c r="A6997" s="198"/>
    </row>
    <row r="6998" spans="1:1" s="199" customFormat="1" ht="12" hidden="1" customHeight="1">
      <c r="A6998" s="198"/>
    </row>
    <row r="6999" spans="1:1" s="199" customFormat="1" ht="12" hidden="1" customHeight="1">
      <c r="A6999" s="198"/>
    </row>
    <row r="7000" spans="1:1" s="199" customFormat="1" ht="12" hidden="1" customHeight="1">
      <c r="A7000" s="198"/>
    </row>
    <row r="7001" spans="1:1" s="199" customFormat="1" ht="12" hidden="1" customHeight="1">
      <c r="A7001" s="198"/>
    </row>
    <row r="7002" spans="1:1" s="199" customFormat="1" ht="12" hidden="1" customHeight="1">
      <c r="A7002" s="198"/>
    </row>
    <row r="7003" spans="1:1" s="199" customFormat="1" ht="12" hidden="1" customHeight="1">
      <c r="A7003" s="198"/>
    </row>
    <row r="7004" spans="1:1" s="199" customFormat="1" ht="12" hidden="1" customHeight="1">
      <c r="A7004" s="198"/>
    </row>
    <row r="7005" spans="1:1" s="199" customFormat="1" ht="12" hidden="1" customHeight="1">
      <c r="A7005" s="198"/>
    </row>
    <row r="7006" spans="1:1" s="199" customFormat="1" ht="12" hidden="1" customHeight="1">
      <c r="A7006" s="198"/>
    </row>
    <row r="7007" spans="1:1" s="199" customFormat="1" ht="12" hidden="1" customHeight="1">
      <c r="A7007" s="198"/>
    </row>
    <row r="7008" spans="1:1" s="199" customFormat="1" ht="12" hidden="1" customHeight="1">
      <c r="A7008" s="198"/>
    </row>
    <row r="7009" spans="1:1" s="199" customFormat="1" ht="12" hidden="1" customHeight="1">
      <c r="A7009" s="198"/>
    </row>
    <row r="7010" spans="1:1" s="199" customFormat="1" ht="12" hidden="1" customHeight="1">
      <c r="A7010" s="198"/>
    </row>
    <row r="7011" spans="1:1" s="199" customFormat="1" ht="12" hidden="1" customHeight="1">
      <c r="A7011" s="198"/>
    </row>
    <row r="7012" spans="1:1" s="199" customFormat="1" ht="12" hidden="1" customHeight="1">
      <c r="A7012" s="198"/>
    </row>
    <row r="7013" spans="1:1" s="199" customFormat="1" ht="12" hidden="1" customHeight="1">
      <c r="A7013" s="198"/>
    </row>
    <row r="7014" spans="1:1" s="199" customFormat="1" ht="12" hidden="1" customHeight="1">
      <c r="A7014" s="198"/>
    </row>
    <row r="7015" spans="1:1" s="199" customFormat="1" ht="12" hidden="1" customHeight="1">
      <c r="A7015" s="198"/>
    </row>
    <row r="7016" spans="1:1" s="199" customFormat="1" ht="12" hidden="1" customHeight="1">
      <c r="A7016" s="198"/>
    </row>
    <row r="7017" spans="1:1" s="199" customFormat="1" ht="12" hidden="1" customHeight="1">
      <c r="A7017" s="198"/>
    </row>
    <row r="7018" spans="1:1" s="199" customFormat="1" ht="12" hidden="1" customHeight="1">
      <c r="A7018" s="198"/>
    </row>
    <row r="7019" spans="1:1" s="199" customFormat="1" ht="12" hidden="1" customHeight="1">
      <c r="A7019" s="198"/>
    </row>
    <row r="7020" spans="1:1" s="199" customFormat="1" ht="12" hidden="1" customHeight="1">
      <c r="A7020" s="198"/>
    </row>
    <row r="7021" spans="1:1" s="199" customFormat="1" ht="12" hidden="1" customHeight="1">
      <c r="A7021" s="198"/>
    </row>
    <row r="7022" spans="1:1" s="199" customFormat="1" ht="12" hidden="1" customHeight="1">
      <c r="A7022" s="198"/>
    </row>
    <row r="7023" spans="1:1" s="199" customFormat="1" ht="12" hidden="1" customHeight="1">
      <c r="A7023" s="198"/>
    </row>
    <row r="7024" spans="1:1" s="199" customFormat="1" ht="12" hidden="1" customHeight="1">
      <c r="A7024" s="198"/>
    </row>
    <row r="7025" spans="1:1" s="199" customFormat="1" ht="12" hidden="1" customHeight="1">
      <c r="A7025" s="198"/>
    </row>
    <row r="7026" spans="1:1" s="199" customFormat="1" ht="12" hidden="1" customHeight="1">
      <c r="A7026" s="198"/>
    </row>
    <row r="7027" spans="1:1" s="199" customFormat="1" ht="12" hidden="1" customHeight="1">
      <c r="A7027" s="198"/>
    </row>
    <row r="7028" spans="1:1" s="199" customFormat="1" ht="12" hidden="1" customHeight="1">
      <c r="A7028" s="198"/>
    </row>
    <row r="7029" spans="1:1" s="199" customFormat="1" ht="12" hidden="1" customHeight="1">
      <c r="A7029" s="198"/>
    </row>
    <row r="7030" spans="1:1" s="199" customFormat="1" ht="12" hidden="1" customHeight="1">
      <c r="A7030" s="198"/>
    </row>
    <row r="7031" spans="1:1" s="199" customFormat="1" ht="12" hidden="1" customHeight="1">
      <c r="A7031" s="198"/>
    </row>
    <row r="7032" spans="1:1" s="199" customFormat="1" ht="12" hidden="1" customHeight="1">
      <c r="A7032" s="198"/>
    </row>
    <row r="7033" spans="1:1" s="199" customFormat="1" ht="12" hidden="1" customHeight="1">
      <c r="A7033" s="198"/>
    </row>
    <row r="7034" spans="1:1" s="199" customFormat="1" ht="12" hidden="1" customHeight="1">
      <c r="A7034" s="198"/>
    </row>
    <row r="7035" spans="1:1" s="199" customFormat="1" ht="12" hidden="1" customHeight="1">
      <c r="A7035" s="198"/>
    </row>
    <row r="7036" spans="1:1" s="199" customFormat="1" ht="12" hidden="1" customHeight="1">
      <c r="A7036" s="198"/>
    </row>
    <row r="7037" spans="1:1" s="199" customFormat="1" ht="12" hidden="1" customHeight="1">
      <c r="A7037" s="198"/>
    </row>
    <row r="7038" spans="1:1" s="199" customFormat="1" ht="12" hidden="1" customHeight="1">
      <c r="A7038" s="198"/>
    </row>
    <row r="7039" spans="1:1" s="199" customFormat="1" ht="12" hidden="1" customHeight="1">
      <c r="A7039" s="198"/>
    </row>
    <row r="7040" spans="1:1" s="199" customFormat="1" ht="12" hidden="1" customHeight="1">
      <c r="A7040" s="198"/>
    </row>
    <row r="7041" spans="1:1" s="199" customFormat="1" ht="12" hidden="1" customHeight="1">
      <c r="A7041" s="198"/>
    </row>
    <row r="7042" spans="1:1" s="199" customFormat="1" ht="12" hidden="1" customHeight="1">
      <c r="A7042" s="198"/>
    </row>
    <row r="7043" spans="1:1" s="199" customFormat="1" ht="12" hidden="1" customHeight="1">
      <c r="A7043" s="198"/>
    </row>
    <row r="7044" spans="1:1" s="199" customFormat="1" ht="12" hidden="1" customHeight="1">
      <c r="A7044" s="198"/>
    </row>
    <row r="7045" spans="1:1" s="199" customFormat="1" ht="12" hidden="1" customHeight="1">
      <c r="A7045" s="198"/>
    </row>
    <row r="7046" spans="1:1" s="199" customFormat="1" ht="12" hidden="1" customHeight="1">
      <c r="A7046" s="198"/>
    </row>
    <row r="7047" spans="1:1" s="199" customFormat="1" ht="12" hidden="1" customHeight="1">
      <c r="A7047" s="198"/>
    </row>
    <row r="7048" spans="1:1" s="199" customFormat="1" ht="12" hidden="1" customHeight="1">
      <c r="A7048" s="198"/>
    </row>
    <row r="7049" spans="1:1" s="199" customFormat="1" ht="12" hidden="1" customHeight="1">
      <c r="A7049" s="198"/>
    </row>
    <row r="7050" spans="1:1" s="199" customFormat="1" ht="12" hidden="1" customHeight="1">
      <c r="A7050" s="198"/>
    </row>
    <row r="7051" spans="1:1" s="199" customFormat="1" ht="12" hidden="1" customHeight="1">
      <c r="A7051" s="198"/>
    </row>
    <row r="7052" spans="1:1" s="199" customFormat="1" ht="12" hidden="1" customHeight="1">
      <c r="A7052" s="198"/>
    </row>
    <row r="7053" spans="1:1" s="199" customFormat="1" ht="12" hidden="1" customHeight="1">
      <c r="A7053" s="198"/>
    </row>
    <row r="7054" spans="1:1" s="199" customFormat="1" ht="12" hidden="1" customHeight="1">
      <c r="A7054" s="198"/>
    </row>
    <row r="7055" spans="1:1" s="199" customFormat="1" ht="12" hidden="1" customHeight="1">
      <c r="A7055" s="198"/>
    </row>
    <row r="7056" spans="1:1" s="199" customFormat="1" ht="12" hidden="1" customHeight="1">
      <c r="A7056" s="198"/>
    </row>
    <row r="7057" spans="1:1" s="199" customFormat="1" ht="12" hidden="1" customHeight="1">
      <c r="A7057" s="198"/>
    </row>
    <row r="7058" spans="1:1" s="199" customFormat="1" ht="12" hidden="1" customHeight="1">
      <c r="A7058" s="198"/>
    </row>
    <row r="7059" spans="1:1" s="199" customFormat="1" ht="12" hidden="1" customHeight="1">
      <c r="A7059" s="198"/>
    </row>
    <row r="7060" spans="1:1" s="199" customFormat="1" ht="12" hidden="1" customHeight="1">
      <c r="A7060" s="198"/>
    </row>
    <row r="7061" spans="1:1" s="199" customFormat="1" ht="12" hidden="1" customHeight="1">
      <c r="A7061" s="198"/>
    </row>
    <row r="7062" spans="1:1" s="199" customFormat="1" ht="12" hidden="1" customHeight="1">
      <c r="A7062" s="198"/>
    </row>
    <row r="7063" spans="1:1" s="199" customFormat="1" ht="12" hidden="1" customHeight="1">
      <c r="A7063" s="198"/>
    </row>
    <row r="7064" spans="1:1" s="199" customFormat="1" ht="12" hidden="1" customHeight="1">
      <c r="A7064" s="198"/>
    </row>
    <row r="7065" spans="1:1" s="199" customFormat="1" ht="12" hidden="1" customHeight="1">
      <c r="A7065" s="198"/>
    </row>
    <row r="7066" spans="1:1" s="199" customFormat="1" ht="12" hidden="1" customHeight="1">
      <c r="A7066" s="198"/>
    </row>
    <row r="7067" spans="1:1" s="199" customFormat="1" ht="12" hidden="1" customHeight="1">
      <c r="A7067" s="198"/>
    </row>
    <row r="7068" spans="1:1" s="199" customFormat="1" ht="12" hidden="1" customHeight="1">
      <c r="A7068" s="198"/>
    </row>
    <row r="7069" spans="1:1" s="199" customFormat="1" ht="12" hidden="1" customHeight="1">
      <c r="A7069" s="198"/>
    </row>
    <row r="7070" spans="1:1" s="199" customFormat="1" ht="12" hidden="1" customHeight="1">
      <c r="A7070" s="198"/>
    </row>
    <row r="7071" spans="1:1" s="199" customFormat="1" ht="12" hidden="1" customHeight="1">
      <c r="A7071" s="198"/>
    </row>
    <row r="7072" spans="1:1" s="199" customFormat="1" ht="12" hidden="1" customHeight="1">
      <c r="A7072" s="198"/>
    </row>
    <row r="7073" spans="1:1" s="199" customFormat="1" ht="12" hidden="1" customHeight="1">
      <c r="A7073" s="198"/>
    </row>
    <row r="7074" spans="1:1" s="199" customFormat="1" ht="12" hidden="1" customHeight="1">
      <c r="A7074" s="198"/>
    </row>
    <row r="7075" spans="1:1" s="199" customFormat="1" ht="12" hidden="1" customHeight="1">
      <c r="A7075" s="198"/>
    </row>
    <row r="7076" spans="1:1" s="199" customFormat="1" ht="12" hidden="1" customHeight="1">
      <c r="A7076" s="198"/>
    </row>
    <row r="7077" spans="1:1" s="199" customFormat="1" ht="12" hidden="1" customHeight="1">
      <c r="A7077" s="198"/>
    </row>
    <row r="7078" spans="1:1" s="199" customFormat="1" ht="12" hidden="1" customHeight="1">
      <c r="A7078" s="198"/>
    </row>
    <row r="7079" spans="1:1" s="199" customFormat="1" ht="12" hidden="1" customHeight="1">
      <c r="A7079" s="198"/>
    </row>
    <row r="7080" spans="1:1" s="199" customFormat="1" ht="12" hidden="1" customHeight="1">
      <c r="A7080" s="198"/>
    </row>
    <row r="7081" spans="1:1" s="199" customFormat="1" ht="12" hidden="1" customHeight="1">
      <c r="A7081" s="198"/>
    </row>
    <row r="7082" spans="1:1" s="199" customFormat="1" ht="12" hidden="1" customHeight="1">
      <c r="A7082" s="198"/>
    </row>
    <row r="7083" spans="1:1" s="199" customFormat="1" ht="12" hidden="1" customHeight="1">
      <c r="A7083" s="198"/>
    </row>
    <row r="7084" spans="1:1" s="199" customFormat="1" ht="12" hidden="1" customHeight="1">
      <c r="A7084" s="198"/>
    </row>
    <row r="7085" spans="1:1" s="199" customFormat="1" ht="12" hidden="1" customHeight="1">
      <c r="A7085" s="198"/>
    </row>
    <row r="7086" spans="1:1" s="199" customFormat="1" ht="12" hidden="1" customHeight="1">
      <c r="A7086" s="198"/>
    </row>
    <row r="7087" spans="1:1" s="199" customFormat="1" ht="12" hidden="1" customHeight="1">
      <c r="A7087" s="198"/>
    </row>
    <row r="7088" spans="1:1" s="199" customFormat="1" ht="12" hidden="1" customHeight="1">
      <c r="A7088" s="198"/>
    </row>
    <row r="7089" spans="1:1" s="199" customFormat="1" ht="12" hidden="1" customHeight="1">
      <c r="A7089" s="198"/>
    </row>
    <row r="7090" spans="1:1" s="199" customFormat="1" ht="12" hidden="1" customHeight="1">
      <c r="A7090" s="198"/>
    </row>
    <row r="7091" spans="1:1" s="199" customFormat="1" ht="12" hidden="1" customHeight="1">
      <c r="A7091" s="198"/>
    </row>
    <row r="7092" spans="1:1" s="199" customFormat="1" ht="12" hidden="1" customHeight="1">
      <c r="A7092" s="198"/>
    </row>
    <row r="7093" spans="1:1" s="199" customFormat="1" ht="12" hidden="1" customHeight="1">
      <c r="A7093" s="198"/>
    </row>
    <row r="7094" spans="1:1" s="199" customFormat="1" ht="12" hidden="1" customHeight="1">
      <c r="A7094" s="198"/>
    </row>
    <row r="7095" spans="1:1" s="199" customFormat="1" ht="12" hidden="1" customHeight="1">
      <c r="A7095" s="198"/>
    </row>
    <row r="7096" spans="1:1" s="199" customFormat="1" ht="12" hidden="1" customHeight="1">
      <c r="A7096" s="198"/>
    </row>
    <row r="7097" spans="1:1" s="199" customFormat="1" ht="12" hidden="1" customHeight="1">
      <c r="A7097" s="198"/>
    </row>
    <row r="7098" spans="1:1" s="199" customFormat="1" ht="12" hidden="1" customHeight="1">
      <c r="A7098" s="198"/>
    </row>
    <row r="7099" spans="1:1" s="199" customFormat="1" ht="12" hidden="1" customHeight="1">
      <c r="A7099" s="198"/>
    </row>
    <row r="7100" spans="1:1" s="199" customFormat="1" ht="12" hidden="1" customHeight="1">
      <c r="A7100" s="198"/>
    </row>
    <row r="7101" spans="1:1" s="199" customFormat="1" ht="12" hidden="1" customHeight="1">
      <c r="A7101" s="198"/>
    </row>
    <row r="7102" spans="1:1" s="199" customFormat="1" ht="12" hidden="1" customHeight="1">
      <c r="A7102" s="198"/>
    </row>
    <row r="7103" spans="1:1" s="199" customFormat="1" ht="12" hidden="1" customHeight="1">
      <c r="A7103" s="198"/>
    </row>
    <row r="7104" spans="1:1" s="199" customFormat="1" ht="12" hidden="1" customHeight="1">
      <c r="A7104" s="198"/>
    </row>
    <row r="7105" spans="1:1" s="199" customFormat="1" ht="12" hidden="1" customHeight="1">
      <c r="A7105" s="198"/>
    </row>
    <row r="7106" spans="1:1" s="199" customFormat="1" ht="12" hidden="1" customHeight="1">
      <c r="A7106" s="198"/>
    </row>
    <row r="7107" spans="1:1" s="199" customFormat="1" ht="12" hidden="1" customHeight="1">
      <c r="A7107" s="198"/>
    </row>
    <row r="7108" spans="1:1" s="199" customFormat="1" ht="12" hidden="1" customHeight="1">
      <c r="A7108" s="198"/>
    </row>
    <row r="7109" spans="1:1" s="199" customFormat="1" ht="12" hidden="1" customHeight="1">
      <c r="A7109" s="198"/>
    </row>
    <row r="7110" spans="1:1" s="199" customFormat="1" ht="12" hidden="1" customHeight="1">
      <c r="A7110" s="198"/>
    </row>
    <row r="7111" spans="1:1" s="199" customFormat="1" ht="12" hidden="1" customHeight="1">
      <c r="A7111" s="198"/>
    </row>
    <row r="7112" spans="1:1" s="199" customFormat="1" ht="12" hidden="1" customHeight="1">
      <c r="A7112" s="198"/>
    </row>
    <row r="7113" spans="1:1" s="199" customFormat="1" ht="12" hidden="1" customHeight="1">
      <c r="A7113" s="198"/>
    </row>
    <row r="7114" spans="1:1" s="199" customFormat="1" ht="12" hidden="1" customHeight="1">
      <c r="A7114" s="198"/>
    </row>
    <row r="7115" spans="1:1" s="199" customFormat="1" ht="12" hidden="1" customHeight="1">
      <c r="A7115" s="198"/>
    </row>
    <row r="7116" spans="1:1" s="199" customFormat="1" ht="12" hidden="1" customHeight="1">
      <c r="A7116" s="198"/>
    </row>
    <row r="7117" spans="1:1" s="199" customFormat="1" ht="12" hidden="1" customHeight="1">
      <c r="A7117" s="198"/>
    </row>
    <row r="7118" spans="1:1" s="199" customFormat="1" ht="12" hidden="1" customHeight="1">
      <c r="A7118" s="198"/>
    </row>
    <row r="7119" spans="1:1" s="199" customFormat="1" ht="12" hidden="1" customHeight="1">
      <c r="A7119" s="198"/>
    </row>
    <row r="7120" spans="1:1" s="199" customFormat="1" ht="12" hidden="1" customHeight="1">
      <c r="A7120" s="198"/>
    </row>
    <row r="7121" spans="1:1" s="199" customFormat="1" ht="12" hidden="1" customHeight="1">
      <c r="A7121" s="198"/>
    </row>
    <row r="7122" spans="1:1" s="199" customFormat="1" ht="12" hidden="1" customHeight="1">
      <c r="A7122" s="198"/>
    </row>
    <row r="7123" spans="1:1" s="199" customFormat="1" ht="12" hidden="1" customHeight="1">
      <c r="A7123" s="198"/>
    </row>
    <row r="7124" spans="1:1" s="199" customFormat="1" ht="12" hidden="1" customHeight="1">
      <c r="A7124" s="198"/>
    </row>
    <row r="7125" spans="1:1" s="199" customFormat="1" ht="12" hidden="1" customHeight="1">
      <c r="A7125" s="198"/>
    </row>
    <row r="7126" spans="1:1" s="199" customFormat="1" ht="12" hidden="1" customHeight="1">
      <c r="A7126" s="198"/>
    </row>
    <row r="7127" spans="1:1" s="199" customFormat="1" ht="12" hidden="1" customHeight="1">
      <c r="A7127" s="198"/>
    </row>
    <row r="7128" spans="1:1" s="199" customFormat="1" ht="12" hidden="1" customHeight="1">
      <c r="A7128" s="198"/>
    </row>
    <row r="7129" spans="1:1" s="199" customFormat="1" ht="12" hidden="1" customHeight="1">
      <c r="A7129" s="198"/>
    </row>
    <row r="7130" spans="1:1" s="199" customFormat="1" ht="12" hidden="1" customHeight="1">
      <c r="A7130" s="198"/>
    </row>
    <row r="7131" spans="1:1" s="199" customFormat="1" ht="12" hidden="1" customHeight="1">
      <c r="A7131" s="198"/>
    </row>
    <row r="7132" spans="1:1" s="199" customFormat="1" ht="12" hidden="1" customHeight="1">
      <c r="A7132" s="198"/>
    </row>
    <row r="7133" spans="1:1" s="199" customFormat="1" ht="12" hidden="1" customHeight="1">
      <c r="A7133" s="198"/>
    </row>
    <row r="7134" spans="1:1" s="199" customFormat="1" ht="12" hidden="1" customHeight="1">
      <c r="A7134" s="198"/>
    </row>
    <row r="7135" spans="1:1" s="199" customFormat="1" ht="12" hidden="1" customHeight="1">
      <c r="A7135" s="198"/>
    </row>
    <row r="7136" spans="1:1" s="199" customFormat="1" ht="12" hidden="1" customHeight="1">
      <c r="A7136" s="198"/>
    </row>
    <row r="7137" spans="1:1" s="199" customFormat="1" ht="12" hidden="1" customHeight="1">
      <c r="A7137" s="198"/>
    </row>
    <row r="7138" spans="1:1" s="199" customFormat="1" ht="12" hidden="1" customHeight="1">
      <c r="A7138" s="198"/>
    </row>
    <row r="7139" spans="1:1" s="199" customFormat="1" ht="12" hidden="1" customHeight="1">
      <c r="A7139" s="198"/>
    </row>
    <row r="7140" spans="1:1" s="199" customFormat="1" ht="12" hidden="1" customHeight="1">
      <c r="A7140" s="198"/>
    </row>
    <row r="7141" spans="1:1" s="199" customFormat="1" ht="12" hidden="1" customHeight="1">
      <c r="A7141" s="198"/>
    </row>
    <row r="7142" spans="1:1" s="199" customFormat="1" ht="12" hidden="1" customHeight="1">
      <c r="A7142" s="198"/>
    </row>
    <row r="7143" spans="1:1" s="199" customFormat="1" ht="12" hidden="1" customHeight="1">
      <c r="A7143" s="198"/>
    </row>
    <row r="7144" spans="1:1" s="199" customFormat="1" ht="12" hidden="1" customHeight="1">
      <c r="A7144" s="198"/>
    </row>
    <row r="7145" spans="1:1" s="199" customFormat="1" ht="12" hidden="1" customHeight="1">
      <c r="A7145" s="198"/>
    </row>
    <row r="7146" spans="1:1" s="199" customFormat="1" ht="12" hidden="1" customHeight="1">
      <c r="A7146" s="198"/>
    </row>
    <row r="7147" spans="1:1" s="199" customFormat="1" ht="12" hidden="1" customHeight="1">
      <c r="A7147" s="198"/>
    </row>
    <row r="7148" spans="1:1" s="199" customFormat="1" ht="12" hidden="1" customHeight="1">
      <c r="A7148" s="198"/>
    </row>
    <row r="7149" spans="1:1" s="199" customFormat="1" ht="12" hidden="1" customHeight="1">
      <c r="A7149" s="198"/>
    </row>
    <row r="7150" spans="1:1" s="199" customFormat="1" ht="12" hidden="1" customHeight="1">
      <c r="A7150" s="198"/>
    </row>
    <row r="7151" spans="1:1" s="199" customFormat="1" ht="12" hidden="1" customHeight="1">
      <c r="A7151" s="198"/>
    </row>
    <row r="7152" spans="1:1" s="199" customFormat="1" ht="12" hidden="1" customHeight="1">
      <c r="A7152" s="198"/>
    </row>
    <row r="7153" spans="1:1" s="199" customFormat="1" ht="12" hidden="1" customHeight="1">
      <c r="A7153" s="198"/>
    </row>
    <row r="7154" spans="1:1" s="199" customFormat="1" ht="12" hidden="1" customHeight="1">
      <c r="A7154" s="198"/>
    </row>
    <row r="7155" spans="1:1" s="199" customFormat="1" ht="12" hidden="1" customHeight="1">
      <c r="A7155" s="198"/>
    </row>
    <row r="7156" spans="1:1" s="199" customFormat="1" ht="12" hidden="1" customHeight="1">
      <c r="A7156" s="198"/>
    </row>
    <row r="7157" spans="1:1" s="199" customFormat="1" ht="12" hidden="1" customHeight="1">
      <c r="A7157" s="198"/>
    </row>
    <row r="7158" spans="1:1" s="199" customFormat="1" ht="12" hidden="1" customHeight="1">
      <c r="A7158" s="198"/>
    </row>
    <row r="7159" spans="1:1" s="199" customFormat="1" ht="12" hidden="1" customHeight="1">
      <c r="A7159" s="198"/>
    </row>
    <row r="7160" spans="1:1" s="199" customFormat="1" ht="12" hidden="1" customHeight="1">
      <c r="A7160" s="198"/>
    </row>
    <row r="7161" spans="1:1" s="199" customFormat="1" ht="12" hidden="1" customHeight="1">
      <c r="A7161" s="198"/>
    </row>
    <row r="7162" spans="1:1" s="199" customFormat="1" ht="12" hidden="1" customHeight="1">
      <c r="A7162" s="198"/>
    </row>
    <row r="7163" spans="1:1" s="199" customFormat="1" ht="12" hidden="1" customHeight="1">
      <c r="A7163" s="198"/>
    </row>
    <row r="7164" spans="1:1" s="199" customFormat="1" ht="12" hidden="1" customHeight="1">
      <c r="A7164" s="198"/>
    </row>
    <row r="7165" spans="1:1" s="199" customFormat="1" ht="12" hidden="1" customHeight="1">
      <c r="A7165" s="198"/>
    </row>
    <row r="7166" spans="1:1" s="199" customFormat="1" ht="12" hidden="1" customHeight="1">
      <c r="A7166" s="198"/>
    </row>
    <row r="7167" spans="1:1" s="199" customFormat="1" ht="12" hidden="1" customHeight="1">
      <c r="A7167" s="198"/>
    </row>
    <row r="7168" spans="1:1" s="199" customFormat="1" ht="12" hidden="1" customHeight="1">
      <c r="A7168" s="198"/>
    </row>
    <row r="7169" spans="1:1" s="199" customFormat="1" ht="12" hidden="1" customHeight="1">
      <c r="A7169" s="198"/>
    </row>
    <row r="7170" spans="1:1" s="199" customFormat="1" ht="12" hidden="1" customHeight="1">
      <c r="A7170" s="198"/>
    </row>
    <row r="7171" spans="1:1" s="199" customFormat="1" ht="12" hidden="1" customHeight="1">
      <c r="A7171" s="198"/>
    </row>
    <row r="7172" spans="1:1" s="199" customFormat="1" ht="12" hidden="1" customHeight="1">
      <c r="A7172" s="198"/>
    </row>
    <row r="7173" spans="1:1" s="199" customFormat="1" ht="12" hidden="1" customHeight="1">
      <c r="A7173" s="198"/>
    </row>
    <row r="7174" spans="1:1" s="199" customFormat="1" ht="12" hidden="1" customHeight="1">
      <c r="A7174" s="198"/>
    </row>
    <row r="7175" spans="1:1" s="199" customFormat="1" ht="12" hidden="1" customHeight="1">
      <c r="A7175" s="198"/>
    </row>
    <row r="7176" spans="1:1" s="199" customFormat="1" ht="12" hidden="1" customHeight="1">
      <c r="A7176" s="198"/>
    </row>
    <row r="7177" spans="1:1" s="199" customFormat="1" ht="12" hidden="1" customHeight="1">
      <c r="A7177" s="198"/>
    </row>
    <row r="7178" spans="1:1" s="199" customFormat="1" ht="12" hidden="1" customHeight="1">
      <c r="A7178" s="198"/>
    </row>
    <row r="7179" spans="1:1" s="199" customFormat="1" ht="12" hidden="1" customHeight="1">
      <c r="A7179" s="198"/>
    </row>
    <row r="7180" spans="1:1" s="199" customFormat="1" ht="12" hidden="1" customHeight="1">
      <c r="A7180" s="198"/>
    </row>
    <row r="7181" spans="1:1" s="199" customFormat="1" ht="12" hidden="1" customHeight="1">
      <c r="A7181" s="198"/>
    </row>
    <row r="7182" spans="1:1" s="199" customFormat="1" ht="12" hidden="1" customHeight="1">
      <c r="A7182" s="198"/>
    </row>
    <row r="7183" spans="1:1" s="199" customFormat="1" ht="12" hidden="1" customHeight="1">
      <c r="A7183" s="198"/>
    </row>
    <row r="7184" spans="1:1" s="199" customFormat="1" ht="12" hidden="1" customHeight="1">
      <c r="A7184" s="198"/>
    </row>
    <row r="7185" spans="1:1" s="199" customFormat="1" ht="12" hidden="1" customHeight="1">
      <c r="A7185" s="198"/>
    </row>
    <row r="7186" spans="1:1" s="199" customFormat="1" ht="12" hidden="1" customHeight="1">
      <c r="A7186" s="198"/>
    </row>
    <row r="7187" spans="1:1" s="199" customFormat="1" ht="12" hidden="1" customHeight="1">
      <c r="A7187" s="198"/>
    </row>
    <row r="7188" spans="1:1" s="199" customFormat="1" ht="12" hidden="1" customHeight="1">
      <c r="A7188" s="198"/>
    </row>
    <row r="7189" spans="1:1" s="199" customFormat="1" ht="12" hidden="1" customHeight="1">
      <c r="A7189" s="198"/>
    </row>
    <row r="7190" spans="1:1" s="199" customFormat="1" ht="12" hidden="1" customHeight="1">
      <c r="A7190" s="198"/>
    </row>
    <row r="7191" spans="1:1" s="199" customFormat="1" ht="12" hidden="1" customHeight="1">
      <c r="A7191" s="198"/>
    </row>
    <row r="7192" spans="1:1" s="199" customFormat="1" ht="12" hidden="1" customHeight="1">
      <c r="A7192" s="198"/>
    </row>
    <row r="7193" spans="1:1" s="199" customFormat="1" ht="12" hidden="1" customHeight="1">
      <c r="A7193" s="198"/>
    </row>
    <row r="7194" spans="1:1" s="199" customFormat="1" ht="12" hidden="1" customHeight="1">
      <c r="A7194" s="198"/>
    </row>
    <row r="7195" spans="1:1" s="199" customFormat="1" ht="12" hidden="1" customHeight="1">
      <c r="A7195" s="198"/>
    </row>
    <row r="7196" spans="1:1" s="199" customFormat="1" ht="12" hidden="1" customHeight="1">
      <c r="A7196" s="198"/>
    </row>
    <row r="7197" spans="1:1" s="199" customFormat="1" ht="12" hidden="1" customHeight="1">
      <c r="A7197" s="198"/>
    </row>
    <row r="7198" spans="1:1" s="199" customFormat="1" ht="12" hidden="1" customHeight="1">
      <c r="A7198" s="198"/>
    </row>
    <row r="7199" spans="1:1" s="199" customFormat="1" ht="12" hidden="1" customHeight="1">
      <c r="A7199" s="198"/>
    </row>
    <row r="7200" spans="1:1" s="199" customFormat="1" ht="12" hidden="1" customHeight="1">
      <c r="A7200" s="198"/>
    </row>
    <row r="7201" spans="1:1" s="199" customFormat="1" ht="12" hidden="1" customHeight="1">
      <c r="A7201" s="198"/>
    </row>
    <row r="7202" spans="1:1" s="199" customFormat="1" ht="12" hidden="1" customHeight="1">
      <c r="A7202" s="198"/>
    </row>
    <row r="7203" spans="1:1" s="199" customFormat="1" ht="12" hidden="1" customHeight="1">
      <c r="A7203" s="198"/>
    </row>
    <row r="7204" spans="1:1" s="199" customFormat="1" ht="12" hidden="1" customHeight="1">
      <c r="A7204" s="198"/>
    </row>
    <row r="7205" spans="1:1" s="199" customFormat="1" ht="12" hidden="1" customHeight="1">
      <c r="A7205" s="198"/>
    </row>
    <row r="7206" spans="1:1" s="199" customFormat="1" ht="12" hidden="1" customHeight="1">
      <c r="A7206" s="198"/>
    </row>
    <row r="7207" spans="1:1" s="199" customFormat="1" ht="12" hidden="1" customHeight="1">
      <c r="A7207" s="198"/>
    </row>
    <row r="7208" spans="1:1" s="199" customFormat="1" ht="12" hidden="1" customHeight="1">
      <c r="A7208" s="198"/>
    </row>
    <row r="7209" spans="1:1" s="199" customFormat="1" ht="12" hidden="1" customHeight="1">
      <c r="A7209" s="198"/>
    </row>
    <row r="7210" spans="1:1" s="199" customFormat="1" ht="12" hidden="1" customHeight="1">
      <c r="A7210" s="198"/>
    </row>
    <row r="7211" spans="1:1" s="199" customFormat="1" ht="12" hidden="1" customHeight="1">
      <c r="A7211" s="198"/>
    </row>
    <row r="7212" spans="1:1" s="199" customFormat="1" ht="12" hidden="1" customHeight="1">
      <c r="A7212" s="198"/>
    </row>
    <row r="7213" spans="1:1" s="199" customFormat="1" ht="12" hidden="1" customHeight="1">
      <c r="A7213" s="198"/>
    </row>
    <row r="7214" spans="1:1" s="199" customFormat="1" ht="12" hidden="1" customHeight="1">
      <c r="A7214" s="198"/>
    </row>
    <row r="7215" spans="1:1" s="199" customFormat="1" ht="12" hidden="1" customHeight="1">
      <c r="A7215" s="198"/>
    </row>
    <row r="7216" spans="1:1" s="199" customFormat="1" ht="12" hidden="1" customHeight="1">
      <c r="A7216" s="198"/>
    </row>
    <row r="7217" spans="1:1" s="199" customFormat="1" ht="12" hidden="1" customHeight="1">
      <c r="A7217" s="198"/>
    </row>
    <row r="7218" spans="1:1" s="199" customFormat="1" ht="12" hidden="1" customHeight="1">
      <c r="A7218" s="198"/>
    </row>
    <row r="7219" spans="1:1" s="199" customFormat="1" ht="12" hidden="1" customHeight="1">
      <c r="A7219" s="198"/>
    </row>
    <row r="7220" spans="1:1" s="199" customFormat="1" ht="12" hidden="1" customHeight="1">
      <c r="A7220" s="198"/>
    </row>
    <row r="7221" spans="1:1" s="199" customFormat="1" ht="12" hidden="1" customHeight="1">
      <c r="A7221" s="198"/>
    </row>
    <row r="7222" spans="1:1" s="199" customFormat="1" ht="12" hidden="1" customHeight="1">
      <c r="A7222" s="198"/>
    </row>
    <row r="7223" spans="1:1" s="199" customFormat="1" ht="12" hidden="1" customHeight="1">
      <c r="A7223" s="198"/>
    </row>
    <row r="7224" spans="1:1" s="199" customFormat="1" ht="12" hidden="1" customHeight="1">
      <c r="A7224" s="198"/>
    </row>
    <row r="7225" spans="1:1" s="199" customFormat="1" ht="12" hidden="1" customHeight="1">
      <c r="A7225" s="198"/>
    </row>
    <row r="7226" spans="1:1" s="199" customFormat="1" ht="12" hidden="1" customHeight="1">
      <c r="A7226" s="198"/>
    </row>
    <row r="7227" spans="1:1" s="199" customFormat="1" ht="12" hidden="1" customHeight="1">
      <c r="A7227" s="198"/>
    </row>
    <row r="7228" spans="1:1" s="199" customFormat="1" ht="12" hidden="1" customHeight="1">
      <c r="A7228" s="198"/>
    </row>
    <row r="7229" spans="1:1" s="199" customFormat="1" ht="12" hidden="1" customHeight="1">
      <c r="A7229" s="198"/>
    </row>
    <row r="7230" spans="1:1" s="199" customFormat="1" ht="12" hidden="1" customHeight="1">
      <c r="A7230" s="198"/>
    </row>
    <row r="7231" spans="1:1" s="199" customFormat="1" ht="12" hidden="1" customHeight="1">
      <c r="A7231" s="198"/>
    </row>
    <row r="7232" spans="1:1" s="199" customFormat="1" ht="12" hidden="1" customHeight="1">
      <c r="A7232" s="198"/>
    </row>
    <row r="7233" spans="1:1" s="199" customFormat="1" ht="12" hidden="1" customHeight="1">
      <c r="A7233" s="198"/>
    </row>
    <row r="7234" spans="1:1" s="199" customFormat="1" ht="12" hidden="1" customHeight="1">
      <c r="A7234" s="198"/>
    </row>
    <row r="7235" spans="1:1" s="199" customFormat="1" ht="12" hidden="1" customHeight="1">
      <c r="A7235" s="198"/>
    </row>
    <row r="7236" spans="1:1" s="199" customFormat="1" ht="12" hidden="1" customHeight="1">
      <c r="A7236" s="198"/>
    </row>
    <row r="7237" spans="1:1" s="199" customFormat="1" ht="12" hidden="1" customHeight="1">
      <c r="A7237" s="198"/>
    </row>
    <row r="7238" spans="1:1" s="199" customFormat="1" ht="12" hidden="1" customHeight="1">
      <c r="A7238" s="198"/>
    </row>
    <row r="7239" spans="1:1" s="199" customFormat="1" ht="12" hidden="1" customHeight="1">
      <c r="A7239" s="198"/>
    </row>
    <row r="7240" spans="1:1" s="199" customFormat="1" ht="12" hidden="1" customHeight="1">
      <c r="A7240" s="198"/>
    </row>
    <row r="7241" spans="1:1" s="199" customFormat="1" ht="12" hidden="1" customHeight="1">
      <c r="A7241" s="198"/>
    </row>
    <row r="7242" spans="1:1" s="199" customFormat="1" ht="12" hidden="1" customHeight="1">
      <c r="A7242" s="198"/>
    </row>
    <row r="7243" spans="1:1" s="199" customFormat="1" ht="12" hidden="1" customHeight="1">
      <c r="A7243" s="198"/>
    </row>
    <row r="7244" spans="1:1" s="199" customFormat="1" ht="12" hidden="1" customHeight="1">
      <c r="A7244" s="198"/>
    </row>
    <row r="7245" spans="1:1" s="199" customFormat="1" ht="12" hidden="1" customHeight="1">
      <c r="A7245" s="198"/>
    </row>
    <row r="7246" spans="1:1" s="199" customFormat="1" ht="12" hidden="1" customHeight="1">
      <c r="A7246" s="198"/>
    </row>
    <row r="7247" spans="1:1" s="199" customFormat="1" ht="12" hidden="1" customHeight="1">
      <c r="A7247" s="198"/>
    </row>
    <row r="7248" spans="1:1" s="199" customFormat="1" ht="12" hidden="1" customHeight="1">
      <c r="A7248" s="198"/>
    </row>
    <row r="7249" spans="1:1" s="199" customFormat="1" ht="12" hidden="1" customHeight="1">
      <c r="A7249" s="198"/>
    </row>
    <row r="7250" spans="1:1" s="199" customFormat="1" ht="12" hidden="1" customHeight="1">
      <c r="A7250" s="198"/>
    </row>
    <row r="7251" spans="1:1" s="199" customFormat="1" ht="12" hidden="1" customHeight="1">
      <c r="A7251" s="198"/>
    </row>
    <row r="7252" spans="1:1" s="199" customFormat="1" ht="12" hidden="1" customHeight="1">
      <c r="A7252" s="198"/>
    </row>
    <row r="7253" spans="1:1" s="199" customFormat="1" ht="12" hidden="1" customHeight="1">
      <c r="A7253" s="198"/>
    </row>
    <row r="7254" spans="1:1" s="199" customFormat="1" ht="12" hidden="1" customHeight="1">
      <c r="A7254" s="198"/>
    </row>
    <row r="7255" spans="1:1" s="199" customFormat="1" ht="12" hidden="1" customHeight="1">
      <c r="A7255" s="198"/>
    </row>
    <row r="7256" spans="1:1" s="199" customFormat="1" ht="12" hidden="1" customHeight="1">
      <c r="A7256" s="198"/>
    </row>
    <row r="7257" spans="1:1" s="199" customFormat="1" ht="12" hidden="1" customHeight="1">
      <c r="A7257" s="198"/>
    </row>
    <row r="7258" spans="1:1" s="199" customFormat="1" ht="12" hidden="1" customHeight="1">
      <c r="A7258" s="198"/>
    </row>
    <row r="7259" spans="1:1" s="199" customFormat="1" ht="12" hidden="1" customHeight="1">
      <c r="A7259" s="198"/>
    </row>
    <row r="7260" spans="1:1" s="199" customFormat="1" ht="12" hidden="1" customHeight="1">
      <c r="A7260" s="198"/>
    </row>
    <row r="7261" spans="1:1" s="199" customFormat="1" ht="12" hidden="1" customHeight="1">
      <c r="A7261" s="198"/>
    </row>
    <row r="7262" spans="1:1" s="199" customFormat="1" ht="12" hidden="1" customHeight="1">
      <c r="A7262" s="198"/>
    </row>
    <row r="7263" spans="1:1" s="199" customFormat="1" ht="12" hidden="1" customHeight="1">
      <c r="A7263" s="198"/>
    </row>
    <row r="7264" spans="1:1" s="199" customFormat="1" ht="12" hidden="1" customHeight="1">
      <c r="A7264" s="198"/>
    </row>
    <row r="7265" spans="1:1" s="199" customFormat="1" ht="12" hidden="1" customHeight="1">
      <c r="A7265" s="198"/>
    </row>
    <row r="7266" spans="1:1" s="199" customFormat="1" ht="12" hidden="1" customHeight="1">
      <c r="A7266" s="198"/>
    </row>
    <row r="7267" spans="1:1" s="199" customFormat="1" ht="12" hidden="1" customHeight="1">
      <c r="A7267" s="198"/>
    </row>
    <row r="7268" spans="1:1" s="199" customFormat="1" ht="12" hidden="1" customHeight="1">
      <c r="A7268" s="198"/>
    </row>
    <row r="7269" spans="1:1" s="199" customFormat="1" ht="12" hidden="1" customHeight="1">
      <c r="A7269" s="198"/>
    </row>
    <row r="7270" spans="1:1" s="199" customFormat="1" ht="12" hidden="1" customHeight="1">
      <c r="A7270" s="198"/>
    </row>
    <row r="7271" spans="1:1" s="199" customFormat="1" ht="12" hidden="1" customHeight="1">
      <c r="A7271" s="198"/>
    </row>
    <row r="7272" spans="1:1" s="199" customFormat="1" ht="12" hidden="1" customHeight="1">
      <c r="A7272" s="198"/>
    </row>
    <row r="7273" spans="1:1" s="199" customFormat="1" ht="12" hidden="1" customHeight="1">
      <c r="A7273" s="198"/>
    </row>
    <row r="7274" spans="1:1" s="199" customFormat="1" ht="12" hidden="1" customHeight="1">
      <c r="A7274" s="198"/>
    </row>
    <row r="7275" spans="1:1" s="199" customFormat="1" ht="12" hidden="1" customHeight="1">
      <c r="A7275" s="198"/>
    </row>
    <row r="7276" spans="1:1" s="199" customFormat="1" ht="12" hidden="1" customHeight="1">
      <c r="A7276" s="198"/>
    </row>
    <row r="7277" spans="1:1" s="199" customFormat="1" ht="12" hidden="1" customHeight="1">
      <c r="A7277" s="198"/>
    </row>
    <row r="7278" spans="1:1" s="199" customFormat="1" ht="12" hidden="1" customHeight="1">
      <c r="A7278" s="198"/>
    </row>
    <row r="7279" spans="1:1" s="199" customFormat="1" ht="12" hidden="1" customHeight="1">
      <c r="A7279" s="198"/>
    </row>
    <row r="7280" spans="1:1" s="199" customFormat="1" ht="12" hidden="1" customHeight="1">
      <c r="A7280" s="198"/>
    </row>
    <row r="7281" spans="1:1" s="199" customFormat="1" ht="12" hidden="1" customHeight="1">
      <c r="A7281" s="198"/>
    </row>
    <row r="7282" spans="1:1" s="199" customFormat="1" ht="12" hidden="1" customHeight="1">
      <c r="A7282" s="198"/>
    </row>
    <row r="7283" spans="1:1" s="199" customFormat="1" ht="12" hidden="1" customHeight="1">
      <c r="A7283" s="198"/>
    </row>
    <row r="7284" spans="1:1" s="199" customFormat="1" ht="12" hidden="1" customHeight="1">
      <c r="A7284" s="198"/>
    </row>
    <row r="7285" spans="1:1" s="199" customFormat="1" ht="12" hidden="1" customHeight="1">
      <c r="A7285" s="198"/>
    </row>
    <row r="7286" spans="1:1" s="199" customFormat="1" ht="12" hidden="1" customHeight="1">
      <c r="A7286" s="198"/>
    </row>
    <row r="7287" spans="1:1" s="199" customFormat="1" ht="12" hidden="1" customHeight="1">
      <c r="A7287" s="198"/>
    </row>
    <row r="7288" spans="1:1" s="199" customFormat="1" ht="12" hidden="1" customHeight="1">
      <c r="A7288" s="198"/>
    </row>
    <row r="7289" spans="1:1" s="199" customFormat="1" ht="12" hidden="1" customHeight="1">
      <c r="A7289" s="198"/>
    </row>
    <row r="7290" spans="1:1" s="199" customFormat="1" ht="12" hidden="1" customHeight="1">
      <c r="A7290" s="198"/>
    </row>
    <row r="7291" spans="1:1" s="199" customFormat="1" ht="12" hidden="1" customHeight="1">
      <c r="A7291" s="198"/>
    </row>
    <row r="7292" spans="1:1" s="199" customFormat="1" ht="12" hidden="1" customHeight="1">
      <c r="A7292" s="198"/>
    </row>
    <row r="7293" spans="1:1" s="199" customFormat="1" ht="12" hidden="1" customHeight="1">
      <c r="A7293" s="198"/>
    </row>
    <row r="7294" spans="1:1" s="199" customFormat="1" ht="12" hidden="1" customHeight="1">
      <c r="A7294" s="198"/>
    </row>
    <row r="7295" spans="1:1" s="199" customFormat="1" ht="12" hidden="1" customHeight="1">
      <c r="A7295" s="198"/>
    </row>
    <row r="7296" spans="1:1" s="199" customFormat="1" ht="12" hidden="1" customHeight="1">
      <c r="A7296" s="198"/>
    </row>
    <row r="7297" spans="1:1" s="199" customFormat="1" ht="12" hidden="1" customHeight="1">
      <c r="A7297" s="198"/>
    </row>
    <row r="7298" spans="1:1" s="199" customFormat="1" ht="12" hidden="1" customHeight="1">
      <c r="A7298" s="198"/>
    </row>
    <row r="7299" spans="1:1" s="199" customFormat="1" ht="12" hidden="1" customHeight="1">
      <c r="A7299" s="198"/>
    </row>
    <row r="7300" spans="1:1" s="199" customFormat="1" ht="12" hidden="1" customHeight="1">
      <c r="A7300" s="198"/>
    </row>
    <row r="7301" spans="1:1" s="199" customFormat="1" ht="12" hidden="1" customHeight="1">
      <c r="A7301" s="198"/>
    </row>
    <row r="7302" spans="1:1" s="199" customFormat="1" ht="12" hidden="1" customHeight="1">
      <c r="A7302" s="198"/>
    </row>
    <row r="7303" spans="1:1" s="199" customFormat="1" ht="12" hidden="1" customHeight="1">
      <c r="A7303" s="198"/>
    </row>
    <row r="7304" spans="1:1" s="199" customFormat="1" ht="12" hidden="1" customHeight="1">
      <c r="A7304" s="198"/>
    </row>
    <row r="7305" spans="1:1" s="199" customFormat="1" ht="12" hidden="1" customHeight="1">
      <c r="A7305" s="198"/>
    </row>
    <row r="7306" spans="1:1" s="199" customFormat="1" ht="12" hidden="1" customHeight="1">
      <c r="A7306" s="198"/>
    </row>
    <row r="7307" spans="1:1" s="199" customFormat="1" ht="12" hidden="1" customHeight="1">
      <c r="A7307" s="198"/>
    </row>
    <row r="7308" spans="1:1" s="199" customFormat="1" ht="12" hidden="1" customHeight="1">
      <c r="A7308" s="198"/>
    </row>
    <row r="7309" spans="1:1" s="199" customFormat="1" ht="12" hidden="1" customHeight="1">
      <c r="A7309" s="198"/>
    </row>
    <row r="7310" spans="1:1" s="199" customFormat="1" ht="12" hidden="1" customHeight="1">
      <c r="A7310" s="198"/>
    </row>
    <row r="7311" spans="1:1" s="199" customFormat="1" ht="12" hidden="1" customHeight="1">
      <c r="A7311" s="198"/>
    </row>
    <row r="7312" spans="1:1" s="199" customFormat="1" ht="12" hidden="1" customHeight="1">
      <c r="A7312" s="198"/>
    </row>
    <row r="7313" spans="1:1" s="199" customFormat="1" ht="12" hidden="1" customHeight="1">
      <c r="A7313" s="198"/>
    </row>
    <row r="7314" spans="1:1" s="199" customFormat="1" ht="12" hidden="1" customHeight="1">
      <c r="A7314" s="198"/>
    </row>
    <row r="7315" spans="1:1" s="199" customFormat="1" ht="12" hidden="1" customHeight="1">
      <c r="A7315" s="198"/>
    </row>
    <row r="7316" spans="1:1" s="199" customFormat="1" ht="12" hidden="1" customHeight="1">
      <c r="A7316" s="198"/>
    </row>
    <row r="7317" spans="1:1" s="199" customFormat="1" ht="12" hidden="1" customHeight="1">
      <c r="A7317" s="198"/>
    </row>
    <row r="7318" spans="1:1" s="199" customFormat="1" ht="12" hidden="1" customHeight="1">
      <c r="A7318" s="198"/>
    </row>
    <row r="7319" spans="1:1" s="199" customFormat="1" ht="12" hidden="1" customHeight="1">
      <c r="A7319" s="198"/>
    </row>
    <row r="7320" spans="1:1" s="199" customFormat="1" ht="12" hidden="1" customHeight="1">
      <c r="A7320" s="198"/>
    </row>
    <row r="7321" spans="1:1" s="199" customFormat="1" ht="12" hidden="1" customHeight="1">
      <c r="A7321" s="198"/>
    </row>
    <row r="7322" spans="1:1" s="199" customFormat="1" ht="12" hidden="1" customHeight="1">
      <c r="A7322" s="198"/>
    </row>
    <row r="7323" spans="1:1" s="199" customFormat="1" ht="12" hidden="1" customHeight="1">
      <c r="A7323" s="198"/>
    </row>
    <row r="7324" spans="1:1" s="199" customFormat="1" ht="12" hidden="1" customHeight="1">
      <c r="A7324" s="198"/>
    </row>
    <row r="7325" spans="1:1" s="199" customFormat="1" ht="12" hidden="1" customHeight="1">
      <c r="A7325" s="198"/>
    </row>
    <row r="7326" spans="1:1" s="199" customFormat="1" ht="12" hidden="1" customHeight="1">
      <c r="A7326" s="198"/>
    </row>
    <row r="7327" spans="1:1" s="199" customFormat="1" ht="12" hidden="1" customHeight="1">
      <c r="A7327" s="198"/>
    </row>
    <row r="7328" spans="1:1" s="199" customFormat="1" ht="12" hidden="1" customHeight="1">
      <c r="A7328" s="198"/>
    </row>
    <row r="7329" spans="1:1" s="199" customFormat="1" ht="12" hidden="1" customHeight="1">
      <c r="A7329" s="198"/>
    </row>
    <row r="7330" spans="1:1" s="199" customFormat="1" ht="12" hidden="1" customHeight="1">
      <c r="A7330" s="198"/>
    </row>
    <row r="7331" spans="1:1" s="199" customFormat="1" ht="12" hidden="1" customHeight="1">
      <c r="A7331" s="198"/>
    </row>
    <row r="7332" spans="1:1" s="199" customFormat="1" ht="12" hidden="1" customHeight="1">
      <c r="A7332" s="198"/>
    </row>
    <row r="7333" spans="1:1" s="199" customFormat="1" ht="12" hidden="1" customHeight="1">
      <c r="A7333" s="198"/>
    </row>
    <row r="7334" spans="1:1" s="199" customFormat="1" ht="12" hidden="1" customHeight="1">
      <c r="A7334" s="198"/>
    </row>
    <row r="7335" spans="1:1" s="199" customFormat="1" ht="12" hidden="1" customHeight="1">
      <c r="A7335" s="198"/>
    </row>
    <row r="7336" spans="1:1" s="199" customFormat="1" ht="12" hidden="1" customHeight="1">
      <c r="A7336" s="198"/>
    </row>
    <row r="7337" spans="1:1" s="199" customFormat="1" ht="12" hidden="1" customHeight="1">
      <c r="A7337" s="198"/>
    </row>
    <row r="7338" spans="1:1" s="199" customFormat="1" ht="12" hidden="1" customHeight="1">
      <c r="A7338" s="198"/>
    </row>
    <row r="7339" spans="1:1" s="199" customFormat="1" ht="12" hidden="1" customHeight="1">
      <c r="A7339" s="198"/>
    </row>
    <row r="7340" spans="1:1" s="199" customFormat="1" ht="12" hidden="1" customHeight="1">
      <c r="A7340" s="198"/>
    </row>
    <row r="7341" spans="1:1" s="199" customFormat="1" ht="12" hidden="1" customHeight="1">
      <c r="A7341" s="198"/>
    </row>
    <row r="7342" spans="1:1" s="199" customFormat="1" ht="12" hidden="1" customHeight="1">
      <c r="A7342" s="198"/>
    </row>
    <row r="7343" spans="1:1" s="199" customFormat="1" ht="12" hidden="1" customHeight="1">
      <c r="A7343" s="198"/>
    </row>
    <row r="7344" spans="1:1" s="199" customFormat="1" ht="12" hidden="1" customHeight="1">
      <c r="A7344" s="198"/>
    </row>
    <row r="7345" spans="1:1" s="199" customFormat="1" ht="12" hidden="1" customHeight="1">
      <c r="A7345" s="198"/>
    </row>
    <row r="7346" spans="1:1" s="199" customFormat="1" ht="12" hidden="1" customHeight="1">
      <c r="A7346" s="198"/>
    </row>
    <row r="7347" spans="1:1" s="199" customFormat="1" ht="12" hidden="1" customHeight="1">
      <c r="A7347" s="198"/>
    </row>
    <row r="7348" spans="1:1" s="199" customFormat="1" ht="12" hidden="1" customHeight="1">
      <c r="A7348" s="198"/>
    </row>
    <row r="7349" spans="1:1" s="199" customFormat="1" ht="12" hidden="1" customHeight="1">
      <c r="A7349" s="198"/>
    </row>
    <row r="7350" spans="1:1" s="199" customFormat="1" ht="12" hidden="1" customHeight="1">
      <c r="A7350" s="198"/>
    </row>
    <row r="7351" spans="1:1" s="199" customFormat="1" ht="12" hidden="1" customHeight="1">
      <c r="A7351" s="198"/>
    </row>
    <row r="7352" spans="1:1" s="199" customFormat="1" ht="12" hidden="1" customHeight="1">
      <c r="A7352" s="198"/>
    </row>
    <row r="7353" spans="1:1" s="199" customFormat="1" ht="12" hidden="1" customHeight="1">
      <c r="A7353" s="198"/>
    </row>
    <row r="7354" spans="1:1" s="199" customFormat="1" ht="12" hidden="1" customHeight="1">
      <c r="A7354" s="198"/>
    </row>
    <row r="7355" spans="1:1" s="199" customFormat="1" ht="12" hidden="1" customHeight="1">
      <c r="A7355" s="198"/>
    </row>
    <row r="7356" spans="1:1" s="199" customFormat="1" ht="12" hidden="1" customHeight="1">
      <c r="A7356" s="198"/>
    </row>
    <row r="7357" spans="1:1" s="199" customFormat="1" ht="12" hidden="1" customHeight="1">
      <c r="A7357" s="198"/>
    </row>
    <row r="7358" spans="1:1" s="199" customFormat="1" ht="12" hidden="1" customHeight="1">
      <c r="A7358" s="198"/>
    </row>
    <row r="7359" spans="1:1" s="199" customFormat="1" ht="12" hidden="1" customHeight="1">
      <c r="A7359" s="198"/>
    </row>
    <row r="7360" spans="1:1" s="199" customFormat="1" ht="12" hidden="1" customHeight="1">
      <c r="A7360" s="198"/>
    </row>
    <row r="7361" spans="1:1" s="199" customFormat="1" ht="12" hidden="1" customHeight="1">
      <c r="A7361" s="198"/>
    </row>
    <row r="7362" spans="1:1" s="199" customFormat="1" ht="12" hidden="1" customHeight="1">
      <c r="A7362" s="198"/>
    </row>
    <row r="7363" spans="1:1" s="199" customFormat="1" ht="12" hidden="1" customHeight="1">
      <c r="A7363" s="198"/>
    </row>
    <row r="7364" spans="1:1" s="199" customFormat="1" ht="12" hidden="1" customHeight="1">
      <c r="A7364" s="198"/>
    </row>
    <row r="7365" spans="1:1" s="199" customFormat="1" ht="12" hidden="1" customHeight="1">
      <c r="A7365" s="198"/>
    </row>
    <row r="7366" spans="1:1" s="199" customFormat="1" ht="12" hidden="1" customHeight="1">
      <c r="A7366" s="198"/>
    </row>
    <row r="7367" spans="1:1" s="199" customFormat="1" ht="12" hidden="1" customHeight="1">
      <c r="A7367" s="198"/>
    </row>
    <row r="7368" spans="1:1" s="199" customFormat="1" ht="12" hidden="1" customHeight="1">
      <c r="A7368" s="198"/>
    </row>
    <row r="7369" spans="1:1" s="199" customFormat="1" ht="12" hidden="1" customHeight="1">
      <c r="A7369" s="198"/>
    </row>
    <row r="7370" spans="1:1" s="199" customFormat="1" ht="12" hidden="1" customHeight="1">
      <c r="A7370" s="198"/>
    </row>
    <row r="7371" spans="1:1" s="199" customFormat="1" ht="12" hidden="1" customHeight="1">
      <c r="A7371" s="198"/>
    </row>
    <row r="7372" spans="1:1" s="199" customFormat="1" ht="12" hidden="1" customHeight="1">
      <c r="A7372" s="198"/>
    </row>
    <row r="7373" spans="1:1" s="199" customFormat="1" ht="12" hidden="1" customHeight="1">
      <c r="A7373" s="198"/>
    </row>
    <row r="7374" spans="1:1" s="199" customFormat="1" ht="12" hidden="1" customHeight="1">
      <c r="A7374" s="198"/>
    </row>
    <row r="7375" spans="1:1" s="199" customFormat="1" ht="12" hidden="1" customHeight="1">
      <c r="A7375" s="198"/>
    </row>
    <row r="7376" spans="1:1" s="199" customFormat="1" ht="12" hidden="1" customHeight="1">
      <c r="A7376" s="198"/>
    </row>
    <row r="7377" spans="1:1" s="199" customFormat="1" ht="12" hidden="1" customHeight="1">
      <c r="A7377" s="198"/>
    </row>
    <row r="7378" spans="1:1" s="199" customFormat="1" ht="12" hidden="1" customHeight="1">
      <c r="A7378" s="198"/>
    </row>
    <row r="7379" spans="1:1" s="199" customFormat="1" ht="12" hidden="1" customHeight="1">
      <c r="A7379" s="198"/>
    </row>
    <row r="7380" spans="1:1" s="199" customFormat="1" ht="12" hidden="1" customHeight="1">
      <c r="A7380" s="198"/>
    </row>
    <row r="7381" spans="1:1" s="199" customFormat="1" ht="12" hidden="1" customHeight="1">
      <c r="A7381" s="198"/>
    </row>
    <row r="7382" spans="1:1" s="199" customFormat="1" ht="12" hidden="1" customHeight="1">
      <c r="A7382" s="198"/>
    </row>
    <row r="7383" spans="1:1" s="199" customFormat="1" ht="12" hidden="1" customHeight="1">
      <c r="A7383" s="198"/>
    </row>
    <row r="7384" spans="1:1" s="199" customFormat="1" ht="12" hidden="1" customHeight="1">
      <c r="A7384" s="198"/>
    </row>
    <row r="7385" spans="1:1" s="199" customFormat="1" ht="12" hidden="1" customHeight="1">
      <c r="A7385" s="198"/>
    </row>
    <row r="7386" spans="1:1" s="199" customFormat="1" ht="12" hidden="1" customHeight="1">
      <c r="A7386" s="198"/>
    </row>
    <row r="7387" spans="1:1" s="199" customFormat="1" ht="12" hidden="1" customHeight="1">
      <c r="A7387" s="198"/>
    </row>
    <row r="7388" spans="1:1" s="199" customFormat="1" ht="12" hidden="1" customHeight="1">
      <c r="A7388" s="198"/>
    </row>
    <row r="7389" spans="1:1" s="199" customFormat="1" ht="12" hidden="1" customHeight="1">
      <c r="A7389" s="198"/>
    </row>
    <row r="7390" spans="1:1" s="199" customFormat="1" ht="12" hidden="1" customHeight="1">
      <c r="A7390" s="198"/>
    </row>
    <row r="7391" spans="1:1" s="199" customFormat="1" ht="12" hidden="1" customHeight="1">
      <c r="A7391" s="198"/>
    </row>
    <row r="7392" spans="1:1" s="199" customFormat="1" ht="12" hidden="1" customHeight="1">
      <c r="A7392" s="198"/>
    </row>
    <row r="7393" spans="1:1" s="199" customFormat="1" ht="12" hidden="1" customHeight="1">
      <c r="A7393" s="198"/>
    </row>
    <row r="7394" spans="1:1" s="199" customFormat="1" ht="12" hidden="1" customHeight="1">
      <c r="A7394" s="198"/>
    </row>
    <row r="7395" spans="1:1" s="199" customFormat="1" ht="12" hidden="1" customHeight="1">
      <c r="A7395" s="198"/>
    </row>
    <row r="7396" spans="1:1" s="199" customFormat="1" ht="12" hidden="1" customHeight="1">
      <c r="A7396" s="198"/>
    </row>
    <row r="7397" spans="1:1" s="199" customFormat="1" ht="12" hidden="1" customHeight="1">
      <c r="A7397" s="198"/>
    </row>
    <row r="7398" spans="1:1" s="199" customFormat="1" ht="12" hidden="1" customHeight="1">
      <c r="A7398" s="198"/>
    </row>
    <row r="7399" spans="1:1" s="199" customFormat="1" ht="12" hidden="1" customHeight="1">
      <c r="A7399" s="198"/>
    </row>
    <row r="7400" spans="1:1" s="199" customFormat="1" ht="12" hidden="1" customHeight="1">
      <c r="A7400" s="198"/>
    </row>
    <row r="7401" spans="1:1" s="199" customFormat="1" ht="12" hidden="1" customHeight="1">
      <c r="A7401" s="198"/>
    </row>
    <row r="7402" spans="1:1" s="199" customFormat="1" ht="12" hidden="1" customHeight="1">
      <c r="A7402" s="198"/>
    </row>
    <row r="7403" spans="1:1" s="199" customFormat="1" ht="12" hidden="1" customHeight="1">
      <c r="A7403" s="198"/>
    </row>
    <row r="7404" spans="1:1" s="199" customFormat="1" ht="12" hidden="1" customHeight="1">
      <c r="A7404" s="198"/>
    </row>
    <row r="7405" spans="1:1" s="199" customFormat="1" ht="12" hidden="1" customHeight="1">
      <c r="A7405" s="198"/>
    </row>
    <row r="7406" spans="1:1" s="199" customFormat="1" ht="12" hidden="1" customHeight="1">
      <c r="A7406" s="198"/>
    </row>
    <row r="7407" spans="1:1" s="199" customFormat="1" ht="12" hidden="1" customHeight="1">
      <c r="A7407" s="198"/>
    </row>
    <row r="7408" spans="1:1" s="199" customFormat="1" ht="12" hidden="1" customHeight="1">
      <c r="A7408" s="198"/>
    </row>
    <row r="7409" spans="1:1" s="199" customFormat="1" ht="12" hidden="1" customHeight="1">
      <c r="A7409" s="198"/>
    </row>
    <row r="7410" spans="1:1" s="199" customFormat="1" ht="12" hidden="1" customHeight="1">
      <c r="A7410" s="198"/>
    </row>
    <row r="7411" spans="1:1" s="199" customFormat="1" ht="12" hidden="1" customHeight="1">
      <c r="A7411" s="198"/>
    </row>
    <row r="7412" spans="1:1" s="199" customFormat="1" ht="12" hidden="1" customHeight="1">
      <c r="A7412" s="198"/>
    </row>
    <row r="7413" spans="1:1" s="199" customFormat="1" ht="12" hidden="1" customHeight="1">
      <c r="A7413" s="198"/>
    </row>
    <row r="7414" spans="1:1" s="199" customFormat="1" ht="12" hidden="1" customHeight="1">
      <c r="A7414" s="198"/>
    </row>
    <row r="7415" spans="1:1" s="199" customFormat="1" ht="12" hidden="1" customHeight="1">
      <c r="A7415" s="198"/>
    </row>
    <row r="7416" spans="1:1" s="199" customFormat="1" ht="12" hidden="1" customHeight="1">
      <c r="A7416" s="198"/>
    </row>
    <row r="7417" spans="1:1" s="199" customFormat="1" ht="12" hidden="1" customHeight="1">
      <c r="A7417" s="198"/>
    </row>
    <row r="7418" spans="1:1" s="199" customFormat="1" ht="12" hidden="1" customHeight="1">
      <c r="A7418" s="198"/>
    </row>
    <row r="7419" spans="1:1" s="199" customFormat="1" ht="12" hidden="1" customHeight="1">
      <c r="A7419" s="198"/>
    </row>
    <row r="7420" spans="1:1" s="199" customFormat="1" ht="12" hidden="1" customHeight="1">
      <c r="A7420" s="198"/>
    </row>
    <row r="7421" spans="1:1" s="199" customFormat="1" ht="12" hidden="1" customHeight="1">
      <c r="A7421" s="198"/>
    </row>
    <row r="7422" spans="1:1" s="199" customFormat="1" ht="12" hidden="1" customHeight="1">
      <c r="A7422" s="198"/>
    </row>
    <row r="7423" spans="1:1" s="199" customFormat="1" ht="12" hidden="1" customHeight="1">
      <c r="A7423" s="198"/>
    </row>
    <row r="7424" spans="1:1" s="199" customFormat="1" ht="12" hidden="1" customHeight="1">
      <c r="A7424" s="198"/>
    </row>
    <row r="7425" spans="1:1" s="199" customFormat="1" ht="12" hidden="1" customHeight="1">
      <c r="A7425" s="198"/>
    </row>
    <row r="7426" spans="1:1" s="199" customFormat="1" ht="12" hidden="1" customHeight="1">
      <c r="A7426" s="198"/>
    </row>
    <row r="7427" spans="1:1" s="199" customFormat="1" ht="12" hidden="1" customHeight="1">
      <c r="A7427" s="198"/>
    </row>
    <row r="7428" spans="1:1" s="199" customFormat="1" ht="12" hidden="1" customHeight="1">
      <c r="A7428" s="198"/>
    </row>
    <row r="7429" spans="1:1" s="199" customFormat="1" ht="12" hidden="1" customHeight="1">
      <c r="A7429" s="198"/>
    </row>
    <row r="7430" spans="1:1" s="199" customFormat="1" ht="12" hidden="1" customHeight="1">
      <c r="A7430" s="198"/>
    </row>
    <row r="7431" spans="1:1" s="199" customFormat="1" ht="12" hidden="1" customHeight="1">
      <c r="A7431" s="198"/>
    </row>
    <row r="7432" spans="1:1" s="199" customFormat="1" ht="12" hidden="1" customHeight="1">
      <c r="A7432" s="198"/>
    </row>
    <row r="7433" spans="1:1" s="199" customFormat="1" ht="12" hidden="1" customHeight="1">
      <c r="A7433" s="198"/>
    </row>
    <row r="7434" spans="1:1" s="199" customFormat="1" ht="12" hidden="1" customHeight="1">
      <c r="A7434" s="198"/>
    </row>
    <row r="7435" spans="1:1" s="199" customFormat="1" ht="12" hidden="1" customHeight="1">
      <c r="A7435" s="198"/>
    </row>
    <row r="7436" spans="1:1" s="199" customFormat="1" ht="12" hidden="1" customHeight="1">
      <c r="A7436" s="198"/>
    </row>
    <row r="7437" spans="1:1" s="199" customFormat="1" ht="12" hidden="1" customHeight="1">
      <c r="A7437" s="198"/>
    </row>
    <row r="7438" spans="1:1" s="199" customFormat="1" ht="12" hidden="1" customHeight="1">
      <c r="A7438" s="198"/>
    </row>
    <row r="7439" spans="1:1" s="199" customFormat="1" ht="12" hidden="1" customHeight="1">
      <c r="A7439" s="198"/>
    </row>
    <row r="7440" spans="1:1" s="199" customFormat="1" ht="12" hidden="1" customHeight="1">
      <c r="A7440" s="198"/>
    </row>
    <row r="7441" spans="1:1" s="199" customFormat="1" ht="12" hidden="1" customHeight="1">
      <c r="A7441" s="198"/>
    </row>
    <row r="7442" spans="1:1" s="199" customFormat="1" ht="12" hidden="1" customHeight="1">
      <c r="A7442" s="198"/>
    </row>
    <row r="7443" spans="1:1" s="199" customFormat="1" ht="12" hidden="1" customHeight="1">
      <c r="A7443" s="198"/>
    </row>
    <row r="7444" spans="1:1" s="199" customFormat="1" ht="12" hidden="1" customHeight="1">
      <c r="A7444" s="198"/>
    </row>
    <row r="7445" spans="1:1" s="199" customFormat="1" ht="12" hidden="1" customHeight="1">
      <c r="A7445" s="198"/>
    </row>
    <row r="7446" spans="1:1" s="199" customFormat="1" ht="12" hidden="1" customHeight="1">
      <c r="A7446" s="198"/>
    </row>
    <row r="7447" spans="1:1" s="199" customFormat="1" ht="12" hidden="1" customHeight="1">
      <c r="A7447" s="198"/>
    </row>
    <row r="7448" spans="1:1" s="199" customFormat="1" ht="12" hidden="1" customHeight="1">
      <c r="A7448" s="198"/>
    </row>
    <row r="7449" spans="1:1" s="199" customFormat="1" ht="12" hidden="1" customHeight="1">
      <c r="A7449" s="198"/>
    </row>
    <row r="7450" spans="1:1" s="199" customFormat="1" ht="12" hidden="1" customHeight="1">
      <c r="A7450" s="198"/>
    </row>
    <row r="7451" spans="1:1" s="199" customFormat="1" ht="12" hidden="1" customHeight="1">
      <c r="A7451" s="198"/>
    </row>
    <row r="7452" spans="1:1" s="199" customFormat="1" ht="12" hidden="1" customHeight="1">
      <c r="A7452" s="198"/>
    </row>
    <row r="7453" spans="1:1" s="199" customFormat="1" ht="12" hidden="1" customHeight="1">
      <c r="A7453" s="198"/>
    </row>
    <row r="7454" spans="1:1" s="199" customFormat="1" ht="12" hidden="1" customHeight="1">
      <c r="A7454" s="198"/>
    </row>
    <row r="7455" spans="1:1" s="199" customFormat="1" ht="12" hidden="1" customHeight="1">
      <c r="A7455" s="198"/>
    </row>
    <row r="7456" spans="1:1" s="199" customFormat="1" ht="12" hidden="1" customHeight="1">
      <c r="A7456" s="198"/>
    </row>
    <row r="7457" spans="1:1" s="199" customFormat="1" ht="12" hidden="1" customHeight="1">
      <c r="A7457" s="198"/>
    </row>
    <row r="7458" spans="1:1" s="199" customFormat="1" ht="12" hidden="1" customHeight="1">
      <c r="A7458" s="198"/>
    </row>
    <row r="7459" spans="1:1" s="199" customFormat="1" ht="12" hidden="1" customHeight="1">
      <c r="A7459" s="198"/>
    </row>
    <row r="7460" spans="1:1" s="199" customFormat="1" ht="12" hidden="1" customHeight="1">
      <c r="A7460" s="198"/>
    </row>
    <row r="7461" spans="1:1" s="199" customFormat="1" ht="12" hidden="1" customHeight="1">
      <c r="A7461" s="198"/>
    </row>
    <row r="7462" spans="1:1" s="199" customFormat="1" ht="12" hidden="1" customHeight="1">
      <c r="A7462" s="198"/>
    </row>
    <row r="7463" spans="1:1" s="199" customFormat="1" ht="12" hidden="1" customHeight="1">
      <c r="A7463" s="198"/>
    </row>
    <row r="7464" spans="1:1" s="199" customFormat="1" ht="12" hidden="1" customHeight="1">
      <c r="A7464" s="198"/>
    </row>
    <row r="7465" spans="1:1" s="199" customFormat="1" ht="12" hidden="1" customHeight="1">
      <c r="A7465" s="198"/>
    </row>
    <row r="7466" spans="1:1" s="199" customFormat="1" ht="12" hidden="1" customHeight="1">
      <c r="A7466" s="198"/>
    </row>
    <row r="7467" spans="1:1" s="199" customFormat="1" ht="12" hidden="1" customHeight="1">
      <c r="A7467" s="198"/>
    </row>
    <row r="7468" spans="1:1" s="199" customFormat="1" ht="12" hidden="1" customHeight="1">
      <c r="A7468" s="198"/>
    </row>
    <row r="7469" spans="1:1" s="199" customFormat="1" ht="12" hidden="1" customHeight="1">
      <c r="A7469" s="198"/>
    </row>
    <row r="7470" spans="1:1" s="199" customFormat="1" ht="12" hidden="1" customHeight="1">
      <c r="A7470" s="198"/>
    </row>
    <row r="7471" spans="1:1" s="199" customFormat="1" ht="12" hidden="1" customHeight="1">
      <c r="A7471" s="198"/>
    </row>
    <row r="7472" spans="1:1" s="199" customFormat="1" ht="12" hidden="1" customHeight="1">
      <c r="A7472" s="198"/>
    </row>
    <row r="7473" spans="1:1" s="199" customFormat="1" ht="12" hidden="1" customHeight="1">
      <c r="A7473" s="198"/>
    </row>
    <row r="7474" spans="1:1" s="199" customFormat="1" ht="12" hidden="1" customHeight="1">
      <c r="A7474" s="198"/>
    </row>
    <row r="7475" spans="1:1" s="199" customFormat="1" ht="12" hidden="1" customHeight="1">
      <c r="A7475" s="198"/>
    </row>
    <row r="7476" spans="1:1" s="199" customFormat="1" ht="12" hidden="1" customHeight="1">
      <c r="A7476" s="198"/>
    </row>
    <row r="7477" spans="1:1" s="199" customFormat="1" ht="12" hidden="1" customHeight="1">
      <c r="A7477" s="198"/>
    </row>
    <row r="7478" spans="1:1" s="199" customFormat="1" ht="12" hidden="1" customHeight="1">
      <c r="A7478" s="198"/>
    </row>
    <row r="7479" spans="1:1" s="199" customFormat="1" ht="12" hidden="1" customHeight="1">
      <c r="A7479" s="198"/>
    </row>
    <row r="7480" spans="1:1" s="199" customFormat="1" ht="12" hidden="1" customHeight="1">
      <c r="A7480" s="198"/>
    </row>
    <row r="7481" spans="1:1" s="199" customFormat="1" ht="12" hidden="1" customHeight="1">
      <c r="A7481" s="198"/>
    </row>
    <row r="7482" spans="1:1" s="199" customFormat="1" ht="12" hidden="1" customHeight="1">
      <c r="A7482" s="198"/>
    </row>
    <row r="7483" spans="1:1" s="199" customFormat="1" ht="12" hidden="1" customHeight="1">
      <c r="A7483" s="198"/>
    </row>
    <row r="7484" spans="1:1" s="199" customFormat="1" ht="12" hidden="1" customHeight="1">
      <c r="A7484" s="198"/>
    </row>
    <row r="7485" spans="1:1" s="199" customFormat="1" ht="12" hidden="1" customHeight="1">
      <c r="A7485" s="198"/>
    </row>
    <row r="7486" spans="1:1" s="199" customFormat="1" ht="12" hidden="1" customHeight="1">
      <c r="A7486" s="198"/>
    </row>
    <row r="7487" spans="1:1" s="199" customFormat="1" ht="12" hidden="1" customHeight="1">
      <c r="A7487" s="198"/>
    </row>
    <row r="7488" spans="1:1" s="199" customFormat="1" ht="12" hidden="1" customHeight="1">
      <c r="A7488" s="198"/>
    </row>
    <row r="7489" spans="1:1" s="199" customFormat="1" ht="12" hidden="1" customHeight="1">
      <c r="A7489" s="198"/>
    </row>
    <row r="7490" spans="1:1" s="199" customFormat="1" ht="12" hidden="1" customHeight="1">
      <c r="A7490" s="198"/>
    </row>
    <row r="7491" spans="1:1" s="199" customFormat="1" ht="12" hidden="1" customHeight="1">
      <c r="A7491" s="198"/>
    </row>
    <row r="7492" spans="1:1" s="199" customFormat="1" ht="12" hidden="1" customHeight="1">
      <c r="A7492" s="198"/>
    </row>
    <row r="7493" spans="1:1" s="199" customFormat="1" ht="12" hidden="1" customHeight="1">
      <c r="A7493" s="198"/>
    </row>
    <row r="7494" spans="1:1" s="199" customFormat="1" ht="12" hidden="1" customHeight="1">
      <c r="A7494" s="198"/>
    </row>
    <row r="7495" spans="1:1" s="199" customFormat="1" ht="12" hidden="1" customHeight="1">
      <c r="A7495" s="198"/>
    </row>
    <row r="7496" spans="1:1" s="199" customFormat="1" ht="12" hidden="1" customHeight="1">
      <c r="A7496" s="198"/>
    </row>
    <row r="7497" spans="1:1" s="199" customFormat="1" ht="12" hidden="1" customHeight="1">
      <c r="A7497" s="198"/>
    </row>
    <row r="7498" spans="1:1" s="199" customFormat="1" ht="12" hidden="1" customHeight="1">
      <c r="A7498" s="198"/>
    </row>
    <row r="7499" spans="1:1" s="199" customFormat="1" ht="12" hidden="1" customHeight="1">
      <c r="A7499" s="198"/>
    </row>
    <row r="7500" spans="1:1" s="199" customFormat="1" ht="12" hidden="1" customHeight="1">
      <c r="A7500" s="198"/>
    </row>
    <row r="7501" spans="1:1" s="199" customFormat="1" ht="12" hidden="1" customHeight="1">
      <c r="A7501" s="198"/>
    </row>
    <row r="7502" spans="1:1" s="199" customFormat="1" ht="12" hidden="1" customHeight="1">
      <c r="A7502" s="198"/>
    </row>
    <row r="7503" spans="1:1" s="199" customFormat="1" ht="12" hidden="1" customHeight="1">
      <c r="A7503" s="198"/>
    </row>
    <row r="7504" spans="1:1" s="199" customFormat="1" ht="12" hidden="1" customHeight="1">
      <c r="A7504" s="198"/>
    </row>
    <row r="7505" spans="1:1" s="199" customFormat="1" ht="12" hidden="1" customHeight="1">
      <c r="A7505" s="198"/>
    </row>
    <row r="7506" spans="1:1" s="199" customFormat="1" ht="12" hidden="1" customHeight="1">
      <c r="A7506" s="198"/>
    </row>
    <row r="7507" spans="1:1" s="199" customFormat="1" ht="12" hidden="1" customHeight="1">
      <c r="A7507" s="198"/>
    </row>
    <row r="7508" spans="1:1" s="199" customFormat="1" ht="12" hidden="1" customHeight="1">
      <c r="A7508" s="198"/>
    </row>
    <row r="7509" spans="1:1" s="199" customFormat="1" ht="12" hidden="1" customHeight="1">
      <c r="A7509" s="198"/>
    </row>
    <row r="7510" spans="1:1" s="199" customFormat="1" ht="12" hidden="1" customHeight="1">
      <c r="A7510" s="198"/>
    </row>
    <row r="7511" spans="1:1" s="199" customFormat="1" ht="12" hidden="1" customHeight="1">
      <c r="A7511" s="198"/>
    </row>
    <row r="7512" spans="1:1" s="199" customFormat="1" ht="12" hidden="1" customHeight="1">
      <c r="A7512" s="198"/>
    </row>
    <row r="7513" spans="1:1" s="199" customFormat="1" ht="12" hidden="1" customHeight="1">
      <c r="A7513" s="198"/>
    </row>
    <row r="7514" spans="1:1" s="199" customFormat="1" ht="12" hidden="1" customHeight="1">
      <c r="A7514" s="198"/>
    </row>
    <row r="7515" spans="1:1" s="199" customFormat="1" ht="12" hidden="1" customHeight="1">
      <c r="A7515" s="198"/>
    </row>
    <row r="7516" spans="1:1" s="199" customFormat="1" ht="12" hidden="1" customHeight="1">
      <c r="A7516" s="198"/>
    </row>
    <row r="7517" spans="1:1" s="199" customFormat="1" ht="12" hidden="1" customHeight="1">
      <c r="A7517" s="198"/>
    </row>
    <row r="7518" spans="1:1" s="199" customFormat="1" ht="12" hidden="1" customHeight="1">
      <c r="A7518" s="198"/>
    </row>
    <row r="7519" spans="1:1" s="199" customFormat="1" ht="12" hidden="1" customHeight="1">
      <c r="A7519" s="198"/>
    </row>
    <row r="7520" spans="1:1" s="199" customFormat="1" ht="12" hidden="1" customHeight="1">
      <c r="A7520" s="198"/>
    </row>
    <row r="7521" spans="1:1" s="199" customFormat="1" ht="12" hidden="1" customHeight="1">
      <c r="A7521" s="198"/>
    </row>
    <row r="7522" spans="1:1" s="199" customFormat="1" ht="12" hidden="1" customHeight="1">
      <c r="A7522" s="198"/>
    </row>
    <row r="7523" spans="1:1" s="199" customFormat="1" ht="12" hidden="1" customHeight="1">
      <c r="A7523" s="198"/>
    </row>
    <row r="7524" spans="1:1" s="199" customFormat="1" ht="12" hidden="1" customHeight="1">
      <c r="A7524" s="198"/>
    </row>
    <row r="7525" spans="1:1" s="199" customFormat="1" ht="12" hidden="1" customHeight="1">
      <c r="A7525" s="198"/>
    </row>
    <row r="7526" spans="1:1" s="199" customFormat="1" ht="12" hidden="1" customHeight="1">
      <c r="A7526" s="198"/>
    </row>
    <row r="7527" spans="1:1" s="199" customFormat="1" ht="12" hidden="1" customHeight="1">
      <c r="A7527" s="198"/>
    </row>
    <row r="7528" spans="1:1" s="199" customFormat="1" ht="12" hidden="1" customHeight="1">
      <c r="A7528" s="198"/>
    </row>
    <row r="7529" spans="1:1" s="199" customFormat="1" ht="12" hidden="1" customHeight="1">
      <c r="A7529" s="198"/>
    </row>
    <row r="7530" spans="1:1" s="199" customFormat="1" ht="12" hidden="1" customHeight="1">
      <c r="A7530" s="198"/>
    </row>
    <row r="7531" spans="1:1" s="199" customFormat="1" ht="12" hidden="1" customHeight="1">
      <c r="A7531" s="198"/>
    </row>
    <row r="7532" spans="1:1" s="199" customFormat="1" ht="12" hidden="1" customHeight="1">
      <c r="A7532" s="198"/>
    </row>
    <row r="7533" spans="1:1" s="199" customFormat="1" ht="12" hidden="1" customHeight="1">
      <c r="A7533" s="198"/>
    </row>
    <row r="7534" spans="1:1" s="199" customFormat="1" ht="12" hidden="1" customHeight="1">
      <c r="A7534" s="198"/>
    </row>
    <row r="7535" spans="1:1" s="199" customFormat="1" ht="12" hidden="1" customHeight="1">
      <c r="A7535" s="198"/>
    </row>
    <row r="7536" spans="1:1" s="199" customFormat="1" ht="12" hidden="1" customHeight="1">
      <c r="A7536" s="198"/>
    </row>
    <row r="7537" spans="1:1" s="199" customFormat="1" ht="12" hidden="1" customHeight="1">
      <c r="A7537" s="198"/>
    </row>
    <row r="7538" spans="1:1" s="199" customFormat="1" ht="12" hidden="1" customHeight="1">
      <c r="A7538" s="198"/>
    </row>
    <row r="7539" spans="1:1" s="199" customFormat="1" ht="12" hidden="1" customHeight="1">
      <c r="A7539" s="198"/>
    </row>
    <row r="7540" spans="1:1" s="199" customFormat="1" ht="12" hidden="1" customHeight="1">
      <c r="A7540" s="198"/>
    </row>
    <row r="7541" spans="1:1" s="199" customFormat="1" ht="12" hidden="1" customHeight="1">
      <c r="A7541" s="198"/>
    </row>
    <row r="7542" spans="1:1" s="199" customFormat="1" ht="12" hidden="1" customHeight="1">
      <c r="A7542" s="198"/>
    </row>
    <row r="7543" spans="1:1" s="199" customFormat="1" ht="12" hidden="1" customHeight="1">
      <c r="A7543" s="198"/>
    </row>
    <row r="7544" spans="1:1" s="199" customFormat="1" ht="12" hidden="1" customHeight="1">
      <c r="A7544" s="198"/>
    </row>
    <row r="7545" spans="1:1" s="199" customFormat="1" ht="12" hidden="1" customHeight="1">
      <c r="A7545" s="198"/>
    </row>
    <row r="7546" spans="1:1" s="199" customFormat="1" ht="12" hidden="1" customHeight="1">
      <c r="A7546" s="198"/>
    </row>
    <row r="7547" spans="1:1" s="199" customFormat="1" ht="12" hidden="1" customHeight="1">
      <c r="A7547" s="198"/>
    </row>
    <row r="7548" spans="1:1" s="199" customFormat="1" ht="12" hidden="1" customHeight="1">
      <c r="A7548" s="198"/>
    </row>
    <row r="7549" spans="1:1" s="199" customFormat="1" ht="12" hidden="1" customHeight="1">
      <c r="A7549" s="198"/>
    </row>
    <row r="7550" spans="1:1" s="199" customFormat="1" ht="12" hidden="1" customHeight="1">
      <c r="A7550" s="198"/>
    </row>
    <row r="7551" spans="1:1" s="199" customFormat="1" ht="12" hidden="1" customHeight="1">
      <c r="A7551" s="198"/>
    </row>
    <row r="7552" spans="1:1" s="199" customFormat="1" ht="12" hidden="1" customHeight="1">
      <c r="A7552" s="198"/>
    </row>
    <row r="7553" spans="1:1" s="199" customFormat="1" ht="12" hidden="1" customHeight="1">
      <c r="A7553" s="198"/>
    </row>
    <row r="7554" spans="1:1" s="199" customFormat="1" ht="12" hidden="1" customHeight="1">
      <c r="A7554" s="198"/>
    </row>
    <row r="7555" spans="1:1" s="199" customFormat="1" ht="12" hidden="1" customHeight="1">
      <c r="A7555" s="198"/>
    </row>
    <row r="7556" spans="1:1" s="199" customFormat="1" ht="12" hidden="1" customHeight="1">
      <c r="A7556" s="198"/>
    </row>
    <row r="7557" spans="1:1" s="199" customFormat="1" ht="12" hidden="1" customHeight="1">
      <c r="A7557" s="198"/>
    </row>
    <row r="7558" spans="1:1" s="199" customFormat="1" ht="12" hidden="1" customHeight="1">
      <c r="A7558" s="198"/>
    </row>
    <row r="7559" spans="1:1" s="199" customFormat="1" ht="12" hidden="1" customHeight="1">
      <c r="A7559" s="198"/>
    </row>
    <row r="7560" spans="1:1" s="199" customFormat="1" ht="12" hidden="1" customHeight="1">
      <c r="A7560" s="198"/>
    </row>
    <row r="7561" spans="1:1" s="199" customFormat="1" ht="12" hidden="1" customHeight="1">
      <c r="A7561" s="198"/>
    </row>
    <row r="7562" spans="1:1" s="199" customFormat="1" ht="12" hidden="1" customHeight="1">
      <c r="A7562" s="198"/>
    </row>
    <row r="7563" spans="1:1" s="199" customFormat="1" ht="12" hidden="1" customHeight="1">
      <c r="A7563" s="198"/>
    </row>
    <row r="7564" spans="1:1" s="199" customFormat="1" ht="12" hidden="1" customHeight="1">
      <c r="A7564" s="198"/>
    </row>
    <row r="7565" spans="1:1" s="199" customFormat="1" ht="12" hidden="1" customHeight="1">
      <c r="A7565" s="198"/>
    </row>
    <row r="7566" spans="1:1" s="199" customFormat="1" ht="12" hidden="1" customHeight="1">
      <c r="A7566" s="198"/>
    </row>
    <row r="7567" spans="1:1" s="199" customFormat="1" ht="12" hidden="1" customHeight="1">
      <c r="A7567" s="198"/>
    </row>
    <row r="7568" spans="1:1" s="199" customFormat="1" ht="12" hidden="1" customHeight="1">
      <c r="A7568" s="198"/>
    </row>
    <row r="7569" spans="1:1" s="199" customFormat="1" ht="12" hidden="1" customHeight="1">
      <c r="A7569" s="198"/>
    </row>
    <row r="7570" spans="1:1" s="199" customFormat="1" ht="12" hidden="1" customHeight="1">
      <c r="A7570" s="198"/>
    </row>
    <row r="7571" spans="1:1" s="199" customFormat="1" ht="12" hidden="1" customHeight="1">
      <c r="A7571" s="198"/>
    </row>
    <row r="7572" spans="1:1" s="199" customFormat="1" ht="12" hidden="1" customHeight="1">
      <c r="A7572" s="198"/>
    </row>
    <row r="7573" spans="1:1" s="199" customFormat="1" ht="12" hidden="1" customHeight="1">
      <c r="A7573" s="198"/>
    </row>
    <row r="7574" spans="1:1" s="199" customFormat="1" ht="12" hidden="1" customHeight="1">
      <c r="A7574" s="198"/>
    </row>
    <row r="7575" spans="1:1" s="199" customFormat="1" ht="12" hidden="1" customHeight="1">
      <c r="A7575" s="198"/>
    </row>
    <row r="7576" spans="1:1" s="199" customFormat="1" ht="12" hidden="1" customHeight="1">
      <c r="A7576" s="198"/>
    </row>
    <row r="7577" spans="1:1" s="199" customFormat="1" ht="12" hidden="1" customHeight="1">
      <c r="A7577" s="198"/>
    </row>
    <row r="7578" spans="1:1" s="199" customFormat="1" ht="12" hidden="1" customHeight="1">
      <c r="A7578" s="198"/>
    </row>
    <row r="7579" spans="1:1" s="199" customFormat="1" ht="12" hidden="1" customHeight="1">
      <c r="A7579" s="198"/>
    </row>
    <row r="7580" spans="1:1" s="199" customFormat="1" ht="12" hidden="1" customHeight="1">
      <c r="A7580" s="198"/>
    </row>
    <row r="7581" spans="1:1" s="199" customFormat="1" ht="12" hidden="1" customHeight="1">
      <c r="A7581" s="198"/>
    </row>
    <row r="7582" spans="1:1" s="199" customFormat="1" ht="12" hidden="1" customHeight="1">
      <c r="A7582" s="198"/>
    </row>
    <row r="7583" spans="1:1" s="199" customFormat="1" ht="12" hidden="1" customHeight="1">
      <c r="A7583" s="198"/>
    </row>
    <row r="7584" spans="1:1" s="199" customFormat="1" ht="12" hidden="1" customHeight="1">
      <c r="A7584" s="198"/>
    </row>
    <row r="7585" spans="1:1" s="199" customFormat="1" ht="12" hidden="1" customHeight="1">
      <c r="A7585" s="198"/>
    </row>
    <row r="7586" spans="1:1" s="199" customFormat="1" ht="12" hidden="1" customHeight="1">
      <c r="A7586" s="198"/>
    </row>
    <row r="7587" spans="1:1" s="199" customFormat="1" ht="12" hidden="1" customHeight="1">
      <c r="A7587" s="198"/>
    </row>
    <row r="7588" spans="1:1" s="199" customFormat="1" ht="12" hidden="1" customHeight="1">
      <c r="A7588" s="198"/>
    </row>
    <row r="7589" spans="1:1" s="199" customFormat="1" ht="12" hidden="1" customHeight="1">
      <c r="A7589" s="198"/>
    </row>
    <row r="7590" spans="1:1" s="199" customFormat="1" ht="12" hidden="1" customHeight="1">
      <c r="A7590" s="198"/>
    </row>
    <row r="7591" spans="1:1" s="199" customFormat="1" ht="12" hidden="1" customHeight="1">
      <c r="A7591" s="198"/>
    </row>
    <row r="7592" spans="1:1" s="199" customFormat="1" ht="12" hidden="1" customHeight="1">
      <c r="A7592" s="198"/>
    </row>
    <row r="7593" spans="1:1" s="199" customFormat="1" ht="12" hidden="1" customHeight="1">
      <c r="A7593" s="198"/>
    </row>
    <row r="7594" spans="1:1" s="199" customFormat="1" ht="12" hidden="1" customHeight="1">
      <c r="A7594" s="198"/>
    </row>
    <row r="7595" spans="1:1" s="199" customFormat="1" ht="12" hidden="1" customHeight="1">
      <c r="A7595" s="198"/>
    </row>
    <row r="7596" spans="1:1" s="199" customFormat="1" ht="12" hidden="1" customHeight="1">
      <c r="A7596" s="198"/>
    </row>
    <row r="7597" spans="1:1" s="199" customFormat="1" ht="12" hidden="1" customHeight="1">
      <c r="A7597" s="198"/>
    </row>
    <row r="7598" spans="1:1" s="199" customFormat="1" ht="12" hidden="1" customHeight="1">
      <c r="A7598" s="198"/>
    </row>
    <row r="7599" spans="1:1" s="199" customFormat="1" ht="12" hidden="1" customHeight="1">
      <c r="A7599" s="198"/>
    </row>
    <row r="7600" spans="1:1" s="199" customFormat="1" ht="12" hidden="1" customHeight="1">
      <c r="A7600" s="198"/>
    </row>
    <row r="7601" spans="1:1" s="199" customFormat="1" ht="12" hidden="1" customHeight="1">
      <c r="A7601" s="198"/>
    </row>
    <row r="7602" spans="1:1" s="199" customFormat="1" ht="12" hidden="1" customHeight="1">
      <c r="A7602" s="198"/>
    </row>
    <row r="7603" spans="1:1" s="199" customFormat="1" ht="12" hidden="1" customHeight="1">
      <c r="A7603" s="198"/>
    </row>
    <row r="7604" spans="1:1" s="199" customFormat="1" ht="12" hidden="1" customHeight="1">
      <c r="A7604" s="198"/>
    </row>
    <row r="7605" spans="1:1" s="199" customFormat="1" ht="12" hidden="1" customHeight="1">
      <c r="A7605" s="198"/>
    </row>
    <row r="7606" spans="1:1" s="199" customFormat="1" ht="12" hidden="1" customHeight="1">
      <c r="A7606" s="198"/>
    </row>
    <row r="7607" spans="1:1" s="199" customFormat="1" ht="12" hidden="1" customHeight="1">
      <c r="A7607" s="198"/>
    </row>
    <row r="7608" spans="1:1" s="199" customFormat="1" ht="12" hidden="1" customHeight="1">
      <c r="A7608" s="198"/>
    </row>
    <row r="7609" spans="1:1" s="199" customFormat="1" ht="12" hidden="1" customHeight="1">
      <c r="A7609" s="198"/>
    </row>
    <row r="7610" spans="1:1" s="199" customFormat="1" ht="12" hidden="1" customHeight="1">
      <c r="A7610" s="198"/>
    </row>
    <row r="7611" spans="1:1" s="199" customFormat="1" ht="12" hidden="1" customHeight="1">
      <c r="A7611" s="198"/>
    </row>
    <row r="7612" spans="1:1" s="199" customFormat="1" ht="12" hidden="1" customHeight="1">
      <c r="A7612" s="198"/>
    </row>
    <row r="7613" spans="1:1" s="199" customFormat="1" ht="12" hidden="1" customHeight="1">
      <c r="A7613" s="198"/>
    </row>
    <row r="7614" spans="1:1" s="199" customFormat="1" ht="12" hidden="1" customHeight="1">
      <c r="A7614" s="198"/>
    </row>
    <row r="7615" spans="1:1" s="199" customFormat="1" ht="12" hidden="1" customHeight="1">
      <c r="A7615" s="198"/>
    </row>
    <row r="7616" spans="1:1" s="199" customFormat="1" ht="12" hidden="1" customHeight="1">
      <c r="A7616" s="198"/>
    </row>
    <row r="7617" spans="1:1" s="199" customFormat="1" ht="12" hidden="1" customHeight="1">
      <c r="A7617" s="198"/>
    </row>
    <row r="7618" spans="1:1" s="199" customFormat="1" ht="12" hidden="1" customHeight="1">
      <c r="A7618" s="198"/>
    </row>
    <row r="7619" spans="1:1" s="199" customFormat="1" ht="12" hidden="1" customHeight="1">
      <c r="A7619" s="198"/>
    </row>
    <row r="7620" spans="1:1" s="199" customFormat="1" ht="12" hidden="1" customHeight="1">
      <c r="A7620" s="198"/>
    </row>
    <row r="7621" spans="1:1" s="199" customFormat="1" ht="12" hidden="1" customHeight="1">
      <c r="A7621" s="198"/>
    </row>
    <row r="7622" spans="1:1" s="199" customFormat="1" ht="12" hidden="1" customHeight="1">
      <c r="A7622" s="198"/>
    </row>
    <row r="7623" spans="1:1" s="199" customFormat="1" ht="12" hidden="1" customHeight="1">
      <c r="A7623" s="198"/>
    </row>
    <row r="7624" spans="1:1" s="199" customFormat="1" ht="12" hidden="1" customHeight="1">
      <c r="A7624" s="198"/>
    </row>
    <row r="7625" spans="1:1" s="199" customFormat="1" ht="12" hidden="1" customHeight="1">
      <c r="A7625" s="198"/>
    </row>
    <row r="7626" spans="1:1" s="199" customFormat="1" ht="12" hidden="1" customHeight="1">
      <c r="A7626" s="198"/>
    </row>
    <row r="7627" spans="1:1" s="199" customFormat="1" ht="12" hidden="1" customHeight="1">
      <c r="A7627" s="198"/>
    </row>
    <row r="7628" spans="1:1" s="199" customFormat="1" ht="12" hidden="1" customHeight="1">
      <c r="A7628" s="198"/>
    </row>
    <row r="7629" spans="1:1" s="199" customFormat="1" ht="12" hidden="1" customHeight="1">
      <c r="A7629" s="198"/>
    </row>
    <row r="7630" spans="1:1" s="199" customFormat="1" ht="12" hidden="1" customHeight="1">
      <c r="A7630" s="198"/>
    </row>
    <row r="7631" spans="1:1" s="199" customFormat="1" ht="12" hidden="1" customHeight="1">
      <c r="A7631" s="198"/>
    </row>
    <row r="7632" spans="1:1" s="199" customFormat="1" ht="12" hidden="1" customHeight="1">
      <c r="A7632" s="198"/>
    </row>
    <row r="7633" spans="1:1" s="199" customFormat="1" ht="12" hidden="1" customHeight="1">
      <c r="A7633" s="198"/>
    </row>
    <row r="7634" spans="1:1" s="199" customFormat="1" ht="12" hidden="1" customHeight="1">
      <c r="A7634" s="198"/>
    </row>
    <row r="7635" spans="1:1" s="199" customFormat="1" ht="12" hidden="1" customHeight="1">
      <c r="A7635" s="198"/>
    </row>
    <row r="7636" spans="1:1" s="199" customFormat="1" ht="12" hidden="1" customHeight="1">
      <c r="A7636" s="198"/>
    </row>
    <row r="7637" spans="1:1" s="199" customFormat="1" ht="12" hidden="1" customHeight="1">
      <c r="A7637" s="198"/>
    </row>
    <row r="7638" spans="1:1" s="199" customFormat="1" ht="12" hidden="1" customHeight="1">
      <c r="A7638" s="198"/>
    </row>
    <row r="7639" spans="1:1" s="199" customFormat="1" ht="12" hidden="1" customHeight="1">
      <c r="A7639" s="198"/>
    </row>
    <row r="7640" spans="1:1" s="199" customFormat="1" ht="12" hidden="1" customHeight="1">
      <c r="A7640" s="198"/>
    </row>
    <row r="7641" spans="1:1" s="199" customFormat="1" ht="12" hidden="1" customHeight="1">
      <c r="A7641" s="198"/>
    </row>
    <row r="7642" spans="1:1" s="199" customFormat="1" ht="12" hidden="1" customHeight="1">
      <c r="A7642" s="198"/>
    </row>
    <row r="7643" spans="1:1" s="199" customFormat="1" ht="12" hidden="1" customHeight="1">
      <c r="A7643" s="198"/>
    </row>
    <row r="7644" spans="1:1" s="199" customFormat="1" ht="12" hidden="1" customHeight="1">
      <c r="A7644" s="198"/>
    </row>
    <row r="7645" spans="1:1" s="199" customFormat="1" ht="12" hidden="1" customHeight="1">
      <c r="A7645" s="198"/>
    </row>
    <row r="7646" spans="1:1" s="199" customFormat="1" ht="12" hidden="1" customHeight="1">
      <c r="A7646" s="198"/>
    </row>
    <row r="7647" spans="1:1" s="199" customFormat="1" ht="12" hidden="1" customHeight="1">
      <c r="A7647" s="198"/>
    </row>
    <row r="7648" spans="1:1" s="199" customFormat="1" ht="12" hidden="1" customHeight="1">
      <c r="A7648" s="198"/>
    </row>
    <row r="7649" spans="1:1" s="199" customFormat="1" ht="12" hidden="1" customHeight="1">
      <c r="A7649" s="198"/>
    </row>
    <row r="7650" spans="1:1" s="199" customFormat="1" ht="12" hidden="1" customHeight="1">
      <c r="A7650" s="198"/>
    </row>
    <row r="7651" spans="1:1" s="199" customFormat="1" ht="12" hidden="1" customHeight="1">
      <c r="A7651" s="198"/>
    </row>
    <row r="7652" spans="1:1" s="199" customFormat="1" ht="12" hidden="1" customHeight="1">
      <c r="A7652" s="198"/>
    </row>
    <row r="7653" spans="1:1" s="199" customFormat="1" ht="12" hidden="1" customHeight="1">
      <c r="A7653" s="198"/>
    </row>
    <row r="7654" spans="1:1" s="199" customFormat="1" ht="12" hidden="1" customHeight="1">
      <c r="A7654" s="198"/>
    </row>
    <row r="7655" spans="1:1" s="199" customFormat="1" ht="12" hidden="1" customHeight="1">
      <c r="A7655" s="198"/>
    </row>
    <row r="7656" spans="1:1" s="199" customFormat="1" ht="12" hidden="1" customHeight="1">
      <c r="A7656" s="198"/>
    </row>
    <row r="7657" spans="1:1" s="199" customFormat="1" ht="12" hidden="1" customHeight="1">
      <c r="A7657" s="198"/>
    </row>
    <row r="7658" spans="1:1" s="199" customFormat="1" ht="12" hidden="1" customHeight="1">
      <c r="A7658" s="198"/>
    </row>
    <row r="7659" spans="1:1" s="199" customFormat="1" ht="12" hidden="1" customHeight="1">
      <c r="A7659" s="198"/>
    </row>
    <row r="7660" spans="1:1" s="199" customFormat="1" ht="12" hidden="1" customHeight="1">
      <c r="A7660" s="198"/>
    </row>
    <row r="7661" spans="1:1" s="199" customFormat="1" ht="12" hidden="1" customHeight="1">
      <c r="A7661" s="198"/>
    </row>
    <row r="7662" spans="1:1" s="199" customFormat="1" ht="12" hidden="1" customHeight="1">
      <c r="A7662" s="198"/>
    </row>
    <row r="7663" spans="1:1" s="199" customFormat="1" ht="12" hidden="1" customHeight="1">
      <c r="A7663" s="198"/>
    </row>
    <row r="7664" spans="1:1" s="199" customFormat="1" ht="12" hidden="1" customHeight="1">
      <c r="A7664" s="198"/>
    </row>
    <row r="7665" spans="1:1" s="199" customFormat="1" ht="12" hidden="1" customHeight="1">
      <c r="A7665" s="198"/>
    </row>
    <row r="7666" spans="1:1" s="199" customFormat="1" ht="12" hidden="1" customHeight="1">
      <c r="A7666" s="198"/>
    </row>
    <row r="7667" spans="1:1" s="199" customFormat="1" ht="12" hidden="1" customHeight="1">
      <c r="A7667" s="198"/>
    </row>
    <row r="7668" spans="1:1" s="199" customFormat="1" ht="12" hidden="1" customHeight="1">
      <c r="A7668" s="198"/>
    </row>
    <row r="7669" spans="1:1" s="199" customFormat="1" ht="12" hidden="1" customHeight="1">
      <c r="A7669" s="198"/>
    </row>
    <row r="7670" spans="1:1" s="199" customFormat="1" ht="12" hidden="1" customHeight="1">
      <c r="A7670" s="198"/>
    </row>
    <row r="7671" spans="1:1" s="199" customFormat="1" ht="12" hidden="1" customHeight="1">
      <c r="A7671" s="198"/>
    </row>
    <row r="7672" spans="1:1" s="199" customFormat="1" ht="12" hidden="1" customHeight="1">
      <c r="A7672" s="198"/>
    </row>
    <row r="7673" spans="1:1" s="199" customFormat="1" ht="12" hidden="1" customHeight="1">
      <c r="A7673" s="198"/>
    </row>
    <row r="7674" spans="1:1" s="199" customFormat="1" ht="12" hidden="1" customHeight="1">
      <c r="A7674" s="198"/>
    </row>
    <row r="7675" spans="1:1" s="199" customFormat="1" ht="12" hidden="1" customHeight="1">
      <c r="A7675" s="198"/>
    </row>
    <row r="7676" spans="1:1" s="199" customFormat="1" ht="12" hidden="1" customHeight="1">
      <c r="A7676" s="198"/>
    </row>
    <row r="7677" spans="1:1" s="199" customFormat="1" ht="12" hidden="1" customHeight="1">
      <c r="A7677" s="198"/>
    </row>
    <row r="7678" spans="1:1" s="199" customFormat="1" ht="12" hidden="1" customHeight="1">
      <c r="A7678" s="198"/>
    </row>
    <row r="7679" spans="1:1" s="199" customFormat="1" ht="12" hidden="1" customHeight="1">
      <c r="A7679" s="198"/>
    </row>
    <row r="7680" spans="1:1" s="199" customFormat="1" ht="12" hidden="1" customHeight="1">
      <c r="A7680" s="198"/>
    </row>
    <row r="7681" spans="1:1" s="199" customFormat="1" ht="12" hidden="1" customHeight="1">
      <c r="A7681" s="198"/>
    </row>
    <row r="7682" spans="1:1" s="199" customFormat="1" ht="12" hidden="1" customHeight="1">
      <c r="A7682" s="198"/>
    </row>
    <row r="7683" spans="1:1" s="199" customFormat="1" ht="12" hidden="1" customHeight="1">
      <c r="A7683" s="198"/>
    </row>
    <row r="7684" spans="1:1" s="199" customFormat="1" ht="12" hidden="1" customHeight="1">
      <c r="A7684" s="198"/>
    </row>
    <row r="7685" spans="1:1" s="199" customFormat="1" ht="12" hidden="1" customHeight="1">
      <c r="A7685" s="198"/>
    </row>
    <row r="7686" spans="1:1" s="199" customFormat="1" ht="12" hidden="1" customHeight="1">
      <c r="A7686" s="198"/>
    </row>
    <row r="7687" spans="1:1" s="199" customFormat="1" ht="12" hidden="1" customHeight="1">
      <c r="A7687" s="198"/>
    </row>
    <row r="7688" spans="1:1" s="199" customFormat="1" ht="12" hidden="1" customHeight="1">
      <c r="A7688" s="198"/>
    </row>
    <row r="7689" spans="1:1" s="199" customFormat="1" ht="12" hidden="1" customHeight="1">
      <c r="A7689" s="198"/>
    </row>
    <row r="7690" spans="1:1" s="199" customFormat="1" ht="12" hidden="1" customHeight="1">
      <c r="A7690" s="198"/>
    </row>
    <row r="7691" spans="1:1" s="199" customFormat="1" ht="12" hidden="1" customHeight="1">
      <c r="A7691" s="198"/>
    </row>
    <row r="7692" spans="1:1" s="199" customFormat="1" ht="12" hidden="1" customHeight="1">
      <c r="A7692" s="198"/>
    </row>
    <row r="7693" spans="1:1" s="199" customFormat="1" ht="12" hidden="1" customHeight="1">
      <c r="A7693" s="198"/>
    </row>
    <row r="7694" spans="1:1" s="199" customFormat="1" ht="12" hidden="1" customHeight="1">
      <c r="A7694" s="198"/>
    </row>
    <row r="7695" spans="1:1" s="199" customFormat="1" ht="12" hidden="1" customHeight="1">
      <c r="A7695" s="198"/>
    </row>
    <row r="7696" spans="1:1" s="199" customFormat="1" ht="12" hidden="1" customHeight="1">
      <c r="A7696" s="198"/>
    </row>
    <row r="7697" spans="1:1" s="199" customFormat="1" ht="12" hidden="1" customHeight="1">
      <c r="A7697" s="198"/>
    </row>
    <row r="7698" spans="1:1" s="199" customFormat="1" ht="12" hidden="1" customHeight="1">
      <c r="A7698" s="198"/>
    </row>
    <row r="7699" spans="1:1" s="199" customFormat="1" ht="12" hidden="1" customHeight="1">
      <c r="A7699" s="198"/>
    </row>
    <row r="7700" spans="1:1" s="199" customFormat="1" ht="12" hidden="1" customHeight="1">
      <c r="A7700" s="198"/>
    </row>
    <row r="7701" spans="1:1" s="199" customFormat="1" ht="12" hidden="1" customHeight="1">
      <c r="A7701" s="198"/>
    </row>
    <row r="7702" spans="1:1" s="199" customFormat="1" ht="12" hidden="1" customHeight="1">
      <c r="A7702" s="198"/>
    </row>
    <row r="7703" spans="1:1" s="199" customFormat="1" ht="12" hidden="1" customHeight="1">
      <c r="A7703" s="198"/>
    </row>
    <row r="7704" spans="1:1" s="199" customFormat="1" ht="12" hidden="1" customHeight="1">
      <c r="A7704" s="198"/>
    </row>
    <row r="7705" spans="1:1" s="199" customFormat="1" ht="12" hidden="1" customHeight="1">
      <c r="A7705" s="198"/>
    </row>
    <row r="7706" spans="1:1" s="199" customFormat="1" ht="12" hidden="1" customHeight="1">
      <c r="A7706" s="198"/>
    </row>
    <row r="7707" spans="1:1" s="199" customFormat="1" ht="12" hidden="1" customHeight="1">
      <c r="A7707" s="198"/>
    </row>
    <row r="7708" spans="1:1" s="199" customFormat="1" ht="12" hidden="1" customHeight="1">
      <c r="A7708" s="198"/>
    </row>
    <row r="7709" spans="1:1" s="199" customFormat="1" ht="12" hidden="1" customHeight="1">
      <c r="A7709" s="198"/>
    </row>
    <row r="7710" spans="1:1" s="199" customFormat="1" ht="12" hidden="1" customHeight="1">
      <c r="A7710" s="198"/>
    </row>
    <row r="7711" spans="1:1" s="199" customFormat="1" ht="12" hidden="1" customHeight="1">
      <c r="A7711" s="198"/>
    </row>
    <row r="7712" spans="1:1" s="199" customFormat="1" ht="12" hidden="1" customHeight="1">
      <c r="A7712" s="198"/>
    </row>
    <row r="7713" spans="1:1" s="199" customFormat="1" ht="12" hidden="1" customHeight="1">
      <c r="A7713" s="198"/>
    </row>
    <row r="7714" spans="1:1" s="199" customFormat="1" ht="12" hidden="1" customHeight="1">
      <c r="A7714" s="198"/>
    </row>
    <row r="7715" spans="1:1" s="199" customFormat="1" ht="12" hidden="1" customHeight="1">
      <c r="A7715" s="198"/>
    </row>
    <row r="7716" spans="1:1" s="199" customFormat="1" ht="12" hidden="1" customHeight="1">
      <c r="A7716" s="198"/>
    </row>
    <row r="7717" spans="1:1" s="199" customFormat="1" ht="12" hidden="1" customHeight="1">
      <c r="A7717" s="198"/>
    </row>
    <row r="7718" spans="1:1" s="199" customFormat="1" ht="12" hidden="1" customHeight="1">
      <c r="A7718" s="198"/>
    </row>
    <row r="7719" spans="1:1" s="199" customFormat="1" ht="12" hidden="1" customHeight="1">
      <c r="A7719" s="198"/>
    </row>
    <row r="7720" spans="1:1" s="199" customFormat="1" ht="12" hidden="1" customHeight="1">
      <c r="A7720" s="198"/>
    </row>
    <row r="7721" spans="1:1" s="199" customFormat="1" ht="12" hidden="1" customHeight="1">
      <c r="A7721" s="198"/>
    </row>
    <row r="7722" spans="1:1" s="199" customFormat="1" ht="12" hidden="1" customHeight="1">
      <c r="A7722" s="198"/>
    </row>
    <row r="7723" spans="1:1" s="199" customFormat="1" ht="12" hidden="1" customHeight="1">
      <c r="A7723" s="198"/>
    </row>
    <row r="7724" spans="1:1" s="199" customFormat="1" ht="12" hidden="1" customHeight="1">
      <c r="A7724" s="198"/>
    </row>
    <row r="7725" spans="1:1" s="199" customFormat="1" ht="12" hidden="1" customHeight="1">
      <c r="A7725" s="198"/>
    </row>
    <row r="7726" spans="1:1" s="199" customFormat="1" ht="12" hidden="1" customHeight="1">
      <c r="A7726" s="198"/>
    </row>
    <row r="7727" spans="1:1" s="199" customFormat="1" ht="12" hidden="1" customHeight="1">
      <c r="A7727" s="198"/>
    </row>
    <row r="7728" spans="1:1" s="199" customFormat="1" ht="12" hidden="1" customHeight="1">
      <c r="A7728" s="198"/>
    </row>
    <row r="7729" spans="1:1" s="199" customFormat="1" ht="12" hidden="1" customHeight="1">
      <c r="A7729" s="198"/>
    </row>
    <row r="7730" spans="1:1" s="199" customFormat="1" ht="12" hidden="1" customHeight="1">
      <c r="A7730" s="198"/>
    </row>
    <row r="7731" spans="1:1" s="199" customFormat="1" ht="12" hidden="1" customHeight="1">
      <c r="A7731" s="198"/>
    </row>
    <row r="7732" spans="1:1" s="199" customFormat="1" ht="12" hidden="1" customHeight="1">
      <c r="A7732" s="198"/>
    </row>
    <row r="7733" spans="1:1" s="199" customFormat="1" ht="12" hidden="1" customHeight="1">
      <c r="A7733" s="198"/>
    </row>
    <row r="7734" spans="1:1" s="199" customFormat="1" ht="12" hidden="1" customHeight="1">
      <c r="A7734" s="198"/>
    </row>
    <row r="7735" spans="1:1" s="199" customFormat="1" ht="12" hidden="1" customHeight="1">
      <c r="A7735" s="198"/>
    </row>
    <row r="7736" spans="1:1" s="199" customFormat="1" ht="12" hidden="1" customHeight="1">
      <c r="A7736" s="198"/>
    </row>
    <row r="7737" spans="1:1" s="199" customFormat="1" ht="12" hidden="1" customHeight="1">
      <c r="A7737" s="198"/>
    </row>
    <row r="7738" spans="1:1" s="199" customFormat="1" ht="12" hidden="1" customHeight="1">
      <c r="A7738" s="198"/>
    </row>
    <row r="7739" spans="1:1" s="199" customFormat="1" ht="12" hidden="1" customHeight="1">
      <c r="A7739" s="198"/>
    </row>
    <row r="7740" spans="1:1" s="199" customFormat="1" ht="12" hidden="1" customHeight="1">
      <c r="A7740" s="198"/>
    </row>
    <row r="7741" spans="1:1" s="199" customFormat="1" ht="12" hidden="1" customHeight="1">
      <c r="A7741" s="198"/>
    </row>
    <row r="7742" spans="1:1" s="199" customFormat="1" ht="12" hidden="1" customHeight="1">
      <c r="A7742" s="198"/>
    </row>
    <row r="7743" spans="1:1" s="199" customFormat="1" ht="12" hidden="1" customHeight="1">
      <c r="A7743" s="198"/>
    </row>
    <row r="7744" spans="1:1" s="199" customFormat="1" ht="12" hidden="1" customHeight="1">
      <c r="A7744" s="198"/>
    </row>
    <row r="7745" spans="1:1" s="199" customFormat="1" ht="12" hidden="1" customHeight="1">
      <c r="A7745" s="198"/>
    </row>
    <row r="7746" spans="1:1" s="199" customFormat="1" ht="12" hidden="1" customHeight="1">
      <c r="A7746" s="198"/>
    </row>
    <row r="7747" spans="1:1" s="199" customFormat="1" ht="12" hidden="1" customHeight="1">
      <c r="A7747" s="198"/>
    </row>
    <row r="7748" spans="1:1" s="199" customFormat="1" ht="12" hidden="1" customHeight="1">
      <c r="A7748" s="198"/>
    </row>
    <row r="7749" spans="1:1" s="199" customFormat="1" ht="12" hidden="1" customHeight="1">
      <c r="A7749" s="198"/>
    </row>
    <row r="7750" spans="1:1" s="199" customFormat="1" ht="12" hidden="1" customHeight="1">
      <c r="A7750" s="198"/>
    </row>
    <row r="7751" spans="1:1" s="199" customFormat="1" ht="12" hidden="1" customHeight="1">
      <c r="A7751" s="198"/>
    </row>
    <row r="7752" spans="1:1" s="199" customFormat="1" ht="12" hidden="1" customHeight="1">
      <c r="A7752" s="198"/>
    </row>
    <row r="7753" spans="1:1" s="199" customFormat="1" ht="12" hidden="1" customHeight="1">
      <c r="A7753" s="198"/>
    </row>
    <row r="7754" spans="1:1" s="199" customFormat="1" ht="12" hidden="1" customHeight="1">
      <c r="A7754" s="198"/>
    </row>
    <row r="7755" spans="1:1" s="199" customFormat="1" ht="12" hidden="1" customHeight="1">
      <c r="A7755" s="198"/>
    </row>
    <row r="7756" spans="1:1" s="199" customFormat="1" ht="12" hidden="1" customHeight="1">
      <c r="A7756" s="198"/>
    </row>
    <row r="7757" spans="1:1" s="199" customFormat="1" ht="12" hidden="1" customHeight="1">
      <c r="A7757" s="198"/>
    </row>
    <row r="7758" spans="1:1" s="199" customFormat="1" ht="12" hidden="1" customHeight="1">
      <c r="A7758" s="198"/>
    </row>
    <row r="7759" spans="1:1" s="199" customFormat="1" ht="12" hidden="1" customHeight="1">
      <c r="A7759" s="198"/>
    </row>
    <row r="7760" spans="1:1" s="199" customFormat="1" ht="12" hidden="1" customHeight="1">
      <c r="A7760" s="198"/>
    </row>
    <row r="7761" spans="1:1" s="199" customFormat="1" ht="12" hidden="1" customHeight="1">
      <c r="A7761" s="198"/>
    </row>
    <row r="7762" spans="1:1" s="199" customFormat="1" ht="12" hidden="1" customHeight="1">
      <c r="A7762" s="198"/>
    </row>
    <row r="7763" spans="1:1" s="199" customFormat="1" ht="12" hidden="1" customHeight="1">
      <c r="A7763" s="198"/>
    </row>
    <row r="7764" spans="1:1" s="199" customFormat="1" ht="12" hidden="1" customHeight="1">
      <c r="A7764" s="198"/>
    </row>
    <row r="7765" spans="1:1" s="199" customFormat="1" ht="12" hidden="1" customHeight="1">
      <c r="A7765" s="198"/>
    </row>
    <row r="7766" spans="1:1" s="199" customFormat="1" ht="12" hidden="1" customHeight="1">
      <c r="A7766" s="198"/>
    </row>
    <row r="7767" spans="1:1" s="199" customFormat="1" ht="12" hidden="1" customHeight="1">
      <c r="A7767" s="198"/>
    </row>
    <row r="7768" spans="1:1" s="199" customFormat="1" ht="12" hidden="1" customHeight="1">
      <c r="A7768" s="198"/>
    </row>
    <row r="7769" spans="1:1" s="199" customFormat="1" ht="12" hidden="1" customHeight="1">
      <c r="A7769" s="198"/>
    </row>
    <row r="7770" spans="1:1" s="199" customFormat="1" ht="12" hidden="1" customHeight="1">
      <c r="A7770" s="198"/>
    </row>
    <row r="7771" spans="1:1" s="199" customFormat="1" ht="12" hidden="1" customHeight="1">
      <c r="A7771" s="198"/>
    </row>
    <row r="7772" spans="1:1" s="199" customFormat="1" ht="12" hidden="1" customHeight="1">
      <c r="A7772" s="198"/>
    </row>
    <row r="7773" spans="1:1" s="199" customFormat="1" ht="12" hidden="1" customHeight="1">
      <c r="A7773" s="198"/>
    </row>
    <row r="7774" spans="1:1" s="199" customFormat="1" ht="12" hidden="1" customHeight="1">
      <c r="A7774" s="198"/>
    </row>
    <row r="7775" spans="1:1" s="199" customFormat="1" ht="12" hidden="1" customHeight="1">
      <c r="A7775" s="198"/>
    </row>
    <row r="7776" spans="1:1" s="199" customFormat="1" ht="12" hidden="1" customHeight="1">
      <c r="A7776" s="198"/>
    </row>
    <row r="7777" spans="1:1" s="199" customFormat="1" ht="12" hidden="1" customHeight="1">
      <c r="A7777" s="198"/>
    </row>
    <row r="7778" spans="1:1" s="199" customFormat="1" ht="12" hidden="1" customHeight="1">
      <c r="A7778" s="198"/>
    </row>
    <row r="7779" spans="1:1" s="199" customFormat="1" ht="12" hidden="1" customHeight="1">
      <c r="A7779" s="198"/>
    </row>
    <row r="7780" spans="1:1" s="199" customFormat="1" ht="12" hidden="1" customHeight="1">
      <c r="A7780" s="198"/>
    </row>
    <row r="7781" spans="1:1" s="199" customFormat="1" ht="12" hidden="1" customHeight="1">
      <c r="A7781" s="198"/>
    </row>
    <row r="7782" spans="1:1" s="199" customFormat="1" ht="12" hidden="1" customHeight="1">
      <c r="A7782" s="198"/>
    </row>
    <row r="7783" spans="1:1" s="199" customFormat="1" ht="12" hidden="1" customHeight="1">
      <c r="A7783" s="198"/>
    </row>
    <row r="7784" spans="1:1" s="199" customFormat="1" ht="12" hidden="1" customHeight="1">
      <c r="A7784" s="198"/>
    </row>
    <row r="7785" spans="1:1" s="199" customFormat="1" ht="12" hidden="1" customHeight="1">
      <c r="A7785" s="198"/>
    </row>
    <row r="7786" spans="1:1" s="199" customFormat="1" ht="12" hidden="1" customHeight="1">
      <c r="A7786" s="198"/>
    </row>
    <row r="7787" spans="1:1" s="199" customFormat="1" ht="12" hidden="1" customHeight="1">
      <c r="A7787" s="198"/>
    </row>
    <row r="7788" spans="1:1" s="199" customFormat="1" ht="12" hidden="1" customHeight="1">
      <c r="A7788" s="198"/>
    </row>
    <row r="7789" spans="1:1" s="199" customFormat="1" ht="12" hidden="1" customHeight="1">
      <c r="A7789" s="198"/>
    </row>
    <row r="7790" spans="1:1" s="199" customFormat="1" ht="12" hidden="1" customHeight="1">
      <c r="A7790" s="198"/>
    </row>
    <row r="7791" spans="1:1" s="199" customFormat="1" ht="12" hidden="1" customHeight="1">
      <c r="A7791" s="198"/>
    </row>
    <row r="7792" spans="1:1" s="199" customFormat="1" ht="12" hidden="1" customHeight="1">
      <c r="A7792" s="198"/>
    </row>
    <row r="7793" spans="1:1" s="199" customFormat="1" ht="12" hidden="1" customHeight="1">
      <c r="A7793" s="198"/>
    </row>
    <row r="7794" spans="1:1" s="199" customFormat="1" ht="12" hidden="1" customHeight="1">
      <c r="A7794" s="198"/>
    </row>
    <row r="7795" spans="1:1" s="199" customFormat="1" ht="12" hidden="1" customHeight="1">
      <c r="A7795" s="198"/>
    </row>
    <row r="7796" spans="1:1" s="199" customFormat="1" ht="12" hidden="1" customHeight="1">
      <c r="A7796" s="198"/>
    </row>
    <row r="7797" spans="1:1" s="199" customFormat="1" ht="12" hidden="1" customHeight="1">
      <c r="A7797" s="198"/>
    </row>
    <row r="7798" spans="1:1" s="199" customFormat="1" ht="12" hidden="1" customHeight="1">
      <c r="A7798" s="198"/>
    </row>
    <row r="7799" spans="1:1" s="199" customFormat="1" ht="12" hidden="1" customHeight="1">
      <c r="A7799" s="198"/>
    </row>
    <row r="7800" spans="1:1" s="199" customFormat="1" ht="12" hidden="1" customHeight="1">
      <c r="A7800" s="198"/>
    </row>
    <row r="7801" spans="1:1" s="199" customFormat="1" ht="12" hidden="1" customHeight="1">
      <c r="A7801" s="198"/>
    </row>
    <row r="7802" spans="1:1" s="199" customFormat="1" ht="12" hidden="1" customHeight="1">
      <c r="A7802" s="198"/>
    </row>
    <row r="7803" spans="1:1" s="199" customFormat="1" ht="12" hidden="1" customHeight="1">
      <c r="A7803" s="198"/>
    </row>
    <row r="7804" spans="1:1" s="199" customFormat="1" ht="12" hidden="1" customHeight="1">
      <c r="A7804" s="198"/>
    </row>
    <row r="7805" spans="1:1" s="199" customFormat="1" ht="12" hidden="1" customHeight="1">
      <c r="A7805" s="198"/>
    </row>
    <row r="7806" spans="1:1" s="199" customFormat="1" ht="12" hidden="1" customHeight="1">
      <c r="A7806" s="198"/>
    </row>
    <row r="7807" spans="1:1" s="199" customFormat="1" ht="12" hidden="1" customHeight="1">
      <c r="A7807" s="198"/>
    </row>
    <row r="7808" spans="1:1" s="199" customFormat="1" ht="12" hidden="1" customHeight="1">
      <c r="A7808" s="198"/>
    </row>
    <row r="7809" spans="1:1" s="199" customFormat="1" ht="12" hidden="1" customHeight="1">
      <c r="A7809" s="198"/>
    </row>
    <row r="7810" spans="1:1" s="199" customFormat="1" ht="12" hidden="1" customHeight="1">
      <c r="A7810" s="198"/>
    </row>
    <row r="7811" spans="1:1" s="199" customFormat="1" ht="12" hidden="1" customHeight="1">
      <c r="A7811" s="198"/>
    </row>
    <row r="7812" spans="1:1" s="199" customFormat="1" ht="12" hidden="1" customHeight="1">
      <c r="A7812" s="198"/>
    </row>
    <row r="7813" spans="1:1" s="199" customFormat="1" ht="12" hidden="1" customHeight="1">
      <c r="A7813" s="198"/>
    </row>
    <row r="7814" spans="1:1" s="199" customFormat="1" ht="12" hidden="1" customHeight="1">
      <c r="A7814" s="198"/>
    </row>
    <row r="7815" spans="1:1" s="199" customFormat="1" ht="12" hidden="1" customHeight="1">
      <c r="A7815" s="198"/>
    </row>
    <row r="7816" spans="1:1" s="199" customFormat="1" ht="12" hidden="1" customHeight="1">
      <c r="A7816" s="198"/>
    </row>
    <row r="7817" spans="1:1" s="199" customFormat="1" ht="12" hidden="1" customHeight="1">
      <c r="A7817" s="198"/>
    </row>
    <row r="7818" spans="1:1" s="199" customFormat="1" ht="12" hidden="1" customHeight="1">
      <c r="A7818" s="198"/>
    </row>
    <row r="7819" spans="1:1" s="199" customFormat="1" ht="12" hidden="1" customHeight="1">
      <c r="A7819" s="198"/>
    </row>
    <row r="7820" spans="1:1" s="199" customFormat="1" ht="12" hidden="1" customHeight="1">
      <c r="A7820" s="198"/>
    </row>
    <row r="7821" spans="1:1" s="199" customFormat="1" ht="12" hidden="1" customHeight="1">
      <c r="A7821" s="198"/>
    </row>
    <row r="7822" spans="1:1" s="199" customFormat="1" ht="12" hidden="1" customHeight="1">
      <c r="A7822" s="198"/>
    </row>
    <row r="7823" spans="1:1" s="199" customFormat="1" ht="12" hidden="1" customHeight="1">
      <c r="A7823" s="198"/>
    </row>
    <row r="7824" spans="1:1" s="199" customFormat="1" ht="12" hidden="1" customHeight="1">
      <c r="A7824" s="198"/>
    </row>
    <row r="7825" spans="1:1" s="199" customFormat="1" ht="12" hidden="1" customHeight="1">
      <c r="A7825" s="198"/>
    </row>
    <row r="7826" spans="1:1" s="199" customFormat="1" ht="12" hidden="1" customHeight="1">
      <c r="A7826" s="198"/>
    </row>
    <row r="7827" spans="1:1" s="199" customFormat="1" ht="12" hidden="1" customHeight="1">
      <c r="A7827" s="198"/>
    </row>
    <row r="7828" spans="1:1" s="199" customFormat="1" ht="12" hidden="1" customHeight="1">
      <c r="A7828" s="198"/>
    </row>
    <row r="7829" spans="1:1" s="199" customFormat="1" ht="12" hidden="1" customHeight="1">
      <c r="A7829" s="198"/>
    </row>
    <row r="7830" spans="1:1" s="199" customFormat="1" ht="12" hidden="1" customHeight="1">
      <c r="A7830" s="198"/>
    </row>
    <row r="7831" spans="1:1" s="199" customFormat="1" ht="12" hidden="1" customHeight="1">
      <c r="A7831" s="198"/>
    </row>
    <row r="7832" spans="1:1" s="199" customFormat="1" ht="12" hidden="1" customHeight="1">
      <c r="A7832" s="198"/>
    </row>
    <row r="7833" spans="1:1" s="199" customFormat="1" ht="12" hidden="1" customHeight="1">
      <c r="A7833" s="198"/>
    </row>
    <row r="7834" spans="1:1" s="199" customFormat="1" ht="12" hidden="1" customHeight="1">
      <c r="A7834" s="198"/>
    </row>
    <row r="7835" spans="1:1" s="199" customFormat="1" ht="12" hidden="1" customHeight="1">
      <c r="A7835" s="198"/>
    </row>
    <row r="7836" spans="1:1" s="199" customFormat="1" ht="12" hidden="1" customHeight="1">
      <c r="A7836" s="198"/>
    </row>
    <row r="7837" spans="1:1" s="199" customFormat="1" ht="12" hidden="1" customHeight="1">
      <c r="A7837" s="198"/>
    </row>
    <row r="7838" spans="1:1" s="199" customFormat="1" ht="12" hidden="1" customHeight="1">
      <c r="A7838" s="198"/>
    </row>
    <row r="7839" spans="1:1" s="199" customFormat="1" ht="12" hidden="1" customHeight="1">
      <c r="A7839" s="198"/>
    </row>
    <row r="7840" spans="1:1" s="199" customFormat="1" ht="12" hidden="1" customHeight="1">
      <c r="A7840" s="198"/>
    </row>
    <row r="7841" spans="1:1" s="199" customFormat="1" ht="12" hidden="1" customHeight="1">
      <c r="A7841" s="198"/>
    </row>
    <row r="7842" spans="1:1" s="199" customFormat="1" ht="12" hidden="1" customHeight="1">
      <c r="A7842" s="198"/>
    </row>
    <row r="7843" spans="1:1" s="199" customFormat="1" ht="12" hidden="1" customHeight="1">
      <c r="A7843" s="198"/>
    </row>
    <row r="7844" spans="1:1" s="199" customFormat="1" ht="12" hidden="1" customHeight="1">
      <c r="A7844" s="198"/>
    </row>
    <row r="7845" spans="1:1" s="199" customFormat="1" ht="12" hidden="1" customHeight="1">
      <c r="A7845" s="198"/>
    </row>
    <row r="7846" spans="1:1" s="199" customFormat="1" ht="12" hidden="1" customHeight="1">
      <c r="A7846" s="198"/>
    </row>
    <row r="7847" spans="1:1" s="199" customFormat="1" ht="12" hidden="1" customHeight="1">
      <c r="A7847" s="198"/>
    </row>
    <row r="7848" spans="1:1" s="199" customFormat="1" ht="12" hidden="1" customHeight="1">
      <c r="A7848" s="198"/>
    </row>
    <row r="7849" spans="1:1" s="199" customFormat="1" ht="12" hidden="1" customHeight="1">
      <c r="A7849" s="198"/>
    </row>
    <row r="7850" spans="1:1" s="199" customFormat="1" ht="12" hidden="1" customHeight="1">
      <c r="A7850" s="198"/>
    </row>
    <row r="7851" spans="1:1" s="199" customFormat="1" ht="12" hidden="1" customHeight="1">
      <c r="A7851" s="198"/>
    </row>
    <row r="7852" spans="1:1" s="199" customFormat="1" ht="12" hidden="1" customHeight="1">
      <c r="A7852" s="198"/>
    </row>
    <row r="7853" spans="1:1" s="199" customFormat="1" ht="12" hidden="1" customHeight="1">
      <c r="A7853" s="198"/>
    </row>
    <row r="7854" spans="1:1" s="199" customFormat="1" ht="12" hidden="1" customHeight="1">
      <c r="A7854" s="198"/>
    </row>
    <row r="7855" spans="1:1" s="199" customFormat="1" ht="12" hidden="1" customHeight="1">
      <c r="A7855" s="198"/>
    </row>
    <row r="7856" spans="1:1" s="199" customFormat="1" ht="12" hidden="1" customHeight="1">
      <c r="A7856" s="198"/>
    </row>
    <row r="7857" spans="1:1" s="199" customFormat="1" ht="12" hidden="1" customHeight="1">
      <c r="A7857" s="198"/>
    </row>
    <row r="7858" spans="1:1" s="199" customFormat="1" ht="12" hidden="1" customHeight="1">
      <c r="A7858" s="198"/>
    </row>
    <row r="7859" spans="1:1" s="199" customFormat="1" ht="12" hidden="1" customHeight="1">
      <c r="A7859" s="198"/>
    </row>
    <row r="7860" spans="1:1" s="199" customFormat="1" ht="12" hidden="1" customHeight="1">
      <c r="A7860" s="198"/>
    </row>
    <row r="7861" spans="1:1" s="199" customFormat="1" ht="12" hidden="1" customHeight="1">
      <c r="A7861" s="198"/>
    </row>
    <row r="7862" spans="1:1" s="199" customFormat="1" ht="12" hidden="1" customHeight="1">
      <c r="A7862" s="198"/>
    </row>
    <row r="7863" spans="1:1" s="199" customFormat="1" ht="12" hidden="1" customHeight="1">
      <c r="A7863" s="198"/>
    </row>
    <row r="7864" spans="1:1" s="199" customFormat="1" ht="12" hidden="1" customHeight="1">
      <c r="A7864" s="198"/>
    </row>
    <row r="7865" spans="1:1" s="199" customFormat="1" ht="12" hidden="1" customHeight="1">
      <c r="A7865" s="198"/>
    </row>
    <row r="7866" spans="1:1" s="199" customFormat="1" ht="12" hidden="1" customHeight="1">
      <c r="A7866" s="198"/>
    </row>
    <row r="7867" spans="1:1" s="199" customFormat="1" ht="12" hidden="1" customHeight="1">
      <c r="A7867" s="198"/>
    </row>
    <row r="7868" spans="1:1" s="199" customFormat="1" ht="12" hidden="1" customHeight="1">
      <c r="A7868" s="198"/>
    </row>
    <row r="7869" spans="1:1" s="199" customFormat="1" ht="12" hidden="1" customHeight="1">
      <c r="A7869" s="198"/>
    </row>
    <row r="7870" spans="1:1" s="199" customFormat="1" ht="12" hidden="1" customHeight="1">
      <c r="A7870" s="198"/>
    </row>
    <row r="7871" spans="1:1" s="199" customFormat="1" ht="12" hidden="1" customHeight="1">
      <c r="A7871" s="198"/>
    </row>
    <row r="7872" spans="1:1" s="199" customFormat="1" ht="12" hidden="1" customHeight="1">
      <c r="A7872" s="198"/>
    </row>
    <row r="7873" spans="1:1" s="199" customFormat="1" ht="12" hidden="1" customHeight="1">
      <c r="A7873" s="198"/>
    </row>
    <row r="7874" spans="1:1" s="199" customFormat="1" ht="12" hidden="1" customHeight="1">
      <c r="A7874" s="198"/>
    </row>
    <row r="7875" spans="1:1" s="199" customFormat="1" ht="12" hidden="1" customHeight="1">
      <c r="A7875" s="198"/>
    </row>
    <row r="7876" spans="1:1" s="199" customFormat="1" ht="12" hidden="1" customHeight="1">
      <c r="A7876" s="198"/>
    </row>
    <row r="7877" spans="1:1" s="199" customFormat="1" ht="12" hidden="1" customHeight="1">
      <c r="A7877" s="198"/>
    </row>
    <row r="7878" spans="1:1" s="199" customFormat="1" ht="12" hidden="1" customHeight="1">
      <c r="A7878" s="198"/>
    </row>
    <row r="7879" spans="1:1" s="199" customFormat="1" ht="12" hidden="1" customHeight="1">
      <c r="A7879" s="198"/>
    </row>
    <row r="7880" spans="1:1" s="199" customFormat="1" ht="12" hidden="1" customHeight="1">
      <c r="A7880" s="198"/>
    </row>
    <row r="7881" spans="1:1" s="199" customFormat="1" ht="12" hidden="1" customHeight="1">
      <c r="A7881" s="198"/>
    </row>
    <row r="7882" spans="1:1" s="199" customFormat="1" ht="12" hidden="1" customHeight="1">
      <c r="A7882" s="198"/>
    </row>
    <row r="7883" spans="1:1" s="199" customFormat="1" ht="12" hidden="1" customHeight="1">
      <c r="A7883" s="198"/>
    </row>
    <row r="7884" spans="1:1" s="199" customFormat="1" ht="12" hidden="1" customHeight="1">
      <c r="A7884" s="198"/>
    </row>
    <row r="7885" spans="1:1" s="199" customFormat="1" ht="12" hidden="1" customHeight="1">
      <c r="A7885" s="198"/>
    </row>
    <row r="7886" spans="1:1" s="199" customFormat="1" ht="12" hidden="1" customHeight="1">
      <c r="A7886" s="198"/>
    </row>
    <row r="7887" spans="1:1" s="199" customFormat="1" ht="12" hidden="1" customHeight="1">
      <c r="A7887" s="198"/>
    </row>
    <row r="7888" spans="1:1" s="199" customFormat="1" ht="12" hidden="1" customHeight="1">
      <c r="A7888" s="198"/>
    </row>
    <row r="7889" spans="1:1" s="199" customFormat="1" ht="12" hidden="1" customHeight="1">
      <c r="A7889" s="198"/>
    </row>
    <row r="7890" spans="1:1" s="199" customFormat="1" ht="12" hidden="1" customHeight="1">
      <c r="A7890" s="198"/>
    </row>
    <row r="7891" spans="1:1" s="199" customFormat="1" ht="12" hidden="1" customHeight="1">
      <c r="A7891" s="198"/>
    </row>
    <row r="7892" spans="1:1" s="199" customFormat="1" ht="12" hidden="1" customHeight="1">
      <c r="A7892" s="198"/>
    </row>
    <row r="7893" spans="1:1" s="199" customFormat="1" ht="12" hidden="1" customHeight="1">
      <c r="A7893" s="198"/>
    </row>
    <row r="7894" spans="1:1" s="199" customFormat="1" ht="12" hidden="1" customHeight="1">
      <c r="A7894" s="198"/>
    </row>
    <row r="7895" spans="1:1" s="199" customFormat="1" ht="12" hidden="1" customHeight="1">
      <c r="A7895" s="198"/>
    </row>
    <row r="7896" spans="1:1" s="199" customFormat="1" ht="12" hidden="1" customHeight="1">
      <c r="A7896" s="198"/>
    </row>
    <row r="7897" spans="1:1" s="199" customFormat="1" ht="12" hidden="1" customHeight="1">
      <c r="A7897" s="198"/>
    </row>
    <row r="7898" spans="1:1" s="199" customFormat="1" ht="12" hidden="1" customHeight="1">
      <c r="A7898" s="198"/>
    </row>
    <row r="7899" spans="1:1" s="199" customFormat="1" ht="12" hidden="1" customHeight="1">
      <c r="A7899" s="198"/>
    </row>
    <row r="7900" spans="1:1" s="199" customFormat="1" ht="12" hidden="1" customHeight="1">
      <c r="A7900" s="198"/>
    </row>
    <row r="7901" spans="1:1" s="199" customFormat="1" ht="12" hidden="1" customHeight="1">
      <c r="A7901" s="198"/>
    </row>
    <row r="7902" spans="1:1" s="199" customFormat="1" ht="12" hidden="1" customHeight="1">
      <c r="A7902" s="198"/>
    </row>
    <row r="7903" spans="1:1" s="199" customFormat="1" ht="12" hidden="1" customHeight="1">
      <c r="A7903" s="198"/>
    </row>
    <row r="7904" spans="1:1" s="199" customFormat="1" ht="12" hidden="1" customHeight="1">
      <c r="A7904" s="198"/>
    </row>
    <row r="7905" spans="1:1" s="199" customFormat="1" ht="12" hidden="1" customHeight="1">
      <c r="A7905" s="198"/>
    </row>
    <row r="7906" spans="1:1" s="199" customFormat="1" ht="12" hidden="1" customHeight="1">
      <c r="A7906" s="198"/>
    </row>
    <row r="7907" spans="1:1" s="199" customFormat="1" ht="12" hidden="1" customHeight="1">
      <c r="A7907" s="198"/>
    </row>
    <row r="7908" spans="1:1" s="199" customFormat="1" ht="12" hidden="1" customHeight="1">
      <c r="A7908" s="198"/>
    </row>
    <row r="7909" spans="1:1" s="199" customFormat="1" ht="12" hidden="1" customHeight="1">
      <c r="A7909" s="198"/>
    </row>
    <row r="7910" spans="1:1" s="199" customFormat="1" ht="12" hidden="1" customHeight="1">
      <c r="A7910" s="198"/>
    </row>
    <row r="7911" spans="1:1" s="199" customFormat="1" ht="12" hidden="1" customHeight="1">
      <c r="A7911" s="198"/>
    </row>
    <row r="7912" spans="1:1" s="199" customFormat="1" ht="12" hidden="1" customHeight="1">
      <c r="A7912" s="198"/>
    </row>
    <row r="7913" spans="1:1" s="199" customFormat="1" ht="12" hidden="1" customHeight="1">
      <c r="A7913" s="198"/>
    </row>
    <row r="7914" spans="1:1" s="199" customFormat="1" ht="12" hidden="1" customHeight="1">
      <c r="A7914" s="198"/>
    </row>
    <row r="7915" spans="1:1" s="199" customFormat="1" ht="12" hidden="1" customHeight="1">
      <c r="A7915" s="198"/>
    </row>
    <row r="7916" spans="1:1" s="199" customFormat="1" ht="12" hidden="1" customHeight="1">
      <c r="A7916" s="198"/>
    </row>
    <row r="7917" spans="1:1" s="199" customFormat="1" ht="12" hidden="1" customHeight="1">
      <c r="A7917" s="198"/>
    </row>
    <row r="7918" spans="1:1" s="199" customFormat="1" ht="12" hidden="1" customHeight="1">
      <c r="A7918" s="198"/>
    </row>
    <row r="7919" spans="1:1" s="199" customFormat="1" ht="12" hidden="1" customHeight="1">
      <c r="A7919" s="198"/>
    </row>
    <row r="7920" spans="1:1" s="199" customFormat="1" ht="12" hidden="1" customHeight="1">
      <c r="A7920" s="198"/>
    </row>
    <row r="7921" spans="1:1" s="199" customFormat="1" ht="12" hidden="1" customHeight="1">
      <c r="A7921" s="198"/>
    </row>
    <row r="7922" spans="1:1" s="199" customFormat="1" ht="12" hidden="1" customHeight="1">
      <c r="A7922" s="198"/>
    </row>
    <row r="7923" spans="1:1" s="199" customFormat="1" ht="12" hidden="1" customHeight="1">
      <c r="A7923" s="198"/>
    </row>
    <row r="7924" spans="1:1" s="199" customFormat="1" ht="12" hidden="1" customHeight="1">
      <c r="A7924" s="198"/>
    </row>
    <row r="7925" spans="1:1" s="199" customFormat="1" ht="12" hidden="1" customHeight="1">
      <c r="A7925" s="198"/>
    </row>
    <row r="7926" spans="1:1" s="199" customFormat="1" ht="12" hidden="1" customHeight="1">
      <c r="A7926" s="198"/>
    </row>
    <row r="7927" spans="1:1" s="199" customFormat="1" ht="12" hidden="1" customHeight="1">
      <c r="A7927" s="198"/>
    </row>
    <row r="7928" spans="1:1" s="199" customFormat="1" ht="12" hidden="1" customHeight="1">
      <c r="A7928" s="198"/>
    </row>
    <row r="7929" spans="1:1" s="199" customFormat="1" ht="12" hidden="1" customHeight="1">
      <c r="A7929" s="198"/>
    </row>
    <row r="7930" spans="1:1" s="199" customFormat="1" ht="12" hidden="1" customHeight="1">
      <c r="A7930" s="198"/>
    </row>
    <row r="7931" spans="1:1" s="199" customFormat="1" ht="12" hidden="1" customHeight="1">
      <c r="A7931" s="198"/>
    </row>
    <row r="7932" spans="1:1" s="199" customFormat="1" ht="12" hidden="1" customHeight="1">
      <c r="A7932" s="198"/>
    </row>
    <row r="7933" spans="1:1" s="199" customFormat="1" ht="12" hidden="1" customHeight="1">
      <c r="A7933" s="198"/>
    </row>
    <row r="7934" spans="1:1" s="199" customFormat="1" ht="12" hidden="1" customHeight="1">
      <c r="A7934" s="198"/>
    </row>
    <row r="7935" spans="1:1" s="199" customFormat="1" ht="12" hidden="1" customHeight="1">
      <c r="A7935" s="198"/>
    </row>
    <row r="7936" spans="1:1" s="199" customFormat="1" ht="12" hidden="1" customHeight="1">
      <c r="A7936" s="198"/>
    </row>
    <row r="7937" spans="1:1" s="199" customFormat="1" ht="12" hidden="1" customHeight="1">
      <c r="A7937" s="198"/>
    </row>
    <row r="7938" spans="1:1" s="199" customFormat="1" ht="12" hidden="1" customHeight="1">
      <c r="A7938" s="198"/>
    </row>
    <row r="7939" spans="1:1" s="199" customFormat="1" ht="12" hidden="1" customHeight="1">
      <c r="A7939" s="198"/>
    </row>
    <row r="7940" spans="1:1" s="199" customFormat="1" ht="12" hidden="1" customHeight="1">
      <c r="A7940" s="198"/>
    </row>
    <row r="7941" spans="1:1" s="199" customFormat="1" ht="12" hidden="1" customHeight="1">
      <c r="A7941" s="198"/>
    </row>
    <row r="7942" spans="1:1" s="199" customFormat="1" ht="12" hidden="1" customHeight="1">
      <c r="A7942" s="198"/>
    </row>
    <row r="7943" spans="1:1" s="199" customFormat="1" ht="12" hidden="1" customHeight="1">
      <c r="A7943" s="198"/>
    </row>
    <row r="7944" spans="1:1" s="199" customFormat="1" ht="12" hidden="1" customHeight="1">
      <c r="A7944" s="198"/>
    </row>
    <row r="7945" spans="1:1" s="199" customFormat="1" ht="12" hidden="1" customHeight="1">
      <c r="A7945" s="198"/>
    </row>
    <row r="7946" spans="1:1" s="199" customFormat="1" ht="12" hidden="1" customHeight="1">
      <c r="A7946" s="198"/>
    </row>
    <row r="7947" spans="1:1" s="199" customFormat="1" ht="12" hidden="1" customHeight="1">
      <c r="A7947" s="198"/>
    </row>
    <row r="7948" spans="1:1" s="199" customFormat="1" ht="12" hidden="1" customHeight="1">
      <c r="A7948" s="198"/>
    </row>
    <row r="7949" spans="1:1" s="199" customFormat="1" ht="12" hidden="1" customHeight="1">
      <c r="A7949" s="198"/>
    </row>
    <row r="7950" spans="1:1" s="199" customFormat="1" ht="12" hidden="1" customHeight="1">
      <c r="A7950" s="198"/>
    </row>
    <row r="7951" spans="1:1" s="199" customFormat="1" ht="12" hidden="1" customHeight="1">
      <c r="A7951" s="198"/>
    </row>
    <row r="7952" spans="1:1" s="199" customFormat="1" ht="12" hidden="1" customHeight="1">
      <c r="A7952" s="198"/>
    </row>
    <row r="7953" spans="1:1" s="199" customFormat="1" ht="12" hidden="1" customHeight="1">
      <c r="A7953" s="198"/>
    </row>
    <row r="7954" spans="1:1" s="199" customFormat="1" ht="12" hidden="1" customHeight="1">
      <c r="A7954" s="198"/>
    </row>
    <row r="7955" spans="1:1" s="199" customFormat="1" ht="12" hidden="1" customHeight="1">
      <c r="A7955" s="198"/>
    </row>
    <row r="7956" spans="1:1" s="199" customFormat="1" ht="12" hidden="1" customHeight="1">
      <c r="A7956" s="198"/>
    </row>
    <row r="7957" spans="1:1" s="199" customFormat="1" ht="12" hidden="1" customHeight="1">
      <c r="A7957" s="198"/>
    </row>
    <row r="7958" spans="1:1" s="199" customFormat="1" ht="12" hidden="1" customHeight="1">
      <c r="A7958" s="198"/>
    </row>
    <row r="7959" spans="1:1" s="199" customFormat="1" ht="12" hidden="1" customHeight="1">
      <c r="A7959" s="198"/>
    </row>
    <row r="7960" spans="1:1" s="199" customFormat="1" ht="12" hidden="1" customHeight="1">
      <c r="A7960" s="198"/>
    </row>
    <row r="7961" spans="1:1" s="199" customFormat="1" ht="12" hidden="1" customHeight="1">
      <c r="A7961" s="198"/>
    </row>
    <row r="7962" spans="1:1" s="199" customFormat="1" ht="12" hidden="1" customHeight="1">
      <c r="A7962" s="198"/>
    </row>
    <row r="7963" spans="1:1" s="199" customFormat="1" ht="12" hidden="1" customHeight="1">
      <c r="A7963" s="198"/>
    </row>
    <row r="7964" spans="1:1" s="199" customFormat="1" ht="12" hidden="1" customHeight="1">
      <c r="A7964" s="198"/>
    </row>
    <row r="7965" spans="1:1" s="199" customFormat="1" ht="12" hidden="1" customHeight="1">
      <c r="A7965" s="198"/>
    </row>
    <row r="7966" spans="1:1" s="199" customFormat="1" ht="12" hidden="1" customHeight="1">
      <c r="A7966" s="198"/>
    </row>
    <row r="7967" spans="1:1" s="199" customFormat="1" ht="12" hidden="1" customHeight="1">
      <c r="A7967" s="198"/>
    </row>
    <row r="7968" spans="1:1" s="199" customFormat="1" ht="12" hidden="1" customHeight="1">
      <c r="A7968" s="198"/>
    </row>
    <row r="7969" spans="1:1" s="199" customFormat="1" ht="12" hidden="1" customHeight="1">
      <c r="A7969" s="198"/>
    </row>
    <row r="7970" spans="1:1" s="199" customFormat="1" ht="12" hidden="1" customHeight="1">
      <c r="A7970" s="198"/>
    </row>
    <row r="7971" spans="1:1" s="199" customFormat="1" ht="12" hidden="1" customHeight="1">
      <c r="A7971" s="198"/>
    </row>
    <row r="7972" spans="1:1" s="199" customFormat="1" ht="12" hidden="1" customHeight="1">
      <c r="A7972" s="198"/>
    </row>
    <row r="7973" spans="1:1" s="199" customFormat="1" ht="12" hidden="1" customHeight="1">
      <c r="A7973" s="198"/>
    </row>
    <row r="7974" spans="1:1" s="199" customFormat="1" ht="12" hidden="1" customHeight="1">
      <c r="A7974" s="198"/>
    </row>
    <row r="7975" spans="1:1" s="199" customFormat="1" ht="12" hidden="1" customHeight="1">
      <c r="A7975" s="198"/>
    </row>
    <row r="7976" spans="1:1" s="199" customFormat="1" ht="12" hidden="1" customHeight="1">
      <c r="A7976" s="198"/>
    </row>
    <row r="7977" spans="1:1" s="199" customFormat="1" ht="12" hidden="1" customHeight="1">
      <c r="A7977" s="198"/>
    </row>
    <row r="7978" spans="1:1" s="199" customFormat="1" ht="12" hidden="1" customHeight="1">
      <c r="A7978" s="198"/>
    </row>
    <row r="7979" spans="1:1" s="199" customFormat="1" ht="12" hidden="1" customHeight="1">
      <c r="A7979" s="198"/>
    </row>
    <row r="7980" spans="1:1" s="199" customFormat="1" ht="12" hidden="1" customHeight="1">
      <c r="A7980" s="198"/>
    </row>
    <row r="7981" spans="1:1" s="199" customFormat="1" ht="12" hidden="1" customHeight="1">
      <c r="A7981" s="198"/>
    </row>
    <row r="7982" spans="1:1" s="199" customFormat="1" ht="12" hidden="1" customHeight="1">
      <c r="A7982" s="198"/>
    </row>
    <row r="7983" spans="1:1" s="199" customFormat="1" ht="12" hidden="1" customHeight="1">
      <c r="A7983" s="198"/>
    </row>
    <row r="7984" spans="1:1" s="199" customFormat="1" ht="12" hidden="1" customHeight="1">
      <c r="A7984" s="198"/>
    </row>
    <row r="7985" spans="1:1" s="199" customFormat="1" ht="12" hidden="1" customHeight="1">
      <c r="A7985" s="198"/>
    </row>
    <row r="7986" spans="1:1" s="199" customFormat="1" ht="12" hidden="1" customHeight="1">
      <c r="A7986" s="198"/>
    </row>
    <row r="7987" spans="1:1" s="199" customFormat="1" ht="12" hidden="1" customHeight="1">
      <c r="A7987" s="198"/>
    </row>
    <row r="7988" spans="1:1" s="199" customFormat="1" ht="12" hidden="1" customHeight="1">
      <c r="A7988" s="198"/>
    </row>
    <row r="7989" spans="1:1" s="199" customFormat="1" ht="12" hidden="1" customHeight="1">
      <c r="A7989" s="198"/>
    </row>
    <row r="7990" spans="1:1" s="199" customFormat="1" ht="12" hidden="1" customHeight="1">
      <c r="A7990" s="198"/>
    </row>
    <row r="7991" spans="1:1" s="199" customFormat="1" ht="12" hidden="1" customHeight="1">
      <c r="A7991" s="198"/>
    </row>
    <row r="7992" spans="1:1" s="199" customFormat="1" ht="12" hidden="1" customHeight="1">
      <c r="A7992" s="198"/>
    </row>
    <row r="7993" spans="1:1" s="199" customFormat="1" ht="12" hidden="1" customHeight="1">
      <c r="A7993" s="198"/>
    </row>
    <row r="7994" spans="1:1" s="199" customFormat="1" ht="12" hidden="1" customHeight="1">
      <c r="A7994" s="198"/>
    </row>
    <row r="7995" spans="1:1" s="199" customFormat="1" ht="12" hidden="1" customHeight="1">
      <c r="A7995" s="198"/>
    </row>
    <row r="7996" spans="1:1" s="199" customFormat="1" ht="12" hidden="1" customHeight="1">
      <c r="A7996" s="198"/>
    </row>
    <row r="7997" spans="1:1" s="199" customFormat="1" ht="12" hidden="1" customHeight="1">
      <c r="A7997" s="198"/>
    </row>
    <row r="7998" spans="1:1" s="199" customFormat="1" ht="12" hidden="1" customHeight="1">
      <c r="A7998" s="198"/>
    </row>
    <row r="7999" spans="1:1" s="199" customFormat="1" ht="12" hidden="1" customHeight="1">
      <c r="A7999" s="198"/>
    </row>
    <row r="8000" spans="1:1" s="199" customFormat="1" ht="12" hidden="1" customHeight="1">
      <c r="A8000" s="198"/>
    </row>
    <row r="8001" spans="1:1" s="199" customFormat="1" ht="12" hidden="1" customHeight="1">
      <c r="A8001" s="198"/>
    </row>
    <row r="8002" spans="1:1" s="199" customFormat="1" ht="12" hidden="1" customHeight="1">
      <c r="A8002" s="198"/>
    </row>
    <row r="8003" spans="1:1" s="199" customFormat="1" ht="12" hidden="1" customHeight="1">
      <c r="A8003" s="198"/>
    </row>
    <row r="8004" spans="1:1" s="199" customFormat="1" ht="12" hidden="1" customHeight="1">
      <c r="A8004" s="198"/>
    </row>
    <row r="8005" spans="1:1" s="199" customFormat="1" ht="12" hidden="1" customHeight="1">
      <c r="A8005" s="198"/>
    </row>
    <row r="8006" spans="1:1" s="199" customFormat="1" ht="12" hidden="1" customHeight="1">
      <c r="A8006" s="198"/>
    </row>
    <row r="8007" spans="1:1" s="199" customFormat="1" ht="12" hidden="1" customHeight="1">
      <c r="A8007" s="198"/>
    </row>
    <row r="8008" spans="1:1" s="199" customFormat="1" ht="12" hidden="1" customHeight="1">
      <c r="A8008" s="198"/>
    </row>
    <row r="8009" spans="1:1" s="199" customFormat="1" ht="12" hidden="1" customHeight="1">
      <c r="A8009" s="198"/>
    </row>
    <row r="8010" spans="1:1" s="199" customFormat="1" ht="12" hidden="1" customHeight="1">
      <c r="A8010" s="198"/>
    </row>
    <row r="8011" spans="1:1" s="199" customFormat="1" ht="12" hidden="1" customHeight="1">
      <c r="A8011" s="198"/>
    </row>
    <row r="8012" spans="1:1" s="199" customFormat="1" ht="12" hidden="1" customHeight="1">
      <c r="A8012" s="198"/>
    </row>
    <row r="8013" spans="1:1" s="199" customFormat="1" ht="12" hidden="1" customHeight="1">
      <c r="A8013" s="198"/>
    </row>
    <row r="8014" spans="1:1" s="199" customFormat="1" ht="12" hidden="1" customHeight="1">
      <c r="A8014" s="198"/>
    </row>
    <row r="8015" spans="1:1" s="199" customFormat="1" ht="12" hidden="1" customHeight="1">
      <c r="A8015" s="198"/>
    </row>
    <row r="8016" spans="1:1" s="199" customFormat="1" ht="12" hidden="1" customHeight="1">
      <c r="A8016" s="198"/>
    </row>
    <row r="8017" spans="1:1" s="199" customFormat="1" ht="12" hidden="1" customHeight="1">
      <c r="A8017" s="198"/>
    </row>
    <row r="8018" spans="1:1" s="199" customFormat="1" ht="12" hidden="1" customHeight="1">
      <c r="A8018" s="198"/>
    </row>
    <row r="8019" spans="1:1" s="199" customFormat="1" ht="12" hidden="1" customHeight="1">
      <c r="A8019" s="198"/>
    </row>
    <row r="8020" spans="1:1" s="199" customFormat="1" ht="12" hidden="1" customHeight="1">
      <c r="A8020" s="198"/>
    </row>
    <row r="8021" spans="1:1" s="199" customFormat="1" ht="12" hidden="1" customHeight="1">
      <c r="A8021" s="198"/>
    </row>
    <row r="8022" spans="1:1" s="199" customFormat="1" ht="12" hidden="1" customHeight="1">
      <c r="A8022" s="198"/>
    </row>
    <row r="8023" spans="1:1" s="199" customFormat="1" ht="12" hidden="1" customHeight="1">
      <c r="A8023" s="198"/>
    </row>
    <row r="8024" spans="1:1" s="199" customFormat="1" ht="12" hidden="1" customHeight="1">
      <c r="A8024" s="198"/>
    </row>
    <row r="8025" spans="1:1" s="199" customFormat="1" ht="12" hidden="1" customHeight="1">
      <c r="A8025" s="198"/>
    </row>
    <row r="8026" spans="1:1" s="199" customFormat="1" ht="12" hidden="1" customHeight="1">
      <c r="A8026" s="198"/>
    </row>
    <row r="8027" spans="1:1" s="199" customFormat="1" ht="12" hidden="1" customHeight="1">
      <c r="A8027" s="198"/>
    </row>
    <row r="8028" spans="1:1" s="199" customFormat="1" ht="12" hidden="1" customHeight="1">
      <c r="A8028" s="198"/>
    </row>
    <row r="8029" spans="1:1" s="199" customFormat="1" ht="12" hidden="1" customHeight="1">
      <c r="A8029" s="198"/>
    </row>
    <row r="8030" spans="1:1" s="199" customFormat="1" ht="12" hidden="1" customHeight="1">
      <c r="A8030" s="198"/>
    </row>
    <row r="8031" spans="1:1" s="199" customFormat="1" ht="12" hidden="1" customHeight="1">
      <c r="A8031" s="198"/>
    </row>
    <row r="8032" spans="1:1" s="199" customFormat="1" ht="12" hidden="1" customHeight="1">
      <c r="A8032" s="198"/>
    </row>
    <row r="8033" spans="1:1" s="199" customFormat="1" ht="12" hidden="1" customHeight="1">
      <c r="A8033" s="198"/>
    </row>
    <row r="8034" spans="1:1" s="199" customFormat="1" ht="12" hidden="1" customHeight="1">
      <c r="A8034" s="198"/>
    </row>
    <row r="8035" spans="1:1" s="199" customFormat="1" ht="12" hidden="1" customHeight="1">
      <c r="A8035" s="198"/>
    </row>
    <row r="8036" spans="1:1" s="199" customFormat="1" ht="12" hidden="1" customHeight="1">
      <c r="A8036" s="198"/>
    </row>
    <row r="8037" spans="1:1" s="199" customFormat="1" ht="12" hidden="1" customHeight="1">
      <c r="A8037" s="198"/>
    </row>
    <row r="8038" spans="1:1" s="199" customFormat="1" ht="12" hidden="1" customHeight="1">
      <c r="A8038" s="198"/>
    </row>
    <row r="8039" spans="1:1" s="199" customFormat="1" ht="12" hidden="1" customHeight="1">
      <c r="A8039" s="198"/>
    </row>
    <row r="8040" spans="1:1" s="199" customFormat="1" ht="12" hidden="1" customHeight="1">
      <c r="A8040" s="198"/>
    </row>
    <row r="8041" spans="1:1" s="199" customFormat="1" ht="12" hidden="1" customHeight="1">
      <c r="A8041" s="198"/>
    </row>
    <row r="8042" spans="1:1" s="199" customFormat="1" ht="12" hidden="1" customHeight="1">
      <c r="A8042" s="198"/>
    </row>
    <row r="8043" spans="1:1" s="199" customFormat="1" ht="12" hidden="1" customHeight="1">
      <c r="A8043" s="198"/>
    </row>
    <row r="8044" spans="1:1" s="199" customFormat="1" ht="12" hidden="1" customHeight="1">
      <c r="A8044" s="198"/>
    </row>
    <row r="8045" spans="1:1" s="199" customFormat="1" ht="12" hidden="1" customHeight="1">
      <c r="A8045" s="198"/>
    </row>
    <row r="8046" spans="1:1" s="199" customFormat="1" ht="12" hidden="1" customHeight="1">
      <c r="A8046" s="198"/>
    </row>
    <row r="8047" spans="1:1" s="199" customFormat="1" ht="12" hidden="1" customHeight="1">
      <c r="A8047" s="198"/>
    </row>
    <row r="8048" spans="1:1" s="199" customFormat="1" ht="12" hidden="1" customHeight="1">
      <c r="A8048" s="198"/>
    </row>
    <row r="8049" spans="1:1" s="199" customFormat="1" ht="12" hidden="1" customHeight="1">
      <c r="A8049" s="198"/>
    </row>
    <row r="8050" spans="1:1" s="199" customFormat="1" ht="12" hidden="1" customHeight="1">
      <c r="A8050" s="198"/>
    </row>
    <row r="8051" spans="1:1" s="199" customFormat="1" ht="12" hidden="1" customHeight="1">
      <c r="A8051" s="198"/>
    </row>
    <row r="8052" spans="1:1" s="199" customFormat="1" ht="12" hidden="1" customHeight="1">
      <c r="A8052" s="198"/>
    </row>
    <row r="8053" spans="1:1" s="199" customFormat="1" ht="12" hidden="1" customHeight="1">
      <c r="A8053" s="198"/>
    </row>
    <row r="8054" spans="1:1" s="199" customFormat="1" ht="12" hidden="1" customHeight="1">
      <c r="A8054" s="198"/>
    </row>
    <row r="8055" spans="1:1" s="199" customFormat="1" ht="12" hidden="1" customHeight="1">
      <c r="A8055" s="198"/>
    </row>
    <row r="8056" spans="1:1" s="199" customFormat="1" ht="12" hidden="1" customHeight="1">
      <c r="A8056" s="198"/>
    </row>
    <row r="8057" spans="1:1" s="199" customFormat="1" ht="12" hidden="1" customHeight="1">
      <c r="A8057" s="198"/>
    </row>
    <row r="8058" spans="1:1" s="199" customFormat="1" ht="12" hidden="1" customHeight="1">
      <c r="A8058" s="198"/>
    </row>
    <row r="8059" spans="1:1" s="199" customFormat="1" ht="12" hidden="1" customHeight="1">
      <c r="A8059" s="198"/>
    </row>
    <row r="8060" spans="1:1" s="199" customFormat="1" ht="12" hidden="1" customHeight="1">
      <c r="A8060" s="198"/>
    </row>
    <row r="8061" spans="1:1" s="199" customFormat="1" ht="12" hidden="1" customHeight="1">
      <c r="A8061" s="198"/>
    </row>
    <row r="8062" spans="1:1" s="199" customFormat="1" ht="12" hidden="1" customHeight="1">
      <c r="A8062" s="198"/>
    </row>
    <row r="8063" spans="1:1" s="199" customFormat="1" ht="12" hidden="1" customHeight="1">
      <c r="A8063" s="198"/>
    </row>
    <row r="8064" spans="1:1" s="199" customFormat="1" ht="12" hidden="1" customHeight="1">
      <c r="A8064" s="198"/>
    </row>
    <row r="8065" spans="1:1" s="199" customFormat="1" ht="12" hidden="1" customHeight="1">
      <c r="A8065" s="198"/>
    </row>
    <row r="8066" spans="1:1" s="199" customFormat="1" ht="12" hidden="1" customHeight="1">
      <c r="A8066" s="198"/>
    </row>
    <row r="8067" spans="1:1" s="199" customFormat="1" ht="12" hidden="1" customHeight="1">
      <c r="A8067" s="198"/>
    </row>
    <row r="8068" spans="1:1" s="199" customFormat="1" ht="12" hidden="1" customHeight="1">
      <c r="A8068" s="198"/>
    </row>
    <row r="8069" spans="1:1" s="199" customFormat="1" ht="12" hidden="1" customHeight="1">
      <c r="A8069" s="198"/>
    </row>
    <row r="8070" spans="1:1" s="199" customFormat="1" ht="12" hidden="1" customHeight="1">
      <c r="A8070" s="198"/>
    </row>
    <row r="8071" spans="1:1" s="199" customFormat="1" ht="12" hidden="1" customHeight="1">
      <c r="A8071" s="198"/>
    </row>
    <row r="8072" spans="1:1" s="199" customFormat="1" ht="12" hidden="1" customHeight="1">
      <c r="A8072" s="198"/>
    </row>
    <row r="8073" spans="1:1" s="199" customFormat="1" ht="12" hidden="1" customHeight="1">
      <c r="A8073" s="198"/>
    </row>
    <row r="8074" spans="1:1" s="199" customFormat="1" ht="12" hidden="1" customHeight="1">
      <c r="A8074" s="198"/>
    </row>
    <row r="8075" spans="1:1" s="199" customFormat="1" ht="12" hidden="1" customHeight="1">
      <c r="A8075" s="198"/>
    </row>
    <row r="8076" spans="1:1" s="199" customFormat="1" ht="12" hidden="1" customHeight="1">
      <c r="A8076" s="198"/>
    </row>
    <row r="8077" spans="1:1" s="199" customFormat="1" ht="12" hidden="1" customHeight="1">
      <c r="A8077" s="198"/>
    </row>
    <row r="8078" spans="1:1" s="199" customFormat="1" ht="12" hidden="1" customHeight="1">
      <c r="A8078" s="198"/>
    </row>
    <row r="8079" spans="1:1" s="199" customFormat="1" ht="12" hidden="1" customHeight="1">
      <c r="A8079" s="198"/>
    </row>
    <row r="8080" spans="1:1" s="199" customFormat="1" ht="12" hidden="1" customHeight="1">
      <c r="A8080" s="198"/>
    </row>
    <row r="8081" spans="1:1" s="199" customFormat="1" ht="12" hidden="1" customHeight="1">
      <c r="A8081" s="198"/>
    </row>
    <row r="8082" spans="1:1" s="199" customFormat="1" ht="12" hidden="1" customHeight="1">
      <c r="A8082" s="198"/>
    </row>
    <row r="8083" spans="1:1" s="199" customFormat="1" ht="12" hidden="1" customHeight="1">
      <c r="A8083" s="198"/>
    </row>
    <row r="8084" spans="1:1" s="199" customFormat="1" ht="12" hidden="1" customHeight="1">
      <c r="A8084" s="198"/>
    </row>
    <row r="8085" spans="1:1" s="199" customFormat="1" ht="12" hidden="1" customHeight="1">
      <c r="A8085" s="198"/>
    </row>
    <row r="8086" spans="1:1" s="199" customFormat="1" ht="12" hidden="1" customHeight="1">
      <c r="A8086" s="198"/>
    </row>
    <row r="8087" spans="1:1" s="199" customFormat="1" ht="12" hidden="1" customHeight="1">
      <c r="A8087" s="198"/>
    </row>
    <row r="8088" spans="1:1" s="199" customFormat="1" ht="12" hidden="1" customHeight="1">
      <c r="A8088" s="198"/>
    </row>
    <row r="8089" spans="1:1" s="199" customFormat="1" ht="12" hidden="1" customHeight="1">
      <c r="A8089" s="198"/>
    </row>
    <row r="8090" spans="1:1" s="199" customFormat="1" ht="12" hidden="1" customHeight="1">
      <c r="A8090" s="198"/>
    </row>
    <row r="8091" spans="1:1" s="199" customFormat="1" ht="12" hidden="1" customHeight="1">
      <c r="A8091" s="198"/>
    </row>
    <row r="8092" spans="1:1" s="199" customFormat="1" ht="12" hidden="1" customHeight="1">
      <c r="A8092" s="198"/>
    </row>
    <row r="8093" spans="1:1" s="199" customFormat="1" ht="12" hidden="1" customHeight="1">
      <c r="A8093" s="198"/>
    </row>
    <row r="8094" spans="1:1" s="199" customFormat="1" ht="12" hidden="1" customHeight="1">
      <c r="A8094" s="198"/>
    </row>
    <row r="8095" spans="1:1" s="199" customFormat="1" ht="12" hidden="1" customHeight="1">
      <c r="A8095" s="198"/>
    </row>
    <row r="8096" spans="1:1" s="199" customFormat="1" ht="12" hidden="1" customHeight="1">
      <c r="A8096" s="198"/>
    </row>
    <row r="8097" spans="1:1" s="199" customFormat="1" ht="12" hidden="1" customHeight="1">
      <c r="A8097" s="198"/>
    </row>
    <row r="8098" spans="1:1" s="199" customFormat="1" ht="12" hidden="1" customHeight="1">
      <c r="A8098" s="198"/>
    </row>
    <row r="8099" spans="1:1" s="199" customFormat="1" ht="12" hidden="1" customHeight="1">
      <c r="A8099" s="198"/>
    </row>
    <row r="8100" spans="1:1" s="199" customFormat="1" ht="12" hidden="1" customHeight="1">
      <c r="A8100" s="198"/>
    </row>
    <row r="8101" spans="1:1" s="199" customFormat="1" ht="12" hidden="1" customHeight="1">
      <c r="A8101" s="198"/>
    </row>
    <row r="8102" spans="1:1" s="199" customFormat="1" ht="12" hidden="1" customHeight="1">
      <c r="A8102" s="198"/>
    </row>
    <row r="8103" spans="1:1" s="199" customFormat="1" ht="12" hidden="1" customHeight="1">
      <c r="A8103" s="198"/>
    </row>
    <row r="8104" spans="1:1" s="199" customFormat="1" ht="12" hidden="1" customHeight="1">
      <c r="A8104" s="198"/>
    </row>
    <row r="8105" spans="1:1" s="199" customFormat="1" ht="12" hidden="1" customHeight="1">
      <c r="A8105" s="198"/>
    </row>
    <row r="8106" spans="1:1" s="199" customFormat="1" ht="12" hidden="1" customHeight="1">
      <c r="A8106" s="198"/>
    </row>
    <row r="8107" spans="1:1" s="199" customFormat="1" ht="12" hidden="1" customHeight="1">
      <c r="A8107" s="198"/>
    </row>
    <row r="8108" spans="1:1" s="199" customFormat="1" ht="12" hidden="1" customHeight="1">
      <c r="A8108" s="198"/>
    </row>
    <row r="8109" spans="1:1" s="199" customFormat="1" ht="12" hidden="1" customHeight="1">
      <c r="A8109" s="198"/>
    </row>
    <row r="8110" spans="1:1" s="199" customFormat="1" ht="12" hidden="1" customHeight="1">
      <c r="A8110" s="198"/>
    </row>
    <row r="8111" spans="1:1" s="199" customFormat="1" ht="12" hidden="1" customHeight="1">
      <c r="A8111" s="198"/>
    </row>
    <row r="8112" spans="1:1" s="199" customFormat="1" ht="12" hidden="1" customHeight="1">
      <c r="A8112" s="198"/>
    </row>
    <row r="8113" spans="1:1" s="199" customFormat="1" ht="12" hidden="1" customHeight="1">
      <c r="A8113" s="198"/>
    </row>
    <row r="8114" spans="1:1" s="199" customFormat="1" ht="12" hidden="1" customHeight="1">
      <c r="A8114" s="198"/>
    </row>
    <row r="8115" spans="1:1" s="199" customFormat="1" ht="12" hidden="1" customHeight="1">
      <c r="A8115" s="198"/>
    </row>
    <row r="8116" spans="1:1" s="199" customFormat="1" ht="12" hidden="1" customHeight="1">
      <c r="A8116" s="198"/>
    </row>
    <row r="8117" spans="1:1" s="199" customFormat="1" ht="12" hidden="1" customHeight="1">
      <c r="A8117" s="198"/>
    </row>
    <row r="8118" spans="1:1" s="199" customFormat="1" ht="12" hidden="1" customHeight="1">
      <c r="A8118" s="198"/>
    </row>
    <row r="8119" spans="1:1" s="199" customFormat="1" ht="12" hidden="1" customHeight="1">
      <c r="A8119" s="198"/>
    </row>
    <row r="8120" spans="1:1" s="199" customFormat="1" ht="12" hidden="1" customHeight="1">
      <c r="A8120" s="198"/>
    </row>
    <row r="8121" spans="1:1" s="199" customFormat="1" ht="12" hidden="1" customHeight="1">
      <c r="A8121" s="198"/>
    </row>
    <row r="8122" spans="1:1" s="199" customFormat="1" ht="12" hidden="1" customHeight="1">
      <c r="A8122" s="198"/>
    </row>
    <row r="8123" spans="1:1" s="199" customFormat="1" ht="12" hidden="1" customHeight="1">
      <c r="A8123" s="198"/>
    </row>
    <row r="8124" spans="1:1" s="199" customFormat="1" ht="12" hidden="1" customHeight="1">
      <c r="A8124" s="198"/>
    </row>
    <row r="8125" spans="1:1" s="199" customFormat="1" ht="12" hidden="1" customHeight="1">
      <c r="A8125" s="198"/>
    </row>
    <row r="8126" spans="1:1" s="199" customFormat="1" ht="12" hidden="1" customHeight="1">
      <c r="A8126" s="198"/>
    </row>
    <row r="8127" spans="1:1" s="199" customFormat="1" ht="12" hidden="1" customHeight="1">
      <c r="A8127" s="198"/>
    </row>
    <row r="8128" spans="1:1" s="199" customFormat="1" ht="12" hidden="1" customHeight="1">
      <c r="A8128" s="198"/>
    </row>
    <row r="8129" spans="1:1" s="199" customFormat="1" ht="12" hidden="1" customHeight="1">
      <c r="A8129" s="198"/>
    </row>
    <row r="8130" spans="1:1" s="199" customFormat="1" ht="12" hidden="1" customHeight="1">
      <c r="A8130" s="198"/>
    </row>
    <row r="8131" spans="1:1" s="199" customFormat="1" ht="12" hidden="1" customHeight="1">
      <c r="A8131" s="198"/>
    </row>
    <row r="8132" spans="1:1" s="199" customFormat="1" ht="12" hidden="1" customHeight="1">
      <c r="A8132" s="198"/>
    </row>
    <row r="8133" spans="1:1" s="199" customFormat="1" ht="12" hidden="1" customHeight="1">
      <c r="A8133" s="198"/>
    </row>
    <row r="8134" spans="1:1" s="199" customFormat="1" ht="12" hidden="1" customHeight="1">
      <c r="A8134" s="198"/>
    </row>
    <row r="8135" spans="1:1" s="199" customFormat="1" ht="12" hidden="1" customHeight="1">
      <c r="A8135" s="198"/>
    </row>
    <row r="8136" spans="1:1" s="199" customFormat="1" ht="12" hidden="1" customHeight="1">
      <c r="A8136" s="198"/>
    </row>
    <row r="8137" spans="1:1" s="199" customFormat="1" ht="12" hidden="1" customHeight="1">
      <c r="A8137" s="198"/>
    </row>
    <row r="8138" spans="1:1" s="199" customFormat="1" ht="12" hidden="1" customHeight="1">
      <c r="A8138" s="198"/>
    </row>
    <row r="8139" spans="1:1" s="199" customFormat="1" ht="12" hidden="1" customHeight="1">
      <c r="A8139" s="198"/>
    </row>
    <row r="8140" spans="1:1" s="199" customFormat="1" ht="12" hidden="1" customHeight="1">
      <c r="A8140" s="198"/>
    </row>
    <row r="8141" spans="1:1" s="199" customFormat="1" ht="12" hidden="1" customHeight="1">
      <c r="A8141" s="198"/>
    </row>
    <row r="8142" spans="1:1" s="199" customFormat="1" ht="12" hidden="1" customHeight="1">
      <c r="A8142" s="198"/>
    </row>
    <row r="8143" spans="1:1" s="199" customFormat="1" ht="12" hidden="1" customHeight="1">
      <c r="A8143" s="198"/>
    </row>
    <row r="8144" spans="1:1" s="199" customFormat="1" ht="12" hidden="1" customHeight="1">
      <c r="A8144" s="198"/>
    </row>
    <row r="8145" spans="1:1" s="199" customFormat="1" ht="12" hidden="1" customHeight="1">
      <c r="A8145" s="198"/>
    </row>
    <row r="8146" spans="1:1" s="199" customFormat="1" ht="12" hidden="1" customHeight="1">
      <c r="A8146" s="198"/>
    </row>
    <row r="8147" spans="1:1" s="199" customFormat="1" ht="12" hidden="1" customHeight="1">
      <c r="A8147" s="198"/>
    </row>
    <row r="8148" spans="1:1" s="199" customFormat="1" ht="12" hidden="1" customHeight="1">
      <c r="A8148" s="198"/>
    </row>
    <row r="8149" spans="1:1" s="199" customFormat="1" ht="12" hidden="1" customHeight="1">
      <c r="A8149" s="198"/>
    </row>
    <row r="8150" spans="1:1" s="199" customFormat="1" ht="12" hidden="1" customHeight="1">
      <c r="A8150" s="198"/>
    </row>
    <row r="8151" spans="1:1" s="199" customFormat="1" ht="12" hidden="1" customHeight="1">
      <c r="A8151" s="198"/>
    </row>
    <row r="8152" spans="1:1" s="199" customFormat="1" ht="12" hidden="1" customHeight="1">
      <c r="A8152" s="198"/>
    </row>
    <row r="8153" spans="1:1" s="199" customFormat="1" ht="12" hidden="1" customHeight="1">
      <c r="A8153" s="198"/>
    </row>
    <row r="8154" spans="1:1" s="199" customFormat="1" ht="12" hidden="1" customHeight="1">
      <c r="A8154" s="198"/>
    </row>
    <row r="8155" spans="1:1" s="199" customFormat="1" ht="12" hidden="1" customHeight="1">
      <c r="A8155" s="198"/>
    </row>
    <row r="8156" spans="1:1" s="199" customFormat="1" ht="12" hidden="1" customHeight="1">
      <c r="A8156" s="198"/>
    </row>
    <row r="8157" spans="1:1" s="199" customFormat="1" ht="12" hidden="1" customHeight="1">
      <c r="A8157" s="198"/>
    </row>
    <row r="8158" spans="1:1" s="199" customFormat="1" ht="12" hidden="1" customHeight="1">
      <c r="A8158" s="198"/>
    </row>
    <row r="8159" spans="1:1" s="199" customFormat="1" ht="12" hidden="1" customHeight="1">
      <c r="A8159" s="198"/>
    </row>
    <row r="8160" spans="1:1" s="199" customFormat="1" ht="12" hidden="1" customHeight="1">
      <c r="A8160" s="198"/>
    </row>
    <row r="8161" spans="1:1" s="199" customFormat="1" ht="12" hidden="1" customHeight="1">
      <c r="A8161" s="198"/>
    </row>
    <row r="8162" spans="1:1" s="199" customFormat="1" ht="12" hidden="1" customHeight="1">
      <c r="A8162" s="198"/>
    </row>
    <row r="8163" spans="1:1" s="199" customFormat="1" ht="12" hidden="1" customHeight="1">
      <c r="A8163" s="198"/>
    </row>
    <row r="8164" spans="1:1" s="199" customFormat="1" ht="12" hidden="1" customHeight="1">
      <c r="A8164" s="198"/>
    </row>
    <row r="8165" spans="1:1" s="199" customFormat="1" ht="12" hidden="1" customHeight="1">
      <c r="A8165" s="198"/>
    </row>
    <row r="8166" spans="1:1" s="199" customFormat="1" ht="12" hidden="1" customHeight="1">
      <c r="A8166" s="198"/>
    </row>
    <row r="8167" spans="1:1" s="199" customFormat="1" ht="12" hidden="1" customHeight="1">
      <c r="A8167" s="198"/>
    </row>
    <row r="8168" spans="1:1" s="199" customFormat="1" ht="12" hidden="1" customHeight="1">
      <c r="A8168" s="198"/>
    </row>
    <row r="8169" spans="1:1" s="199" customFormat="1" ht="12" hidden="1" customHeight="1">
      <c r="A8169" s="198"/>
    </row>
    <row r="8170" spans="1:1" s="199" customFormat="1" ht="12" hidden="1" customHeight="1">
      <c r="A8170" s="198"/>
    </row>
    <row r="8171" spans="1:1" s="199" customFormat="1" ht="12" hidden="1" customHeight="1">
      <c r="A8171" s="198"/>
    </row>
    <row r="8172" spans="1:1" s="199" customFormat="1" ht="12" hidden="1" customHeight="1">
      <c r="A8172" s="198"/>
    </row>
    <row r="8173" spans="1:1" s="199" customFormat="1" ht="12" hidden="1" customHeight="1">
      <c r="A8173" s="198"/>
    </row>
    <row r="8174" spans="1:1" s="199" customFormat="1" ht="12" hidden="1" customHeight="1">
      <c r="A8174" s="198"/>
    </row>
    <row r="8175" spans="1:1" s="199" customFormat="1" ht="12" hidden="1" customHeight="1">
      <c r="A8175" s="198"/>
    </row>
    <row r="8176" spans="1:1" s="199" customFormat="1" ht="12" hidden="1" customHeight="1">
      <c r="A8176" s="198"/>
    </row>
    <row r="8177" spans="1:1" s="199" customFormat="1" ht="12" hidden="1" customHeight="1">
      <c r="A8177" s="198"/>
    </row>
    <row r="8178" spans="1:1" s="199" customFormat="1" ht="12" hidden="1" customHeight="1">
      <c r="A8178" s="198"/>
    </row>
    <row r="8179" spans="1:1" s="199" customFormat="1" ht="12" hidden="1" customHeight="1">
      <c r="A8179" s="198"/>
    </row>
    <row r="8180" spans="1:1" s="199" customFormat="1" ht="12" hidden="1" customHeight="1">
      <c r="A8180" s="198"/>
    </row>
    <row r="8181" spans="1:1" s="199" customFormat="1" ht="12" hidden="1" customHeight="1">
      <c r="A8181" s="198"/>
    </row>
    <row r="8182" spans="1:1" s="199" customFormat="1" ht="12" hidden="1" customHeight="1">
      <c r="A8182" s="198"/>
    </row>
    <row r="8183" spans="1:1" s="199" customFormat="1" ht="12" hidden="1" customHeight="1">
      <c r="A8183" s="198"/>
    </row>
    <row r="8184" spans="1:1" s="199" customFormat="1" ht="12" hidden="1" customHeight="1">
      <c r="A8184" s="198"/>
    </row>
    <row r="8185" spans="1:1" s="199" customFormat="1" ht="12" hidden="1" customHeight="1">
      <c r="A8185" s="198"/>
    </row>
    <row r="8186" spans="1:1" s="199" customFormat="1" ht="12" hidden="1" customHeight="1">
      <c r="A8186" s="198"/>
    </row>
    <row r="8187" spans="1:1" s="199" customFormat="1" ht="12" hidden="1" customHeight="1">
      <c r="A8187" s="198"/>
    </row>
    <row r="8188" spans="1:1" s="199" customFormat="1" ht="12" hidden="1" customHeight="1">
      <c r="A8188" s="198"/>
    </row>
    <row r="8189" spans="1:1" s="199" customFormat="1" ht="12" hidden="1" customHeight="1">
      <c r="A8189" s="198"/>
    </row>
    <row r="8190" spans="1:1" s="199" customFormat="1" ht="12" hidden="1" customHeight="1">
      <c r="A8190" s="198"/>
    </row>
    <row r="8191" spans="1:1" s="199" customFormat="1" ht="12" hidden="1" customHeight="1">
      <c r="A8191" s="198"/>
    </row>
    <row r="8192" spans="1:1" s="199" customFormat="1" ht="12" hidden="1" customHeight="1">
      <c r="A8192" s="198"/>
    </row>
    <row r="8193" spans="1:1" s="199" customFormat="1" ht="12" hidden="1" customHeight="1">
      <c r="A8193" s="198"/>
    </row>
    <row r="8194" spans="1:1" s="199" customFormat="1" ht="12" hidden="1" customHeight="1">
      <c r="A8194" s="198"/>
    </row>
    <row r="8195" spans="1:1" s="199" customFormat="1" ht="12" hidden="1" customHeight="1">
      <c r="A8195" s="198"/>
    </row>
    <row r="8196" spans="1:1" s="199" customFormat="1" ht="12" hidden="1" customHeight="1">
      <c r="A8196" s="198"/>
    </row>
    <row r="8197" spans="1:1" s="199" customFormat="1" ht="12" hidden="1" customHeight="1">
      <c r="A8197" s="198"/>
    </row>
    <row r="8198" spans="1:1" s="199" customFormat="1" ht="12" hidden="1" customHeight="1">
      <c r="A8198" s="198"/>
    </row>
    <row r="8199" spans="1:1" s="199" customFormat="1" ht="12" hidden="1" customHeight="1">
      <c r="A8199" s="198"/>
    </row>
    <row r="8200" spans="1:1" s="199" customFormat="1" ht="12" hidden="1" customHeight="1">
      <c r="A8200" s="198"/>
    </row>
    <row r="8201" spans="1:1" s="199" customFormat="1" ht="12" hidden="1" customHeight="1">
      <c r="A8201" s="198"/>
    </row>
    <row r="8202" spans="1:1" s="199" customFormat="1" ht="12" hidden="1" customHeight="1">
      <c r="A8202" s="198"/>
    </row>
    <row r="8203" spans="1:1" s="199" customFormat="1" ht="12" hidden="1" customHeight="1">
      <c r="A8203" s="198"/>
    </row>
    <row r="8204" spans="1:1" s="199" customFormat="1" ht="12" hidden="1" customHeight="1">
      <c r="A8204" s="198"/>
    </row>
    <row r="8205" spans="1:1" s="199" customFormat="1" ht="12" hidden="1" customHeight="1">
      <c r="A8205" s="198"/>
    </row>
    <row r="8206" spans="1:1" s="199" customFormat="1" ht="12" hidden="1" customHeight="1">
      <c r="A8206" s="198"/>
    </row>
    <row r="8207" spans="1:1" s="199" customFormat="1" ht="12" hidden="1" customHeight="1">
      <c r="A8207" s="198"/>
    </row>
    <row r="8208" spans="1:1" s="199" customFormat="1" ht="12" hidden="1" customHeight="1">
      <c r="A8208" s="198"/>
    </row>
    <row r="8209" spans="1:1" s="199" customFormat="1" ht="12" hidden="1" customHeight="1">
      <c r="A8209" s="198"/>
    </row>
    <row r="8210" spans="1:1" s="199" customFormat="1" ht="12" hidden="1" customHeight="1">
      <c r="A8210" s="198"/>
    </row>
    <row r="8211" spans="1:1" s="199" customFormat="1" ht="12" hidden="1" customHeight="1">
      <c r="A8211" s="198"/>
    </row>
    <row r="8212" spans="1:1" s="199" customFormat="1" ht="12" hidden="1" customHeight="1">
      <c r="A8212" s="198"/>
    </row>
    <row r="8213" spans="1:1" s="199" customFormat="1" ht="12" hidden="1" customHeight="1">
      <c r="A8213" s="198"/>
    </row>
    <row r="8214" spans="1:1" s="199" customFormat="1" ht="12" hidden="1" customHeight="1">
      <c r="A8214" s="198"/>
    </row>
    <row r="8215" spans="1:1" s="199" customFormat="1" ht="12" hidden="1" customHeight="1">
      <c r="A8215" s="198"/>
    </row>
    <row r="8216" spans="1:1" s="199" customFormat="1" ht="12" hidden="1" customHeight="1">
      <c r="A8216" s="198"/>
    </row>
    <row r="8217" spans="1:1" s="199" customFormat="1" ht="12" hidden="1" customHeight="1">
      <c r="A8217" s="198"/>
    </row>
    <row r="8218" spans="1:1" s="199" customFormat="1" ht="12" hidden="1" customHeight="1">
      <c r="A8218" s="198"/>
    </row>
    <row r="8219" spans="1:1" s="199" customFormat="1" ht="12" hidden="1" customHeight="1">
      <c r="A8219" s="198"/>
    </row>
    <row r="8220" spans="1:1" s="199" customFormat="1" ht="12" hidden="1" customHeight="1">
      <c r="A8220" s="198"/>
    </row>
    <row r="8221" spans="1:1" s="199" customFormat="1" ht="12" hidden="1" customHeight="1">
      <c r="A8221" s="198"/>
    </row>
    <row r="8222" spans="1:1" s="199" customFormat="1" ht="12" hidden="1" customHeight="1">
      <c r="A8222" s="198"/>
    </row>
    <row r="8223" spans="1:1" s="199" customFormat="1" ht="12" hidden="1" customHeight="1">
      <c r="A8223" s="198"/>
    </row>
    <row r="8224" spans="1:1" s="199" customFormat="1" ht="12" hidden="1" customHeight="1">
      <c r="A8224" s="198"/>
    </row>
    <row r="8225" spans="1:1" s="199" customFormat="1" ht="12" hidden="1" customHeight="1">
      <c r="A8225" s="198"/>
    </row>
    <row r="8226" spans="1:1" s="199" customFormat="1" ht="12" hidden="1" customHeight="1">
      <c r="A8226" s="198"/>
    </row>
    <row r="8227" spans="1:1" s="199" customFormat="1" ht="12" hidden="1" customHeight="1">
      <c r="A8227" s="198"/>
    </row>
    <row r="8228" spans="1:1" s="199" customFormat="1" ht="12" hidden="1" customHeight="1">
      <c r="A8228" s="198"/>
    </row>
    <row r="8229" spans="1:1" s="199" customFormat="1" ht="12" hidden="1" customHeight="1">
      <c r="A8229" s="198"/>
    </row>
    <row r="8230" spans="1:1" s="199" customFormat="1" ht="12" hidden="1" customHeight="1">
      <c r="A8230" s="198"/>
    </row>
    <row r="8231" spans="1:1" s="199" customFormat="1" ht="12" hidden="1" customHeight="1">
      <c r="A8231" s="198"/>
    </row>
    <row r="8232" spans="1:1" s="199" customFormat="1" ht="12" hidden="1" customHeight="1">
      <c r="A8232" s="198"/>
    </row>
    <row r="8233" spans="1:1" s="199" customFormat="1" ht="12" hidden="1" customHeight="1">
      <c r="A8233" s="198"/>
    </row>
    <row r="8234" spans="1:1" s="199" customFormat="1" ht="12" hidden="1" customHeight="1">
      <c r="A8234" s="198"/>
    </row>
    <row r="8235" spans="1:1" s="199" customFormat="1" ht="12" hidden="1" customHeight="1">
      <c r="A8235" s="198"/>
    </row>
    <row r="8236" spans="1:1" s="199" customFormat="1" ht="12" hidden="1" customHeight="1">
      <c r="A8236" s="198"/>
    </row>
    <row r="8237" spans="1:1" s="199" customFormat="1" ht="12" hidden="1" customHeight="1">
      <c r="A8237" s="198"/>
    </row>
    <row r="8238" spans="1:1" s="199" customFormat="1" ht="12" hidden="1" customHeight="1">
      <c r="A8238" s="198"/>
    </row>
    <row r="8239" spans="1:1" s="199" customFormat="1" ht="12" hidden="1" customHeight="1">
      <c r="A8239" s="198"/>
    </row>
    <row r="8240" spans="1:1" s="199" customFormat="1" ht="12" hidden="1" customHeight="1">
      <c r="A8240" s="198"/>
    </row>
    <row r="8241" spans="1:1" s="199" customFormat="1" ht="12" hidden="1" customHeight="1">
      <c r="A8241" s="198"/>
    </row>
    <row r="8242" spans="1:1" s="199" customFormat="1" ht="12" hidden="1" customHeight="1">
      <c r="A8242" s="198"/>
    </row>
    <row r="8243" spans="1:1" s="199" customFormat="1" ht="12" hidden="1" customHeight="1">
      <c r="A8243" s="198"/>
    </row>
    <row r="8244" spans="1:1" s="199" customFormat="1" ht="12" hidden="1" customHeight="1">
      <c r="A8244" s="198"/>
    </row>
    <row r="8245" spans="1:1" s="199" customFormat="1" ht="12" hidden="1" customHeight="1">
      <c r="A8245" s="198"/>
    </row>
    <row r="8246" spans="1:1" s="199" customFormat="1" ht="12" hidden="1" customHeight="1">
      <c r="A8246" s="198"/>
    </row>
    <row r="8247" spans="1:1" s="199" customFormat="1" ht="12" hidden="1" customHeight="1">
      <c r="A8247" s="198"/>
    </row>
    <row r="8248" spans="1:1" s="199" customFormat="1" ht="12" hidden="1" customHeight="1">
      <c r="A8248" s="198"/>
    </row>
    <row r="8249" spans="1:1" s="199" customFormat="1" ht="12" hidden="1" customHeight="1">
      <c r="A8249" s="198"/>
    </row>
    <row r="8250" spans="1:1" s="199" customFormat="1" ht="12" hidden="1" customHeight="1">
      <c r="A8250" s="198"/>
    </row>
    <row r="8251" spans="1:1" s="199" customFormat="1" ht="12" hidden="1" customHeight="1">
      <c r="A8251" s="198"/>
    </row>
    <row r="8252" spans="1:1" s="199" customFormat="1" ht="12" hidden="1" customHeight="1">
      <c r="A8252" s="198"/>
    </row>
    <row r="8253" spans="1:1" s="199" customFormat="1" ht="12" hidden="1" customHeight="1">
      <c r="A8253" s="198"/>
    </row>
    <row r="8254" spans="1:1" s="199" customFormat="1" ht="12" hidden="1" customHeight="1">
      <c r="A8254" s="198"/>
    </row>
    <row r="8255" spans="1:1" s="199" customFormat="1" ht="12" hidden="1" customHeight="1">
      <c r="A8255" s="198"/>
    </row>
    <row r="8256" spans="1:1" s="199" customFormat="1" ht="12" hidden="1" customHeight="1">
      <c r="A8256" s="198"/>
    </row>
    <row r="8257" spans="1:1" s="199" customFormat="1" ht="12" hidden="1" customHeight="1">
      <c r="A8257" s="198"/>
    </row>
    <row r="8258" spans="1:1" s="199" customFormat="1" ht="12" hidden="1" customHeight="1">
      <c r="A8258" s="198"/>
    </row>
    <row r="8259" spans="1:1" s="199" customFormat="1" ht="12" hidden="1" customHeight="1">
      <c r="A8259" s="198"/>
    </row>
    <row r="8260" spans="1:1" s="199" customFormat="1" ht="12" hidden="1" customHeight="1">
      <c r="A8260" s="198"/>
    </row>
    <row r="8261" spans="1:1" s="199" customFormat="1" ht="12" hidden="1" customHeight="1">
      <c r="A8261" s="198"/>
    </row>
    <row r="8262" spans="1:1" s="199" customFormat="1" ht="12" hidden="1" customHeight="1">
      <c r="A8262" s="198"/>
    </row>
    <row r="8263" spans="1:1" s="199" customFormat="1" ht="12" hidden="1" customHeight="1">
      <c r="A8263" s="198"/>
    </row>
    <row r="8264" spans="1:1" s="199" customFormat="1" ht="12" hidden="1" customHeight="1">
      <c r="A8264" s="198"/>
    </row>
    <row r="8265" spans="1:1" s="199" customFormat="1" ht="12" hidden="1" customHeight="1">
      <c r="A8265" s="198"/>
    </row>
    <row r="8266" spans="1:1" s="199" customFormat="1" ht="12" hidden="1" customHeight="1">
      <c r="A8266" s="198"/>
    </row>
    <row r="8267" spans="1:1" s="199" customFormat="1" ht="12" hidden="1" customHeight="1">
      <c r="A8267" s="198"/>
    </row>
    <row r="8268" spans="1:1" s="199" customFormat="1" ht="12" hidden="1" customHeight="1">
      <c r="A8268" s="198"/>
    </row>
    <row r="8269" spans="1:1" s="199" customFormat="1" ht="12" hidden="1" customHeight="1">
      <c r="A8269" s="198"/>
    </row>
    <row r="8270" spans="1:1" s="199" customFormat="1" ht="12" hidden="1" customHeight="1">
      <c r="A8270" s="198"/>
    </row>
    <row r="8271" spans="1:1" s="199" customFormat="1" ht="12" hidden="1" customHeight="1">
      <c r="A8271" s="198"/>
    </row>
    <row r="8272" spans="1:1" s="199" customFormat="1" ht="12" hidden="1" customHeight="1">
      <c r="A8272" s="198"/>
    </row>
    <row r="8273" spans="1:1" s="199" customFormat="1" ht="12" hidden="1" customHeight="1">
      <c r="A8273" s="198"/>
    </row>
    <row r="8274" spans="1:1" s="199" customFormat="1" ht="12" hidden="1" customHeight="1">
      <c r="A8274" s="198"/>
    </row>
    <row r="8275" spans="1:1" s="199" customFormat="1" ht="12" hidden="1" customHeight="1">
      <c r="A8275" s="198"/>
    </row>
    <row r="8276" spans="1:1" s="199" customFormat="1" ht="12" hidden="1" customHeight="1">
      <c r="A8276" s="198"/>
    </row>
    <row r="8277" spans="1:1" s="199" customFormat="1" ht="12" hidden="1" customHeight="1">
      <c r="A8277" s="198"/>
    </row>
    <row r="8278" spans="1:1" s="199" customFormat="1" ht="12" hidden="1" customHeight="1">
      <c r="A8278" s="198"/>
    </row>
    <row r="8279" spans="1:1" s="199" customFormat="1" ht="12" hidden="1" customHeight="1">
      <c r="A8279" s="198"/>
    </row>
    <row r="8280" spans="1:1" s="199" customFormat="1" ht="12" hidden="1" customHeight="1">
      <c r="A8280" s="198"/>
    </row>
    <row r="8281" spans="1:1" s="199" customFormat="1" ht="12" hidden="1" customHeight="1">
      <c r="A8281" s="198"/>
    </row>
    <row r="8282" spans="1:1" s="199" customFormat="1" ht="12" hidden="1" customHeight="1">
      <c r="A8282" s="198"/>
    </row>
    <row r="8283" spans="1:1" s="199" customFormat="1" ht="12" hidden="1" customHeight="1">
      <c r="A8283" s="198"/>
    </row>
    <row r="8284" spans="1:1" s="199" customFormat="1" ht="12" hidden="1" customHeight="1">
      <c r="A8284" s="198"/>
    </row>
    <row r="8285" spans="1:1" s="199" customFormat="1" ht="12" hidden="1" customHeight="1">
      <c r="A8285" s="198"/>
    </row>
    <row r="8286" spans="1:1" s="199" customFormat="1" ht="12" hidden="1" customHeight="1">
      <c r="A8286" s="198"/>
    </row>
    <row r="8287" spans="1:1" s="199" customFormat="1" ht="12" hidden="1" customHeight="1">
      <c r="A8287" s="198"/>
    </row>
    <row r="8288" spans="1:1" s="199" customFormat="1" ht="12" hidden="1" customHeight="1">
      <c r="A8288" s="198"/>
    </row>
    <row r="8289" spans="1:1" s="199" customFormat="1" ht="12" hidden="1" customHeight="1">
      <c r="A8289" s="198"/>
    </row>
    <row r="8290" spans="1:1" s="199" customFormat="1" ht="12" hidden="1" customHeight="1">
      <c r="A8290" s="198"/>
    </row>
    <row r="8291" spans="1:1" s="199" customFormat="1" ht="12" hidden="1" customHeight="1">
      <c r="A8291" s="198"/>
    </row>
    <row r="8292" spans="1:1" s="199" customFormat="1" ht="12" hidden="1" customHeight="1">
      <c r="A8292" s="198"/>
    </row>
    <row r="8293" spans="1:1" s="199" customFormat="1" ht="12" hidden="1" customHeight="1">
      <c r="A8293" s="198"/>
    </row>
    <row r="8294" spans="1:1" s="199" customFormat="1" ht="12" hidden="1" customHeight="1">
      <c r="A8294" s="198"/>
    </row>
    <row r="8295" spans="1:1" s="199" customFormat="1" ht="12" hidden="1" customHeight="1">
      <c r="A8295" s="198"/>
    </row>
    <row r="8296" spans="1:1" s="199" customFormat="1" ht="12" hidden="1" customHeight="1">
      <c r="A8296" s="198"/>
    </row>
    <row r="8297" spans="1:1" s="199" customFormat="1" ht="12" hidden="1" customHeight="1">
      <c r="A8297" s="198"/>
    </row>
    <row r="8298" spans="1:1" s="199" customFormat="1" ht="12" hidden="1" customHeight="1">
      <c r="A8298" s="198"/>
    </row>
    <row r="8299" spans="1:1" s="199" customFormat="1" ht="12" hidden="1" customHeight="1">
      <c r="A8299" s="198"/>
    </row>
    <row r="8300" spans="1:1" s="199" customFormat="1" ht="12" hidden="1" customHeight="1">
      <c r="A8300" s="198"/>
    </row>
    <row r="8301" spans="1:1" s="199" customFormat="1" ht="12" hidden="1" customHeight="1">
      <c r="A8301" s="198"/>
    </row>
    <row r="8302" spans="1:1" s="199" customFormat="1" ht="12" hidden="1" customHeight="1">
      <c r="A8302" s="198"/>
    </row>
    <row r="8303" spans="1:1" s="199" customFormat="1" ht="12" hidden="1" customHeight="1">
      <c r="A8303" s="198"/>
    </row>
    <row r="8304" spans="1:1" s="199" customFormat="1" ht="12" hidden="1" customHeight="1">
      <c r="A8304" s="198"/>
    </row>
    <row r="8305" spans="1:1" s="199" customFormat="1" ht="12" hidden="1" customHeight="1">
      <c r="A8305" s="198"/>
    </row>
    <row r="8306" spans="1:1" s="199" customFormat="1" ht="12" hidden="1" customHeight="1">
      <c r="A8306" s="198"/>
    </row>
    <row r="8307" spans="1:1" s="199" customFormat="1" ht="12" hidden="1" customHeight="1">
      <c r="A8307" s="198"/>
    </row>
    <row r="8308" spans="1:1" s="199" customFormat="1" ht="12" hidden="1" customHeight="1">
      <c r="A8308" s="198"/>
    </row>
    <row r="8309" spans="1:1" s="199" customFormat="1" ht="12" hidden="1" customHeight="1">
      <c r="A8309" s="198"/>
    </row>
    <row r="8310" spans="1:1" s="199" customFormat="1" ht="12" hidden="1" customHeight="1">
      <c r="A8310" s="198"/>
    </row>
    <row r="8311" spans="1:1" s="199" customFormat="1" ht="12" hidden="1" customHeight="1">
      <c r="A8311" s="198"/>
    </row>
    <row r="8312" spans="1:1" s="199" customFormat="1" ht="12" hidden="1" customHeight="1">
      <c r="A8312" s="198"/>
    </row>
    <row r="8313" spans="1:1" s="199" customFormat="1" ht="12" hidden="1" customHeight="1">
      <c r="A8313" s="198"/>
    </row>
    <row r="8314" spans="1:1" s="199" customFormat="1" ht="12" hidden="1" customHeight="1">
      <c r="A8314" s="198"/>
    </row>
    <row r="8315" spans="1:1" s="199" customFormat="1" ht="12" hidden="1" customHeight="1">
      <c r="A8315" s="198"/>
    </row>
    <row r="8316" spans="1:1" s="199" customFormat="1" ht="12" hidden="1" customHeight="1">
      <c r="A8316" s="198"/>
    </row>
    <row r="8317" spans="1:1" s="199" customFormat="1" ht="12" hidden="1" customHeight="1">
      <c r="A8317" s="198"/>
    </row>
    <row r="8318" spans="1:1" s="199" customFormat="1" ht="12" hidden="1" customHeight="1">
      <c r="A8318" s="198"/>
    </row>
    <row r="8319" spans="1:1" s="199" customFormat="1" ht="12" hidden="1" customHeight="1">
      <c r="A8319" s="198"/>
    </row>
    <row r="8320" spans="1:1" s="199" customFormat="1" ht="12" hidden="1" customHeight="1">
      <c r="A8320" s="198"/>
    </row>
    <row r="8321" spans="1:1" s="199" customFormat="1" ht="12" hidden="1" customHeight="1">
      <c r="A8321" s="198"/>
    </row>
    <row r="8322" spans="1:1" s="199" customFormat="1" ht="12" hidden="1" customHeight="1">
      <c r="A8322" s="198"/>
    </row>
    <row r="8323" spans="1:1" s="199" customFormat="1" ht="12" hidden="1" customHeight="1">
      <c r="A8323" s="198"/>
    </row>
    <row r="8324" spans="1:1" s="199" customFormat="1" ht="12" hidden="1" customHeight="1">
      <c r="A8324" s="198"/>
    </row>
    <row r="8325" spans="1:1" s="199" customFormat="1" ht="12" hidden="1" customHeight="1">
      <c r="A8325" s="198"/>
    </row>
    <row r="8326" spans="1:1" s="199" customFormat="1" ht="12" hidden="1" customHeight="1">
      <c r="A8326" s="198"/>
    </row>
    <row r="8327" spans="1:1" s="199" customFormat="1" ht="12" hidden="1" customHeight="1">
      <c r="A8327" s="198"/>
    </row>
    <row r="8328" spans="1:1" s="199" customFormat="1" ht="12" hidden="1" customHeight="1">
      <c r="A8328" s="198"/>
    </row>
    <row r="8329" spans="1:1" s="199" customFormat="1" ht="12" hidden="1" customHeight="1">
      <c r="A8329" s="198"/>
    </row>
    <row r="8330" spans="1:1" s="199" customFormat="1" ht="12" hidden="1" customHeight="1">
      <c r="A8330" s="198"/>
    </row>
    <row r="8331" spans="1:1" s="199" customFormat="1" ht="12" hidden="1" customHeight="1">
      <c r="A8331" s="198"/>
    </row>
    <row r="8332" spans="1:1" s="199" customFormat="1" ht="12" hidden="1" customHeight="1">
      <c r="A8332" s="198"/>
    </row>
    <row r="8333" spans="1:1" s="199" customFormat="1" ht="12" hidden="1" customHeight="1">
      <c r="A8333" s="198"/>
    </row>
    <row r="8334" spans="1:1" s="199" customFormat="1" ht="12" hidden="1" customHeight="1">
      <c r="A8334" s="198"/>
    </row>
    <row r="8335" spans="1:1" s="199" customFormat="1" ht="12" hidden="1" customHeight="1">
      <c r="A8335" s="198"/>
    </row>
    <row r="8336" spans="1:1" s="199" customFormat="1" ht="12" hidden="1" customHeight="1">
      <c r="A8336" s="198"/>
    </row>
    <row r="8337" spans="1:1" s="199" customFormat="1" ht="12" hidden="1" customHeight="1">
      <c r="A8337" s="198"/>
    </row>
    <row r="8338" spans="1:1" s="199" customFormat="1" ht="12" hidden="1" customHeight="1">
      <c r="A8338" s="198"/>
    </row>
    <row r="8339" spans="1:1" s="199" customFormat="1" ht="12" hidden="1" customHeight="1">
      <c r="A8339" s="198"/>
    </row>
    <row r="8340" spans="1:1" s="199" customFormat="1" ht="12" hidden="1" customHeight="1">
      <c r="A8340" s="198"/>
    </row>
    <row r="8341" spans="1:1" s="199" customFormat="1" ht="12" hidden="1" customHeight="1">
      <c r="A8341" s="198"/>
    </row>
    <row r="8342" spans="1:1" s="199" customFormat="1" ht="12" hidden="1" customHeight="1">
      <c r="A8342" s="198"/>
    </row>
    <row r="8343" spans="1:1" s="199" customFormat="1" ht="12" hidden="1" customHeight="1">
      <c r="A8343" s="198"/>
    </row>
    <row r="8344" spans="1:1" s="199" customFormat="1" ht="12" hidden="1" customHeight="1">
      <c r="A8344" s="198"/>
    </row>
    <row r="8345" spans="1:1" s="199" customFormat="1" ht="12" hidden="1" customHeight="1">
      <c r="A8345" s="198"/>
    </row>
    <row r="8346" spans="1:1" s="199" customFormat="1" ht="12" hidden="1" customHeight="1">
      <c r="A8346" s="198"/>
    </row>
    <row r="8347" spans="1:1" s="199" customFormat="1" ht="12" hidden="1" customHeight="1">
      <c r="A8347" s="198"/>
    </row>
    <row r="8348" spans="1:1" s="199" customFormat="1" ht="12" hidden="1" customHeight="1">
      <c r="A8348" s="198"/>
    </row>
    <row r="8349" spans="1:1" s="199" customFormat="1" ht="12" hidden="1" customHeight="1">
      <c r="A8349" s="198"/>
    </row>
    <row r="8350" spans="1:1" s="199" customFormat="1" ht="12" hidden="1" customHeight="1">
      <c r="A8350" s="198"/>
    </row>
    <row r="8351" spans="1:1" s="199" customFormat="1" ht="12" hidden="1" customHeight="1">
      <c r="A8351" s="198"/>
    </row>
    <row r="8352" spans="1:1" s="199" customFormat="1" ht="12" hidden="1" customHeight="1">
      <c r="A8352" s="198"/>
    </row>
    <row r="8353" spans="1:1" s="199" customFormat="1" ht="12" hidden="1" customHeight="1">
      <c r="A8353" s="198"/>
    </row>
    <row r="8354" spans="1:1" s="199" customFormat="1" ht="12" hidden="1" customHeight="1">
      <c r="A8354" s="198"/>
    </row>
    <row r="8355" spans="1:1" s="199" customFormat="1" ht="12" hidden="1" customHeight="1">
      <c r="A8355" s="198"/>
    </row>
    <row r="8356" spans="1:1" s="199" customFormat="1" ht="12" hidden="1" customHeight="1">
      <c r="A8356" s="198"/>
    </row>
    <row r="8357" spans="1:1" s="199" customFormat="1" ht="12" hidden="1" customHeight="1">
      <c r="A8357" s="198"/>
    </row>
    <row r="8358" spans="1:1" s="199" customFormat="1" ht="12" hidden="1" customHeight="1">
      <c r="A8358" s="198"/>
    </row>
    <row r="8359" spans="1:1" s="199" customFormat="1" ht="12" hidden="1" customHeight="1">
      <c r="A8359" s="198"/>
    </row>
    <row r="8360" spans="1:1" s="199" customFormat="1" ht="12" hidden="1" customHeight="1">
      <c r="A8360" s="198"/>
    </row>
    <row r="8361" spans="1:1" s="199" customFormat="1" ht="12" hidden="1" customHeight="1">
      <c r="A8361" s="198"/>
    </row>
    <row r="8362" spans="1:1" s="199" customFormat="1" ht="12" hidden="1" customHeight="1">
      <c r="A8362" s="198"/>
    </row>
    <row r="8363" spans="1:1" s="199" customFormat="1" ht="12" hidden="1" customHeight="1">
      <c r="A8363" s="198"/>
    </row>
    <row r="8364" spans="1:1" s="199" customFormat="1" ht="12" hidden="1" customHeight="1">
      <c r="A8364" s="198"/>
    </row>
    <row r="8365" spans="1:1" s="199" customFormat="1" ht="12" hidden="1" customHeight="1">
      <c r="A8365" s="198"/>
    </row>
    <row r="8366" spans="1:1" s="199" customFormat="1" ht="12" hidden="1" customHeight="1">
      <c r="A8366" s="198"/>
    </row>
    <row r="8367" spans="1:1" s="199" customFormat="1" ht="12" hidden="1" customHeight="1">
      <c r="A8367" s="198"/>
    </row>
    <row r="8368" spans="1:1" s="199" customFormat="1" ht="12" hidden="1" customHeight="1">
      <c r="A8368" s="198"/>
    </row>
    <row r="8369" spans="1:1" s="199" customFormat="1" ht="12" hidden="1" customHeight="1">
      <c r="A8369" s="198"/>
    </row>
    <row r="8370" spans="1:1" s="199" customFormat="1" ht="12" hidden="1" customHeight="1">
      <c r="A8370" s="198"/>
    </row>
    <row r="8371" spans="1:1" s="199" customFormat="1" ht="12" hidden="1" customHeight="1">
      <c r="A8371" s="198"/>
    </row>
    <row r="8372" spans="1:1" s="199" customFormat="1" ht="12" hidden="1" customHeight="1">
      <c r="A8372" s="198"/>
    </row>
    <row r="8373" spans="1:1" s="199" customFormat="1" ht="12" hidden="1" customHeight="1">
      <c r="A8373" s="198"/>
    </row>
    <row r="8374" spans="1:1" s="199" customFormat="1" ht="12" hidden="1" customHeight="1">
      <c r="A8374" s="198"/>
    </row>
    <row r="8375" spans="1:1" s="199" customFormat="1" ht="12" hidden="1" customHeight="1">
      <c r="A8375" s="198"/>
    </row>
    <row r="8376" spans="1:1" s="199" customFormat="1" ht="12" hidden="1" customHeight="1">
      <c r="A8376" s="198"/>
    </row>
    <row r="8377" spans="1:1" s="199" customFormat="1" ht="12" hidden="1" customHeight="1">
      <c r="A8377" s="198"/>
    </row>
    <row r="8378" spans="1:1" s="199" customFormat="1" ht="12" hidden="1" customHeight="1">
      <c r="A8378" s="198"/>
    </row>
    <row r="8379" spans="1:1" s="199" customFormat="1" ht="12" hidden="1" customHeight="1">
      <c r="A8379" s="198"/>
    </row>
    <row r="8380" spans="1:1" s="199" customFormat="1" ht="12" hidden="1" customHeight="1">
      <c r="A8380" s="198"/>
    </row>
    <row r="8381" spans="1:1" s="199" customFormat="1" ht="12" hidden="1" customHeight="1">
      <c r="A8381" s="198"/>
    </row>
    <row r="8382" spans="1:1" s="199" customFormat="1" ht="12" hidden="1" customHeight="1">
      <c r="A8382" s="198"/>
    </row>
    <row r="8383" spans="1:1" s="199" customFormat="1" ht="12" hidden="1" customHeight="1">
      <c r="A8383" s="198"/>
    </row>
    <row r="8384" spans="1:1" s="199" customFormat="1" ht="12" hidden="1" customHeight="1">
      <c r="A8384" s="198"/>
    </row>
    <row r="8385" spans="1:1" s="199" customFormat="1" ht="12" hidden="1" customHeight="1">
      <c r="A8385" s="198"/>
    </row>
    <row r="8386" spans="1:1" s="199" customFormat="1" ht="12" hidden="1" customHeight="1">
      <c r="A8386" s="198"/>
    </row>
    <row r="8387" spans="1:1" s="199" customFormat="1" ht="12" hidden="1" customHeight="1">
      <c r="A8387" s="198"/>
    </row>
    <row r="8388" spans="1:1" s="199" customFormat="1" ht="12" hidden="1" customHeight="1">
      <c r="A8388" s="198"/>
    </row>
    <row r="8389" spans="1:1" s="199" customFormat="1" ht="12" hidden="1" customHeight="1">
      <c r="A8389" s="198"/>
    </row>
    <row r="8390" spans="1:1" s="199" customFormat="1" ht="12" hidden="1" customHeight="1">
      <c r="A8390" s="198"/>
    </row>
    <row r="8391" spans="1:1" s="199" customFormat="1" ht="12" hidden="1" customHeight="1">
      <c r="A8391" s="198"/>
    </row>
    <row r="8392" spans="1:1" s="199" customFormat="1" ht="12" hidden="1" customHeight="1">
      <c r="A8392" s="198"/>
    </row>
    <row r="8393" spans="1:1" s="199" customFormat="1" ht="12" hidden="1" customHeight="1">
      <c r="A8393" s="198"/>
    </row>
    <row r="8394" spans="1:1" s="199" customFormat="1" ht="12" hidden="1" customHeight="1">
      <c r="A8394" s="198"/>
    </row>
    <row r="8395" spans="1:1" s="199" customFormat="1" ht="12" hidden="1" customHeight="1">
      <c r="A8395" s="198"/>
    </row>
    <row r="8396" spans="1:1" s="199" customFormat="1" ht="12" hidden="1" customHeight="1">
      <c r="A8396" s="198"/>
    </row>
    <row r="8397" spans="1:1" s="199" customFormat="1" ht="12" hidden="1" customHeight="1">
      <c r="A8397" s="198"/>
    </row>
    <row r="8398" spans="1:1" s="199" customFormat="1" ht="12" hidden="1" customHeight="1">
      <c r="A8398" s="198"/>
    </row>
    <row r="8399" spans="1:1" s="199" customFormat="1" ht="12" hidden="1" customHeight="1">
      <c r="A8399" s="198"/>
    </row>
    <row r="8400" spans="1:1" s="199" customFormat="1" ht="12" hidden="1" customHeight="1">
      <c r="A8400" s="198"/>
    </row>
    <row r="8401" spans="1:1" s="199" customFormat="1" ht="12" hidden="1" customHeight="1">
      <c r="A8401" s="198"/>
    </row>
    <row r="8402" spans="1:1" s="199" customFormat="1" ht="12" hidden="1" customHeight="1">
      <c r="A8402" s="198"/>
    </row>
    <row r="8403" spans="1:1" s="199" customFormat="1" ht="12" hidden="1" customHeight="1">
      <c r="A8403" s="198"/>
    </row>
    <row r="8404" spans="1:1" s="199" customFormat="1" ht="12" hidden="1" customHeight="1">
      <c r="A8404" s="198"/>
    </row>
    <row r="8405" spans="1:1" s="199" customFormat="1" ht="12" hidden="1" customHeight="1">
      <c r="A8405" s="198"/>
    </row>
    <row r="8406" spans="1:1" s="199" customFormat="1" ht="12" hidden="1" customHeight="1">
      <c r="A8406" s="198"/>
    </row>
    <row r="8407" spans="1:1" s="199" customFormat="1" ht="12" hidden="1" customHeight="1">
      <c r="A8407" s="198"/>
    </row>
    <row r="8408" spans="1:1" s="199" customFormat="1" ht="12" hidden="1" customHeight="1">
      <c r="A8408" s="198"/>
    </row>
    <row r="8409" spans="1:1" s="199" customFormat="1" ht="12" hidden="1" customHeight="1">
      <c r="A8409" s="198"/>
    </row>
    <row r="8410" spans="1:1" s="199" customFormat="1" ht="12" hidden="1" customHeight="1">
      <c r="A8410" s="198"/>
    </row>
    <row r="8411" spans="1:1" s="199" customFormat="1" ht="12" hidden="1" customHeight="1">
      <c r="A8411" s="198"/>
    </row>
    <row r="8412" spans="1:1" s="199" customFormat="1" ht="12" hidden="1" customHeight="1">
      <c r="A8412" s="198"/>
    </row>
    <row r="8413" spans="1:1" s="199" customFormat="1" ht="12" hidden="1" customHeight="1">
      <c r="A8413" s="198"/>
    </row>
    <row r="8414" spans="1:1" s="199" customFormat="1" ht="12" hidden="1" customHeight="1">
      <c r="A8414" s="198"/>
    </row>
    <row r="8415" spans="1:1" s="199" customFormat="1" ht="12" hidden="1" customHeight="1">
      <c r="A8415" s="198"/>
    </row>
    <row r="8416" spans="1:1" s="199" customFormat="1" ht="12" hidden="1" customHeight="1">
      <c r="A8416" s="198"/>
    </row>
    <row r="8417" spans="1:1" s="199" customFormat="1" ht="12" hidden="1" customHeight="1">
      <c r="A8417" s="198"/>
    </row>
    <row r="8418" spans="1:1" s="199" customFormat="1" ht="12" hidden="1" customHeight="1">
      <c r="A8418" s="198"/>
    </row>
    <row r="8419" spans="1:1" s="199" customFormat="1" ht="12" hidden="1" customHeight="1">
      <c r="A8419" s="198"/>
    </row>
    <row r="8420" spans="1:1" s="199" customFormat="1" ht="12" hidden="1" customHeight="1">
      <c r="A8420" s="198"/>
    </row>
    <row r="8421" spans="1:1" s="199" customFormat="1" ht="12" hidden="1" customHeight="1">
      <c r="A8421" s="198"/>
    </row>
    <row r="8422" spans="1:1" s="199" customFormat="1" ht="12" hidden="1" customHeight="1">
      <c r="A8422" s="198"/>
    </row>
    <row r="8423" spans="1:1" s="199" customFormat="1" ht="12" hidden="1" customHeight="1">
      <c r="A8423" s="198"/>
    </row>
    <row r="8424" spans="1:1" s="199" customFormat="1" ht="12" hidden="1" customHeight="1">
      <c r="A8424" s="198"/>
    </row>
    <row r="8425" spans="1:1" s="199" customFormat="1" ht="12" hidden="1" customHeight="1">
      <c r="A8425" s="198"/>
    </row>
    <row r="8426" spans="1:1" s="199" customFormat="1" ht="12" hidden="1" customHeight="1">
      <c r="A8426" s="198"/>
    </row>
    <row r="8427" spans="1:1" s="199" customFormat="1" ht="12" hidden="1" customHeight="1">
      <c r="A8427" s="198"/>
    </row>
    <row r="8428" spans="1:1" s="199" customFormat="1" ht="12" hidden="1" customHeight="1">
      <c r="A8428" s="198"/>
    </row>
    <row r="8429" spans="1:1" s="199" customFormat="1" ht="12" hidden="1" customHeight="1">
      <c r="A8429" s="198"/>
    </row>
    <row r="8430" spans="1:1" s="199" customFormat="1" ht="12" hidden="1" customHeight="1">
      <c r="A8430" s="198"/>
    </row>
    <row r="8431" spans="1:1" s="199" customFormat="1" ht="12" hidden="1" customHeight="1">
      <c r="A8431" s="198"/>
    </row>
    <row r="8432" spans="1:1" s="199" customFormat="1" ht="12" hidden="1" customHeight="1">
      <c r="A8432" s="198"/>
    </row>
    <row r="8433" spans="1:1" s="199" customFormat="1" ht="12" hidden="1" customHeight="1">
      <c r="A8433" s="198"/>
    </row>
    <row r="8434" spans="1:1" s="199" customFormat="1" ht="12" hidden="1" customHeight="1">
      <c r="A8434" s="198"/>
    </row>
    <row r="8435" spans="1:1" s="199" customFormat="1" ht="12" hidden="1" customHeight="1">
      <c r="A8435" s="198"/>
    </row>
    <row r="8436" spans="1:1" s="199" customFormat="1" ht="12" hidden="1" customHeight="1">
      <c r="A8436" s="198"/>
    </row>
    <row r="8437" spans="1:1" s="199" customFormat="1" ht="12" hidden="1" customHeight="1">
      <c r="A8437" s="198"/>
    </row>
    <row r="8438" spans="1:1" s="199" customFormat="1" ht="12" hidden="1" customHeight="1">
      <c r="A8438" s="198"/>
    </row>
    <row r="8439" spans="1:1" s="199" customFormat="1" ht="12" hidden="1" customHeight="1">
      <c r="A8439" s="198"/>
    </row>
    <row r="8440" spans="1:1" s="199" customFormat="1" ht="12" hidden="1" customHeight="1">
      <c r="A8440" s="198"/>
    </row>
    <row r="8441" spans="1:1" s="199" customFormat="1" ht="12" hidden="1" customHeight="1">
      <c r="A8441" s="198"/>
    </row>
    <row r="8442" spans="1:1" s="199" customFormat="1" ht="12" hidden="1" customHeight="1">
      <c r="A8442" s="198"/>
    </row>
    <row r="8443" spans="1:1" s="199" customFormat="1" ht="12" hidden="1" customHeight="1">
      <c r="A8443" s="198"/>
    </row>
    <row r="8444" spans="1:1" s="199" customFormat="1" ht="12" hidden="1" customHeight="1">
      <c r="A8444" s="198"/>
    </row>
    <row r="8445" spans="1:1" s="199" customFormat="1" ht="12" hidden="1" customHeight="1">
      <c r="A8445" s="198"/>
    </row>
    <row r="8446" spans="1:1" s="199" customFormat="1" ht="12" hidden="1" customHeight="1">
      <c r="A8446" s="198"/>
    </row>
    <row r="8447" spans="1:1" s="199" customFormat="1" ht="12" hidden="1" customHeight="1">
      <c r="A8447" s="198"/>
    </row>
    <row r="8448" spans="1:1" s="199" customFormat="1" ht="12" hidden="1" customHeight="1">
      <c r="A8448" s="198"/>
    </row>
    <row r="8449" spans="1:1" s="199" customFormat="1" ht="12" hidden="1" customHeight="1">
      <c r="A8449" s="198"/>
    </row>
    <row r="8450" spans="1:1" s="199" customFormat="1" ht="12" hidden="1" customHeight="1">
      <c r="A8450" s="198"/>
    </row>
    <row r="8451" spans="1:1" s="199" customFormat="1" ht="12" hidden="1" customHeight="1">
      <c r="A8451" s="198"/>
    </row>
    <row r="8452" spans="1:1" s="199" customFormat="1" ht="12" hidden="1" customHeight="1">
      <c r="A8452" s="198"/>
    </row>
    <row r="8453" spans="1:1" s="199" customFormat="1" ht="12" hidden="1" customHeight="1">
      <c r="A8453" s="198"/>
    </row>
    <row r="8454" spans="1:1" s="199" customFormat="1" ht="12" hidden="1" customHeight="1">
      <c r="A8454" s="198"/>
    </row>
    <row r="8455" spans="1:1" s="199" customFormat="1" ht="12" hidden="1" customHeight="1">
      <c r="A8455" s="198"/>
    </row>
    <row r="8456" spans="1:1" s="199" customFormat="1" ht="12" hidden="1" customHeight="1">
      <c r="A8456" s="198"/>
    </row>
    <row r="8457" spans="1:1" s="199" customFormat="1" ht="12" hidden="1" customHeight="1">
      <c r="A8457" s="198"/>
    </row>
    <row r="8458" spans="1:1" s="199" customFormat="1" ht="12" hidden="1" customHeight="1">
      <c r="A8458" s="198"/>
    </row>
    <row r="8459" spans="1:1" s="199" customFormat="1" ht="12" hidden="1" customHeight="1">
      <c r="A8459" s="198"/>
    </row>
    <row r="8460" spans="1:1" s="199" customFormat="1" ht="12" hidden="1" customHeight="1">
      <c r="A8460" s="198"/>
    </row>
    <row r="8461" spans="1:1" s="199" customFormat="1" ht="12" hidden="1" customHeight="1">
      <c r="A8461" s="198"/>
    </row>
    <row r="8462" spans="1:1" s="199" customFormat="1" ht="12" hidden="1" customHeight="1">
      <c r="A8462" s="198"/>
    </row>
    <row r="8463" spans="1:1" s="199" customFormat="1" ht="12" hidden="1" customHeight="1">
      <c r="A8463" s="198"/>
    </row>
    <row r="8464" spans="1:1" s="199" customFormat="1" ht="12" hidden="1" customHeight="1">
      <c r="A8464" s="198"/>
    </row>
    <row r="8465" spans="1:1" s="199" customFormat="1" ht="12" hidden="1" customHeight="1">
      <c r="A8465" s="198"/>
    </row>
    <row r="8466" spans="1:1" s="199" customFormat="1" ht="12" hidden="1" customHeight="1">
      <c r="A8466" s="198"/>
    </row>
    <row r="8467" spans="1:1" s="199" customFormat="1" ht="12" hidden="1" customHeight="1">
      <c r="A8467" s="198"/>
    </row>
    <row r="8468" spans="1:1" s="199" customFormat="1" ht="12" hidden="1" customHeight="1">
      <c r="A8468" s="198"/>
    </row>
    <row r="8469" spans="1:1" s="199" customFormat="1" ht="12" hidden="1" customHeight="1">
      <c r="A8469" s="198"/>
    </row>
    <row r="8470" spans="1:1" s="199" customFormat="1" ht="12" hidden="1" customHeight="1">
      <c r="A8470" s="198"/>
    </row>
    <row r="8471" spans="1:1" s="199" customFormat="1" ht="12" hidden="1" customHeight="1">
      <c r="A8471" s="198"/>
    </row>
    <row r="8472" spans="1:1" s="199" customFormat="1" ht="12" hidden="1" customHeight="1">
      <c r="A8472" s="198"/>
    </row>
    <row r="8473" spans="1:1" s="199" customFormat="1" ht="12" hidden="1" customHeight="1">
      <c r="A8473" s="198"/>
    </row>
    <row r="8474" spans="1:1" s="199" customFormat="1" ht="12" hidden="1" customHeight="1">
      <c r="A8474" s="198"/>
    </row>
    <row r="8475" spans="1:1" s="199" customFormat="1" ht="12" hidden="1" customHeight="1">
      <c r="A8475" s="198"/>
    </row>
    <row r="8476" spans="1:1" s="199" customFormat="1" ht="12" hidden="1" customHeight="1">
      <c r="A8476" s="198"/>
    </row>
    <row r="8477" spans="1:1" s="199" customFormat="1" ht="12" hidden="1" customHeight="1">
      <c r="A8477" s="198"/>
    </row>
    <row r="8478" spans="1:1" s="199" customFormat="1" ht="12" hidden="1" customHeight="1">
      <c r="A8478" s="198"/>
    </row>
    <row r="8479" spans="1:1" s="199" customFormat="1" ht="12" hidden="1" customHeight="1">
      <c r="A8479" s="198"/>
    </row>
    <row r="8480" spans="1:1" s="199" customFormat="1" ht="12" hidden="1" customHeight="1">
      <c r="A8480" s="198"/>
    </row>
    <row r="8481" spans="1:1" s="199" customFormat="1" ht="12" hidden="1" customHeight="1">
      <c r="A8481" s="198"/>
    </row>
    <row r="8482" spans="1:1" s="199" customFormat="1" ht="12" hidden="1" customHeight="1">
      <c r="A8482" s="198"/>
    </row>
    <row r="8483" spans="1:1" s="199" customFormat="1" ht="12" hidden="1" customHeight="1">
      <c r="A8483" s="198"/>
    </row>
    <row r="8484" spans="1:1" s="199" customFormat="1" ht="12" hidden="1" customHeight="1">
      <c r="A8484" s="198"/>
    </row>
    <row r="8485" spans="1:1" s="199" customFormat="1" ht="12" hidden="1" customHeight="1">
      <c r="A8485" s="198"/>
    </row>
    <row r="8486" spans="1:1" s="199" customFormat="1" ht="12" hidden="1" customHeight="1">
      <c r="A8486" s="198"/>
    </row>
    <row r="8487" spans="1:1" s="199" customFormat="1" ht="12" hidden="1" customHeight="1">
      <c r="A8487" s="198"/>
    </row>
    <row r="8488" spans="1:1" s="199" customFormat="1" ht="12" hidden="1" customHeight="1">
      <c r="A8488" s="198"/>
    </row>
    <row r="8489" spans="1:1" s="199" customFormat="1" ht="12" hidden="1" customHeight="1">
      <c r="A8489" s="198"/>
    </row>
    <row r="8490" spans="1:1" s="199" customFormat="1" ht="12" hidden="1" customHeight="1">
      <c r="A8490" s="198"/>
    </row>
    <row r="8491" spans="1:1" s="199" customFormat="1" ht="12" hidden="1" customHeight="1">
      <c r="A8491" s="198"/>
    </row>
    <row r="8492" spans="1:1" s="199" customFormat="1" ht="12" hidden="1" customHeight="1">
      <c r="A8492" s="198"/>
    </row>
    <row r="8493" spans="1:1" s="199" customFormat="1" ht="12" hidden="1" customHeight="1">
      <c r="A8493" s="198"/>
    </row>
    <row r="8494" spans="1:1" s="199" customFormat="1" ht="12" hidden="1" customHeight="1">
      <c r="A8494" s="198"/>
    </row>
    <row r="8495" spans="1:1" s="199" customFormat="1" ht="12" hidden="1" customHeight="1">
      <c r="A8495" s="198"/>
    </row>
    <row r="8496" spans="1:1" s="199" customFormat="1" ht="12" hidden="1" customHeight="1">
      <c r="A8496" s="198"/>
    </row>
    <row r="8497" spans="1:1" s="199" customFormat="1" ht="12" hidden="1" customHeight="1">
      <c r="A8497" s="198"/>
    </row>
    <row r="8498" spans="1:1" s="199" customFormat="1" ht="12" hidden="1" customHeight="1">
      <c r="A8498" s="198"/>
    </row>
    <row r="8499" spans="1:1" s="199" customFormat="1" ht="12" hidden="1" customHeight="1">
      <c r="A8499" s="198"/>
    </row>
    <row r="8500" spans="1:1" s="199" customFormat="1" ht="12" hidden="1" customHeight="1">
      <c r="A8500" s="198"/>
    </row>
    <row r="8501" spans="1:1" s="199" customFormat="1" ht="12" hidden="1" customHeight="1">
      <c r="A8501" s="198"/>
    </row>
    <row r="8502" spans="1:1" s="199" customFormat="1" ht="12" hidden="1" customHeight="1">
      <c r="A8502" s="198"/>
    </row>
    <row r="8503" spans="1:1" s="199" customFormat="1" ht="12" hidden="1" customHeight="1">
      <c r="A8503" s="198"/>
    </row>
    <row r="8504" spans="1:1" s="199" customFormat="1" ht="12" hidden="1" customHeight="1">
      <c r="A8504" s="198"/>
    </row>
    <row r="8505" spans="1:1" s="199" customFormat="1" ht="12" hidden="1" customHeight="1">
      <c r="A8505" s="198"/>
    </row>
    <row r="8506" spans="1:1" s="199" customFormat="1" ht="12" hidden="1" customHeight="1">
      <c r="A8506" s="198"/>
    </row>
    <row r="8507" spans="1:1" s="199" customFormat="1" ht="12" hidden="1" customHeight="1">
      <c r="A8507" s="198"/>
    </row>
    <row r="8508" spans="1:1" s="199" customFormat="1" ht="12" hidden="1" customHeight="1">
      <c r="A8508" s="198"/>
    </row>
    <row r="8509" spans="1:1" s="199" customFormat="1" ht="12" hidden="1" customHeight="1">
      <c r="A8509" s="198"/>
    </row>
    <row r="8510" spans="1:1" s="199" customFormat="1" ht="12" hidden="1" customHeight="1">
      <c r="A8510" s="198"/>
    </row>
    <row r="8511" spans="1:1" s="199" customFormat="1" ht="12" hidden="1" customHeight="1">
      <c r="A8511" s="198"/>
    </row>
    <row r="8512" spans="1:1" s="199" customFormat="1" ht="12" hidden="1" customHeight="1">
      <c r="A8512" s="198"/>
    </row>
    <row r="8513" spans="1:1" s="199" customFormat="1" ht="12" hidden="1" customHeight="1">
      <c r="A8513" s="198"/>
    </row>
    <row r="8514" spans="1:1" s="199" customFormat="1" ht="12" hidden="1" customHeight="1">
      <c r="A8514" s="198"/>
    </row>
    <row r="8515" spans="1:1" s="199" customFormat="1" ht="12" hidden="1" customHeight="1">
      <c r="A8515" s="198"/>
    </row>
    <row r="8516" spans="1:1" s="199" customFormat="1" ht="12" hidden="1" customHeight="1">
      <c r="A8516" s="198"/>
    </row>
    <row r="8517" spans="1:1" s="199" customFormat="1" ht="12" hidden="1" customHeight="1">
      <c r="A8517" s="198"/>
    </row>
    <row r="8518" spans="1:1" s="199" customFormat="1" ht="12" hidden="1" customHeight="1">
      <c r="A8518" s="198"/>
    </row>
    <row r="8519" spans="1:1" s="199" customFormat="1" ht="12" hidden="1" customHeight="1">
      <c r="A8519" s="198"/>
    </row>
    <row r="8520" spans="1:1" s="199" customFormat="1" ht="12" hidden="1" customHeight="1">
      <c r="A8520" s="198"/>
    </row>
    <row r="8521" spans="1:1" s="199" customFormat="1" ht="12" hidden="1" customHeight="1">
      <c r="A8521" s="198"/>
    </row>
    <row r="8522" spans="1:1" s="199" customFormat="1" ht="12" hidden="1" customHeight="1">
      <c r="A8522" s="198"/>
    </row>
    <row r="8523" spans="1:1" s="199" customFormat="1" ht="12" hidden="1" customHeight="1">
      <c r="A8523" s="198"/>
    </row>
    <row r="8524" spans="1:1" s="199" customFormat="1" ht="12" hidden="1" customHeight="1">
      <c r="A8524" s="198"/>
    </row>
    <row r="8525" spans="1:1" s="199" customFormat="1" ht="12" hidden="1" customHeight="1">
      <c r="A8525" s="198"/>
    </row>
    <row r="8526" spans="1:1" s="199" customFormat="1" ht="12" hidden="1" customHeight="1">
      <c r="A8526" s="198"/>
    </row>
    <row r="8527" spans="1:1" s="199" customFormat="1" ht="12" hidden="1" customHeight="1">
      <c r="A8527" s="198"/>
    </row>
    <row r="8528" spans="1:1" s="199" customFormat="1" ht="12" hidden="1" customHeight="1">
      <c r="A8528" s="198"/>
    </row>
    <row r="8529" spans="1:1" s="199" customFormat="1" ht="12" hidden="1" customHeight="1">
      <c r="A8529" s="198"/>
    </row>
    <row r="8530" spans="1:1" s="199" customFormat="1" ht="12" hidden="1" customHeight="1">
      <c r="A8530" s="198"/>
    </row>
    <row r="8531" spans="1:1" s="199" customFormat="1" ht="12" hidden="1" customHeight="1">
      <c r="A8531" s="198"/>
    </row>
    <row r="8532" spans="1:1" s="199" customFormat="1" ht="12" hidden="1" customHeight="1">
      <c r="A8532" s="198"/>
    </row>
    <row r="8533" spans="1:1" s="199" customFormat="1" ht="12" hidden="1" customHeight="1">
      <c r="A8533" s="198"/>
    </row>
    <row r="8534" spans="1:1" s="199" customFormat="1" ht="12" hidden="1" customHeight="1">
      <c r="A8534" s="198"/>
    </row>
    <row r="8535" spans="1:1" s="199" customFormat="1" ht="12" hidden="1" customHeight="1">
      <c r="A8535" s="198"/>
    </row>
    <row r="8536" spans="1:1" s="199" customFormat="1" ht="12" hidden="1" customHeight="1">
      <c r="A8536" s="198"/>
    </row>
    <row r="8537" spans="1:1" s="199" customFormat="1" ht="12" hidden="1" customHeight="1">
      <c r="A8537" s="198"/>
    </row>
    <row r="8538" spans="1:1" s="199" customFormat="1" ht="12" hidden="1" customHeight="1">
      <c r="A8538" s="198"/>
    </row>
    <row r="8539" spans="1:1" s="199" customFormat="1" ht="12" hidden="1" customHeight="1">
      <c r="A8539" s="198"/>
    </row>
    <row r="8540" spans="1:1" s="199" customFormat="1" ht="12" hidden="1" customHeight="1">
      <c r="A8540" s="198"/>
    </row>
    <row r="8541" spans="1:1" s="199" customFormat="1" ht="12" hidden="1" customHeight="1">
      <c r="A8541" s="198"/>
    </row>
    <row r="8542" spans="1:1" s="199" customFormat="1" ht="12" hidden="1" customHeight="1">
      <c r="A8542" s="198"/>
    </row>
    <row r="8543" spans="1:1" s="199" customFormat="1" ht="12" hidden="1" customHeight="1">
      <c r="A8543" s="198"/>
    </row>
    <row r="8544" spans="1:1" s="199" customFormat="1" ht="12" hidden="1" customHeight="1">
      <c r="A8544" s="198"/>
    </row>
    <row r="8545" spans="1:1" s="199" customFormat="1" ht="12" hidden="1" customHeight="1">
      <c r="A8545" s="198"/>
    </row>
    <row r="8546" spans="1:1" s="199" customFormat="1" ht="12" hidden="1" customHeight="1">
      <c r="A8546" s="198"/>
    </row>
    <row r="8547" spans="1:1" s="199" customFormat="1" ht="12" hidden="1" customHeight="1">
      <c r="A8547" s="198"/>
    </row>
    <row r="8548" spans="1:1" s="199" customFormat="1" ht="12" hidden="1" customHeight="1">
      <c r="A8548" s="198"/>
    </row>
    <row r="8549" spans="1:1" s="199" customFormat="1" ht="12" hidden="1" customHeight="1">
      <c r="A8549" s="198"/>
    </row>
    <row r="8550" spans="1:1" s="199" customFormat="1" ht="12" hidden="1" customHeight="1">
      <c r="A8550" s="198"/>
    </row>
    <row r="8551" spans="1:1" s="199" customFormat="1" ht="12" hidden="1" customHeight="1">
      <c r="A8551" s="198"/>
    </row>
    <row r="8552" spans="1:1" s="199" customFormat="1" ht="12" hidden="1" customHeight="1">
      <c r="A8552" s="198"/>
    </row>
    <row r="8553" spans="1:1" s="199" customFormat="1" ht="12" hidden="1" customHeight="1">
      <c r="A8553" s="198"/>
    </row>
    <row r="8554" spans="1:1" s="199" customFormat="1" ht="12" hidden="1" customHeight="1">
      <c r="A8554" s="198"/>
    </row>
    <row r="8555" spans="1:1" s="199" customFormat="1" ht="12" hidden="1" customHeight="1">
      <c r="A8555" s="198"/>
    </row>
    <row r="8556" spans="1:1" s="199" customFormat="1" ht="12" hidden="1" customHeight="1">
      <c r="A8556" s="198"/>
    </row>
    <row r="8557" spans="1:1" s="199" customFormat="1" ht="12" hidden="1" customHeight="1">
      <c r="A8557" s="198"/>
    </row>
    <row r="8558" spans="1:1" s="199" customFormat="1" ht="12" hidden="1" customHeight="1">
      <c r="A8558" s="198"/>
    </row>
    <row r="8559" spans="1:1" s="199" customFormat="1" ht="12" hidden="1" customHeight="1">
      <c r="A8559" s="198"/>
    </row>
    <row r="8560" spans="1:1" s="199" customFormat="1" ht="12" hidden="1" customHeight="1">
      <c r="A8560" s="198"/>
    </row>
    <row r="8561" spans="1:1" s="199" customFormat="1" ht="12" hidden="1" customHeight="1">
      <c r="A8561" s="198"/>
    </row>
    <row r="8562" spans="1:1" s="199" customFormat="1" ht="12" hidden="1" customHeight="1">
      <c r="A8562" s="198"/>
    </row>
    <row r="8563" spans="1:1" s="199" customFormat="1" ht="12" hidden="1" customHeight="1">
      <c r="A8563" s="198"/>
    </row>
    <row r="8564" spans="1:1" s="199" customFormat="1" ht="12" hidden="1" customHeight="1">
      <c r="A8564" s="198"/>
    </row>
    <row r="8565" spans="1:1" s="199" customFormat="1" ht="12" hidden="1" customHeight="1">
      <c r="A8565" s="198"/>
    </row>
    <row r="8566" spans="1:1" s="199" customFormat="1" ht="12" hidden="1" customHeight="1">
      <c r="A8566" s="198"/>
    </row>
    <row r="8567" spans="1:1" s="199" customFormat="1" ht="12" hidden="1" customHeight="1">
      <c r="A8567" s="198"/>
    </row>
    <row r="8568" spans="1:1" s="199" customFormat="1" ht="12" hidden="1" customHeight="1">
      <c r="A8568" s="198"/>
    </row>
    <row r="8569" spans="1:1" s="199" customFormat="1" ht="12" hidden="1" customHeight="1">
      <c r="A8569" s="198"/>
    </row>
    <row r="8570" spans="1:1" s="199" customFormat="1" ht="12" hidden="1" customHeight="1">
      <c r="A8570" s="198"/>
    </row>
    <row r="8571" spans="1:1" s="199" customFormat="1" ht="12" hidden="1" customHeight="1">
      <c r="A8571" s="198"/>
    </row>
    <row r="8572" spans="1:1" s="199" customFormat="1" ht="12" hidden="1" customHeight="1">
      <c r="A8572" s="198"/>
    </row>
    <row r="8573" spans="1:1" s="199" customFormat="1" ht="12" hidden="1" customHeight="1">
      <c r="A8573" s="198"/>
    </row>
    <row r="8574" spans="1:1" s="199" customFormat="1" ht="12" hidden="1" customHeight="1">
      <c r="A8574" s="198"/>
    </row>
    <row r="8575" spans="1:1" s="199" customFormat="1" ht="12" hidden="1" customHeight="1">
      <c r="A8575" s="198"/>
    </row>
    <row r="8576" spans="1:1" s="199" customFormat="1" ht="12" hidden="1" customHeight="1">
      <c r="A8576" s="198"/>
    </row>
    <row r="8577" spans="1:1" s="199" customFormat="1" ht="12" hidden="1" customHeight="1">
      <c r="A8577" s="198"/>
    </row>
    <row r="8578" spans="1:1" s="199" customFormat="1" ht="12" hidden="1" customHeight="1">
      <c r="A8578" s="198"/>
    </row>
    <row r="8579" spans="1:1" s="199" customFormat="1" ht="12" hidden="1" customHeight="1">
      <c r="A8579" s="198"/>
    </row>
    <row r="8580" spans="1:1" s="199" customFormat="1" ht="12" hidden="1" customHeight="1">
      <c r="A8580" s="198"/>
    </row>
    <row r="8581" spans="1:1" s="199" customFormat="1" ht="12" hidden="1" customHeight="1">
      <c r="A8581" s="198"/>
    </row>
    <row r="8582" spans="1:1" s="199" customFormat="1" ht="12" hidden="1" customHeight="1">
      <c r="A8582" s="198"/>
    </row>
    <row r="8583" spans="1:1" s="199" customFormat="1" ht="12" hidden="1" customHeight="1">
      <c r="A8583" s="198"/>
    </row>
    <row r="8584" spans="1:1" s="199" customFormat="1" ht="12" hidden="1" customHeight="1">
      <c r="A8584" s="198"/>
    </row>
    <row r="8585" spans="1:1" s="199" customFormat="1" ht="12" hidden="1" customHeight="1">
      <c r="A8585" s="198"/>
    </row>
    <row r="8586" spans="1:1" s="199" customFormat="1" ht="12" hidden="1" customHeight="1">
      <c r="A8586" s="198"/>
    </row>
    <row r="8587" spans="1:1" s="199" customFormat="1" ht="12" hidden="1" customHeight="1">
      <c r="A8587" s="198"/>
    </row>
    <row r="8588" spans="1:1" s="199" customFormat="1" ht="12" hidden="1" customHeight="1">
      <c r="A8588" s="198"/>
    </row>
    <row r="8589" spans="1:1" s="199" customFormat="1" ht="12" hidden="1" customHeight="1">
      <c r="A8589" s="198"/>
    </row>
    <row r="8590" spans="1:1" s="199" customFormat="1" ht="12" hidden="1" customHeight="1">
      <c r="A8590" s="198"/>
    </row>
    <row r="8591" spans="1:1" s="199" customFormat="1" ht="12" hidden="1" customHeight="1">
      <c r="A8591" s="198"/>
    </row>
    <row r="8592" spans="1:1" s="199" customFormat="1" ht="12" hidden="1" customHeight="1">
      <c r="A8592" s="198"/>
    </row>
    <row r="8593" spans="1:1" s="199" customFormat="1" ht="12" hidden="1" customHeight="1">
      <c r="A8593" s="198"/>
    </row>
    <row r="8594" spans="1:1" s="199" customFormat="1" ht="12" hidden="1" customHeight="1">
      <c r="A8594" s="198"/>
    </row>
    <row r="8595" spans="1:1" s="199" customFormat="1" ht="12" hidden="1" customHeight="1">
      <c r="A8595" s="198"/>
    </row>
    <row r="8596" spans="1:1" s="199" customFormat="1" ht="12" hidden="1" customHeight="1">
      <c r="A8596" s="198"/>
    </row>
    <row r="8597" spans="1:1" s="199" customFormat="1" ht="12" hidden="1" customHeight="1">
      <c r="A8597" s="198"/>
    </row>
    <row r="8598" spans="1:1" s="199" customFormat="1" ht="12" hidden="1" customHeight="1">
      <c r="A8598" s="198"/>
    </row>
    <row r="8599" spans="1:1" s="199" customFormat="1" ht="12" hidden="1" customHeight="1">
      <c r="A8599" s="198"/>
    </row>
    <row r="8600" spans="1:1" s="199" customFormat="1" ht="12" hidden="1" customHeight="1">
      <c r="A8600" s="198"/>
    </row>
    <row r="8601" spans="1:1" s="199" customFormat="1" ht="12" hidden="1" customHeight="1">
      <c r="A8601" s="198"/>
    </row>
    <row r="8602" spans="1:1" s="199" customFormat="1" ht="12" hidden="1" customHeight="1">
      <c r="A8602" s="198"/>
    </row>
    <row r="8603" spans="1:1" s="199" customFormat="1" ht="12" hidden="1" customHeight="1">
      <c r="A8603" s="198"/>
    </row>
    <row r="8604" spans="1:1" s="199" customFormat="1" ht="12" hidden="1" customHeight="1">
      <c r="A8604" s="198"/>
    </row>
    <row r="8605" spans="1:1" s="199" customFormat="1" ht="12" hidden="1" customHeight="1">
      <c r="A8605" s="198"/>
    </row>
    <row r="8606" spans="1:1" s="199" customFormat="1" ht="12" hidden="1" customHeight="1">
      <c r="A8606" s="198"/>
    </row>
    <row r="8607" spans="1:1" s="199" customFormat="1" ht="12" hidden="1" customHeight="1">
      <c r="A8607" s="198"/>
    </row>
    <row r="8608" spans="1:1" s="199" customFormat="1" ht="12" hidden="1" customHeight="1">
      <c r="A8608" s="198"/>
    </row>
    <row r="8609" spans="1:1" s="199" customFormat="1" ht="12" hidden="1" customHeight="1">
      <c r="A8609" s="198"/>
    </row>
    <row r="8610" spans="1:1" s="199" customFormat="1" ht="12" hidden="1" customHeight="1">
      <c r="A8610" s="198"/>
    </row>
    <row r="8611" spans="1:1" s="199" customFormat="1" ht="12" hidden="1" customHeight="1">
      <c r="A8611" s="198"/>
    </row>
    <row r="8612" spans="1:1" s="199" customFormat="1" ht="12" hidden="1" customHeight="1">
      <c r="A8612" s="198"/>
    </row>
    <row r="8613" spans="1:1" s="199" customFormat="1" ht="12" hidden="1" customHeight="1">
      <c r="A8613" s="198"/>
    </row>
    <row r="8614" spans="1:1" s="199" customFormat="1" ht="12" hidden="1" customHeight="1">
      <c r="A8614" s="198"/>
    </row>
    <row r="8615" spans="1:1" s="199" customFormat="1" ht="12" hidden="1" customHeight="1">
      <c r="A8615" s="198"/>
    </row>
    <row r="8616" spans="1:1" s="199" customFormat="1" ht="12" hidden="1" customHeight="1">
      <c r="A8616" s="198"/>
    </row>
    <row r="8617" spans="1:1" s="199" customFormat="1" ht="12" hidden="1" customHeight="1">
      <c r="A8617" s="198"/>
    </row>
    <row r="8618" spans="1:1" s="199" customFormat="1" ht="12" hidden="1" customHeight="1">
      <c r="A8618" s="198"/>
    </row>
    <row r="8619" spans="1:1" s="199" customFormat="1" ht="12" hidden="1" customHeight="1">
      <c r="A8619" s="198"/>
    </row>
    <row r="8620" spans="1:1" s="199" customFormat="1" ht="12" hidden="1" customHeight="1">
      <c r="A8620" s="198"/>
    </row>
    <row r="8621" spans="1:1" s="199" customFormat="1" ht="12" hidden="1" customHeight="1">
      <c r="A8621" s="198"/>
    </row>
    <row r="8622" spans="1:1" s="199" customFormat="1" ht="12" hidden="1" customHeight="1">
      <c r="A8622" s="198"/>
    </row>
    <row r="8623" spans="1:1" s="199" customFormat="1" ht="12" hidden="1" customHeight="1">
      <c r="A8623" s="198"/>
    </row>
    <row r="8624" spans="1:1" s="199" customFormat="1" ht="12" hidden="1" customHeight="1">
      <c r="A8624" s="198"/>
    </row>
    <row r="8625" spans="1:1" s="199" customFormat="1" ht="12" hidden="1" customHeight="1">
      <c r="A8625" s="198"/>
    </row>
    <row r="8626" spans="1:1" s="199" customFormat="1" ht="12" hidden="1" customHeight="1">
      <c r="A8626" s="198"/>
    </row>
    <row r="8627" spans="1:1" s="199" customFormat="1" ht="12" hidden="1" customHeight="1">
      <c r="A8627" s="198"/>
    </row>
    <row r="8628" spans="1:1" s="199" customFormat="1" ht="12" hidden="1" customHeight="1">
      <c r="A8628" s="198"/>
    </row>
    <row r="8629" spans="1:1" s="199" customFormat="1" ht="12" hidden="1" customHeight="1">
      <c r="A8629" s="198"/>
    </row>
    <row r="8630" spans="1:1" s="199" customFormat="1" ht="12" hidden="1" customHeight="1">
      <c r="A8630" s="198"/>
    </row>
    <row r="8631" spans="1:1" s="199" customFormat="1" ht="12" hidden="1" customHeight="1">
      <c r="A8631" s="198"/>
    </row>
    <row r="8632" spans="1:1" s="199" customFormat="1" ht="12" hidden="1" customHeight="1">
      <c r="A8632" s="198"/>
    </row>
    <row r="8633" spans="1:1" s="199" customFormat="1" ht="12" hidden="1" customHeight="1">
      <c r="A8633" s="198"/>
    </row>
    <row r="8634" spans="1:1" s="199" customFormat="1" ht="12" hidden="1" customHeight="1">
      <c r="A8634" s="198"/>
    </row>
    <row r="8635" spans="1:1" s="199" customFormat="1" ht="12" hidden="1" customHeight="1">
      <c r="A8635" s="198"/>
    </row>
    <row r="8636" spans="1:1" s="199" customFormat="1" ht="12" hidden="1" customHeight="1">
      <c r="A8636" s="198"/>
    </row>
    <row r="8637" spans="1:1" s="199" customFormat="1" ht="12" hidden="1" customHeight="1">
      <c r="A8637" s="198"/>
    </row>
    <row r="8638" spans="1:1" s="199" customFormat="1" ht="12" hidden="1" customHeight="1">
      <c r="A8638" s="198"/>
    </row>
    <row r="8639" spans="1:1" s="199" customFormat="1" ht="12" hidden="1" customHeight="1">
      <c r="A8639" s="198"/>
    </row>
    <row r="8640" spans="1:1" s="199" customFormat="1" ht="12" hidden="1" customHeight="1">
      <c r="A8640" s="198"/>
    </row>
    <row r="8641" spans="1:1" s="199" customFormat="1" ht="12" hidden="1" customHeight="1">
      <c r="A8641" s="198"/>
    </row>
    <row r="8642" spans="1:1" s="199" customFormat="1" ht="12" hidden="1" customHeight="1">
      <c r="A8642" s="198"/>
    </row>
    <row r="8643" spans="1:1" s="199" customFormat="1" ht="12" hidden="1" customHeight="1">
      <c r="A8643" s="198"/>
    </row>
    <row r="8644" spans="1:1" s="199" customFormat="1" ht="12" hidden="1" customHeight="1">
      <c r="A8644" s="198"/>
    </row>
    <row r="8645" spans="1:1" s="199" customFormat="1" ht="12" hidden="1" customHeight="1">
      <c r="A8645" s="198"/>
    </row>
    <row r="8646" spans="1:1" s="199" customFormat="1" ht="12" hidden="1" customHeight="1">
      <c r="A8646" s="198"/>
    </row>
    <row r="8647" spans="1:1" s="199" customFormat="1" ht="12" hidden="1" customHeight="1">
      <c r="A8647" s="198"/>
    </row>
    <row r="8648" spans="1:1" s="199" customFormat="1" ht="12" hidden="1" customHeight="1">
      <c r="A8648" s="198"/>
    </row>
    <row r="8649" spans="1:1" s="199" customFormat="1" ht="12" hidden="1" customHeight="1">
      <c r="A8649" s="198"/>
    </row>
    <row r="8650" spans="1:1" s="199" customFormat="1" ht="12" hidden="1" customHeight="1">
      <c r="A8650" s="198"/>
    </row>
    <row r="8651" spans="1:1" s="199" customFormat="1" ht="12" hidden="1" customHeight="1">
      <c r="A8651" s="198"/>
    </row>
    <row r="8652" spans="1:1" s="199" customFormat="1" ht="12" hidden="1" customHeight="1">
      <c r="A8652" s="198"/>
    </row>
    <row r="8653" spans="1:1" s="199" customFormat="1" ht="12" hidden="1" customHeight="1">
      <c r="A8653" s="198"/>
    </row>
    <row r="8654" spans="1:1" s="199" customFormat="1" ht="12" hidden="1" customHeight="1">
      <c r="A8654" s="198"/>
    </row>
    <row r="8655" spans="1:1" s="199" customFormat="1" ht="12" hidden="1" customHeight="1">
      <c r="A8655" s="198"/>
    </row>
    <row r="8656" spans="1:1" s="199" customFormat="1" ht="12" hidden="1" customHeight="1">
      <c r="A8656" s="198"/>
    </row>
    <row r="8657" spans="1:1" s="199" customFormat="1" ht="12" hidden="1" customHeight="1">
      <c r="A8657" s="198"/>
    </row>
    <row r="8658" spans="1:1" s="199" customFormat="1" ht="12" hidden="1" customHeight="1">
      <c r="A8658" s="198"/>
    </row>
    <row r="8659" spans="1:1" s="199" customFormat="1" ht="12" hidden="1" customHeight="1">
      <c r="A8659" s="198"/>
    </row>
    <row r="8660" spans="1:1" s="199" customFormat="1" ht="12" hidden="1" customHeight="1">
      <c r="A8660" s="198"/>
    </row>
    <row r="8661" spans="1:1" s="199" customFormat="1" ht="12" hidden="1" customHeight="1">
      <c r="A8661" s="198"/>
    </row>
    <row r="8662" spans="1:1" s="199" customFormat="1" ht="12" hidden="1" customHeight="1">
      <c r="A8662" s="198"/>
    </row>
    <row r="8663" spans="1:1" s="199" customFormat="1" ht="12" hidden="1" customHeight="1">
      <c r="A8663" s="198"/>
    </row>
    <row r="8664" spans="1:1" s="199" customFormat="1" ht="12" hidden="1" customHeight="1">
      <c r="A8664" s="198"/>
    </row>
    <row r="8665" spans="1:1" s="199" customFormat="1" ht="12" hidden="1" customHeight="1">
      <c r="A8665" s="198"/>
    </row>
    <row r="8666" spans="1:1" s="199" customFormat="1" ht="12" hidden="1" customHeight="1">
      <c r="A8666" s="198"/>
    </row>
    <row r="8667" spans="1:1" s="199" customFormat="1" ht="12" hidden="1" customHeight="1">
      <c r="A8667" s="198"/>
    </row>
    <row r="8668" spans="1:1" s="199" customFormat="1" ht="12" hidden="1" customHeight="1">
      <c r="A8668" s="198"/>
    </row>
    <row r="8669" spans="1:1" s="199" customFormat="1" ht="12" hidden="1" customHeight="1">
      <c r="A8669" s="198"/>
    </row>
    <row r="8670" spans="1:1" s="199" customFormat="1" ht="12" hidden="1" customHeight="1">
      <c r="A8670" s="198"/>
    </row>
    <row r="8671" spans="1:1" s="199" customFormat="1" ht="12" hidden="1" customHeight="1">
      <c r="A8671" s="198"/>
    </row>
    <row r="8672" spans="1:1" s="199" customFormat="1" ht="12" hidden="1" customHeight="1">
      <c r="A8672" s="198"/>
    </row>
    <row r="8673" spans="1:1" s="199" customFormat="1" ht="12" hidden="1" customHeight="1">
      <c r="A8673" s="198"/>
    </row>
    <row r="8674" spans="1:1" s="199" customFormat="1" ht="12" hidden="1" customHeight="1">
      <c r="A8674" s="198"/>
    </row>
    <row r="8675" spans="1:1" s="199" customFormat="1" ht="12" hidden="1" customHeight="1">
      <c r="A8675" s="198"/>
    </row>
    <row r="8676" spans="1:1" s="199" customFormat="1" ht="12" hidden="1" customHeight="1">
      <c r="A8676" s="198"/>
    </row>
    <row r="8677" spans="1:1" s="199" customFormat="1" ht="12" hidden="1" customHeight="1">
      <c r="A8677" s="198"/>
    </row>
    <row r="8678" spans="1:1" s="199" customFormat="1" ht="12" hidden="1" customHeight="1">
      <c r="A8678" s="198"/>
    </row>
    <row r="8679" spans="1:1" s="199" customFormat="1" ht="12" hidden="1" customHeight="1">
      <c r="A8679" s="198"/>
    </row>
    <row r="8680" spans="1:1" s="199" customFormat="1" ht="12" hidden="1" customHeight="1">
      <c r="A8680" s="198"/>
    </row>
    <row r="8681" spans="1:1" s="199" customFormat="1" ht="12" hidden="1" customHeight="1">
      <c r="A8681" s="198"/>
    </row>
    <row r="8682" spans="1:1" s="199" customFormat="1" ht="12" hidden="1" customHeight="1">
      <c r="A8682" s="198"/>
    </row>
    <row r="8683" spans="1:1" s="199" customFormat="1" ht="12" hidden="1" customHeight="1">
      <c r="A8683" s="198"/>
    </row>
    <row r="8684" spans="1:1" s="199" customFormat="1" ht="12" hidden="1" customHeight="1">
      <c r="A8684" s="198"/>
    </row>
    <row r="8685" spans="1:1" s="199" customFormat="1" ht="12" hidden="1" customHeight="1">
      <c r="A8685" s="198"/>
    </row>
    <row r="8686" spans="1:1" s="199" customFormat="1" ht="12" hidden="1" customHeight="1">
      <c r="A8686" s="198"/>
    </row>
    <row r="8687" spans="1:1" s="199" customFormat="1" ht="12" hidden="1" customHeight="1">
      <c r="A8687" s="198"/>
    </row>
    <row r="8688" spans="1:1" s="199" customFormat="1" ht="12" hidden="1" customHeight="1">
      <c r="A8688" s="198"/>
    </row>
    <row r="8689" spans="1:1" s="199" customFormat="1" ht="12" hidden="1" customHeight="1">
      <c r="A8689" s="198"/>
    </row>
    <row r="8690" spans="1:1" s="199" customFormat="1" ht="12" hidden="1" customHeight="1">
      <c r="A8690" s="198"/>
    </row>
    <row r="8691" spans="1:1" s="199" customFormat="1" ht="12" hidden="1" customHeight="1">
      <c r="A8691" s="198"/>
    </row>
    <row r="8692" spans="1:1" s="199" customFormat="1" ht="12" hidden="1" customHeight="1">
      <c r="A8692" s="198"/>
    </row>
    <row r="8693" spans="1:1" s="199" customFormat="1" ht="12" hidden="1" customHeight="1">
      <c r="A8693" s="198"/>
    </row>
    <row r="8694" spans="1:1" s="199" customFormat="1" ht="12" hidden="1" customHeight="1">
      <c r="A8694" s="198"/>
    </row>
    <row r="8695" spans="1:1" s="199" customFormat="1" ht="12" hidden="1" customHeight="1">
      <c r="A8695" s="198"/>
    </row>
    <row r="8696" spans="1:1" s="199" customFormat="1" ht="12" hidden="1" customHeight="1">
      <c r="A8696" s="198"/>
    </row>
    <row r="8697" spans="1:1" s="199" customFormat="1" ht="12" hidden="1" customHeight="1">
      <c r="A8697" s="198"/>
    </row>
    <row r="8698" spans="1:1" s="199" customFormat="1" ht="12" hidden="1" customHeight="1">
      <c r="A8698" s="198"/>
    </row>
    <row r="8699" spans="1:1" s="199" customFormat="1" ht="12" hidden="1" customHeight="1">
      <c r="A8699" s="198"/>
    </row>
    <row r="8700" spans="1:1" s="199" customFormat="1" ht="12" hidden="1" customHeight="1">
      <c r="A8700" s="198"/>
    </row>
    <row r="8701" spans="1:1" s="199" customFormat="1" ht="12" hidden="1" customHeight="1">
      <c r="A8701" s="198"/>
    </row>
    <row r="8702" spans="1:1" s="199" customFormat="1" ht="12" hidden="1" customHeight="1">
      <c r="A8702" s="198"/>
    </row>
    <row r="8703" spans="1:1" s="199" customFormat="1" ht="12" hidden="1" customHeight="1">
      <c r="A8703" s="198"/>
    </row>
    <row r="8704" spans="1:1" s="199" customFormat="1" ht="12" hidden="1" customHeight="1">
      <c r="A8704" s="198"/>
    </row>
    <row r="8705" spans="1:1" s="199" customFormat="1" ht="12" hidden="1" customHeight="1">
      <c r="A8705" s="198"/>
    </row>
    <row r="8706" spans="1:1" s="199" customFormat="1" ht="12" hidden="1" customHeight="1">
      <c r="A8706" s="198"/>
    </row>
    <row r="8707" spans="1:1" s="199" customFormat="1" ht="12" hidden="1" customHeight="1">
      <c r="A8707" s="198"/>
    </row>
    <row r="8708" spans="1:1" s="199" customFormat="1" ht="12" hidden="1" customHeight="1">
      <c r="A8708" s="198"/>
    </row>
    <row r="8709" spans="1:1" s="199" customFormat="1" ht="12" hidden="1" customHeight="1">
      <c r="A8709" s="198"/>
    </row>
    <row r="8710" spans="1:1" s="199" customFormat="1" ht="12" hidden="1" customHeight="1">
      <c r="A8710" s="198"/>
    </row>
    <row r="8711" spans="1:1" s="199" customFormat="1" ht="12" hidden="1" customHeight="1">
      <c r="A8711" s="198"/>
    </row>
    <row r="8712" spans="1:1" s="199" customFormat="1" ht="12" hidden="1" customHeight="1">
      <c r="A8712" s="198"/>
    </row>
    <row r="8713" spans="1:1" s="199" customFormat="1" ht="12" hidden="1" customHeight="1">
      <c r="A8713" s="198"/>
    </row>
    <row r="8714" spans="1:1" s="199" customFormat="1" ht="12" hidden="1" customHeight="1">
      <c r="A8714" s="198"/>
    </row>
    <row r="8715" spans="1:1" s="199" customFormat="1" ht="12" hidden="1" customHeight="1">
      <c r="A8715" s="198"/>
    </row>
    <row r="8716" spans="1:1" s="199" customFormat="1" ht="12" hidden="1" customHeight="1">
      <c r="A8716" s="198"/>
    </row>
    <row r="8717" spans="1:1" s="199" customFormat="1" ht="12" hidden="1" customHeight="1">
      <c r="A8717" s="198"/>
    </row>
    <row r="8718" spans="1:1" s="199" customFormat="1" ht="12" hidden="1" customHeight="1">
      <c r="A8718" s="198"/>
    </row>
    <row r="8719" spans="1:1" s="199" customFormat="1" ht="12" hidden="1" customHeight="1">
      <c r="A8719" s="198"/>
    </row>
    <row r="8720" spans="1:1" s="199" customFormat="1" ht="12" hidden="1" customHeight="1">
      <c r="A8720" s="198"/>
    </row>
    <row r="8721" spans="1:1" s="199" customFormat="1" ht="12" hidden="1" customHeight="1">
      <c r="A8721" s="198"/>
    </row>
    <row r="8722" spans="1:1" s="199" customFormat="1" ht="12" hidden="1" customHeight="1">
      <c r="A8722" s="198"/>
    </row>
    <row r="8723" spans="1:1" s="199" customFormat="1" ht="12" hidden="1" customHeight="1">
      <c r="A8723" s="198"/>
    </row>
    <row r="8724" spans="1:1" s="199" customFormat="1" ht="12" hidden="1" customHeight="1">
      <c r="A8724" s="198"/>
    </row>
    <row r="8725" spans="1:1" s="199" customFormat="1" ht="12" hidden="1" customHeight="1">
      <c r="A8725" s="198"/>
    </row>
    <row r="8726" spans="1:1" s="199" customFormat="1" ht="12" hidden="1" customHeight="1">
      <c r="A8726" s="198"/>
    </row>
    <row r="8727" spans="1:1" s="199" customFormat="1" ht="12" hidden="1" customHeight="1">
      <c r="A8727" s="198"/>
    </row>
    <row r="8728" spans="1:1" s="199" customFormat="1" ht="12" hidden="1" customHeight="1">
      <c r="A8728" s="198"/>
    </row>
    <row r="8729" spans="1:1" s="199" customFormat="1" ht="12" hidden="1" customHeight="1">
      <c r="A8729" s="198"/>
    </row>
    <row r="8730" spans="1:1" s="199" customFormat="1" ht="12" hidden="1" customHeight="1">
      <c r="A8730" s="198"/>
    </row>
    <row r="8731" spans="1:1" s="199" customFormat="1" ht="12" hidden="1" customHeight="1">
      <c r="A8731" s="198"/>
    </row>
    <row r="8732" spans="1:1" s="199" customFormat="1" ht="12" hidden="1" customHeight="1">
      <c r="A8732" s="198"/>
    </row>
    <row r="8733" spans="1:1" s="199" customFormat="1" ht="12" hidden="1" customHeight="1">
      <c r="A8733" s="198"/>
    </row>
    <row r="8734" spans="1:1" s="199" customFormat="1" ht="12" hidden="1" customHeight="1">
      <c r="A8734" s="198"/>
    </row>
    <row r="8735" spans="1:1" s="199" customFormat="1" ht="12" hidden="1" customHeight="1">
      <c r="A8735" s="198"/>
    </row>
    <row r="8736" spans="1:1" s="199" customFormat="1" ht="12" hidden="1" customHeight="1">
      <c r="A8736" s="198"/>
    </row>
    <row r="8737" spans="1:1" s="199" customFormat="1" ht="12" hidden="1" customHeight="1">
      <c r="A8737" s="198"/>
    </row>
    <row r="8738" spans="1:1" s="199" customFormat="1" ht="12" hidden="1" customHeight="1">
      <c r="A8738" s="198"/>
    </row>
    <row r="8739" spans="1:1" s="199" customFormat="1" ht="12" hidden="1" customHeight="1">
      <c r="A8739" s="198"/>
    </row>
    <row r="8740" spans="1:1" s="199" customFormat="1" ht="12" hidden="1" customHeight="1">
      <c r="A8740" s="198"/>
    </row>
    <row r="8741" spans="1:1" s="199" customFormat="1" ht="12" hidden="1" customHeight="1">
      <c r="A8741" s="198"/>
    </row>
    <row r="8742" spans="1:1" s="199" customFormat="1" ht="12" hidden="1" customHeight="1">
      <c r="A8742" s="198"/>
    </row>
    <row r="8743" spans="1:1" s="199" customFormat="1" ht="12" hidden="1" customHeight="1">
      <c r="A8743" s="198"/>
    </row>
    <row r="8744" spans="1:1" s="199" customFormat="1" ht="12" hidden="1" customHeight="1">
      <c r="A8744" s="198"/>
    </row>
    <row r="8745" spans="1:1" s="199" customFormat="1" ht="12" hidden="1" customHeight="1">
      <c r="A8745" s="198"/>
    </row>
    <row r="8746" spans="1:1" s="199" customFormat="1" ht="12" hidden="1" customHeight="1">
      <c r="A8746" s="198"/>
    </row>
    <row r="8747" spans="1:1" s="199" customFormat="1" ht="12" hidden="1" customHeight="1">
      <c r="A8747" s="198"/>
    </row>
    <row r="8748" spans="1:1" s="199" customFormat="1" ht="12" hidden="1" customHeight="1">
      <c r="A8748" s="198"/>
    </row>
    <row r="8749" spans="1:1" s="199" customFormat="1" ht="12" hidden="1" customHeight="1">
      <c r="A8749" s="198"/>
    </row>
    <row r="8750" spans="1:1" s="199" customFormat="1" ht="12" hidden="1" customHeight="1">
      <c r="A8750" s="198"/>
    </row>
    <row r="8751" spans="1:1" s="199" customFormat="1" ht="12" hidden="1" customHeight="1">
      <c r="A8751" s="198"/>
    </row>
    <row r="8752" spans="1:1" s="199" customFormat="1" ht="12" hidden="1" customHeight="1">
      <c r="A8752" s="198"/>
    </row>
    <row r="8753" spans="1:1" s="199" customFormat="1" ht="12" hidden="1" customHeight="1">
      <c r="A8753" s="198"/>
    </row>
    <row r="8754" spans="1:1" s="199" customFormat="1" ht="12" hidden="1" customHeight="1">
      <c r="A8754" s="198"/>
    </row>
    <row r="8755" spans="1:1" s="199" customFormat="1" ht="12" hidden="1" customHeight="1">
      <c r="A8755" s="198"/>
    </row>
    <row r="8756" spans="1:1" s="199" customFormat="1" ht="12" hidden="1" customHeight="1">
      <c r="A8756" s="198"/>
    </row>
    <row r="8757" spans="1:1" s="199" customFormat="1" ht="12" hidden="1" customHeight="1">
      <c r="A8757" s="198"/>
    </row>
    <row r="8758" spans="1:1" s="199" customFormat="1" ht="12" hidden="1" customHeight="1">
      <c r="A8758" s="198"/>
    </row>
    <row r="8759" spans="1:1" s="199" customFormat="1" ht="12" hidden="1" customHeight="1">
      <c r="A8759" s="198"/>
    </row>
    <row r="8760" spans="1:1" s="199" customFormat="1" ht="12" hidden="1" customHeight="1">
      <c r="A8760" s="198"/>
    </row>
    <row r="8761" spans="1:1" s="199" customFormat="1" ht="12" hidden="1" customHeight="1">
      <c r="A8761" s="198"/>
    </row>
    <row r="8762" spans="1:1" s="199" customFormat="1" ht="12" hidden="1" customHeight="1">
      <c r="A8762" s="198"/>
    </row>
    <row r="8763" spans="1:1" s="199" customFormat="1" ht="12" hidden="1" customHeight="1">
      <c r="A8763" s="198"/>
    </row>
    <row r="8764" spans="1:1" s="199" customFormat="1" ht="12" hidden="1" customHeight="1">
      <c r="A8764" s="198"/>
    </row>
    <row r="8765" spans="1:1" s="199" customFormat="1" ht="12" hidden="1" customHeight="1">
      <c r="A8765" s="198"/>
    </row>
    <row r="8766" spans="1:1" s="199" customFormat="1" ht="12" hidden="1" customHeight="1">
      <c r="A8766" s="198"/>
    </row>
    <row r="8767" spans="1:1" s="199" customFormat="1" ht="12" hidden="1" customHeight="1">
      <c r="A8767" s="198"/>
    </row>
    <row r="8768" spans="1:1" s="199" customFormat="1" ht="12" hidden="1" customHeight="1">
      <c r="A8768" s="198"/>
    </row>
    <row r="8769" spans="1:1" s="199" customFormat="1" ht="12" hidden="1" customHeight="1">
      <c r="A8769" s="198"/>
    </row>
    <row r="8770" spans="1:1" s="199" customFormat="1" ht="12" hidden="1" customHeight="1">
      <c r="A8770" s="198"/>
    </row>
    <row r="8771" spans="1:1" s="199" customFormat="1" ht="12" hidden="1" customHeight="1">
      <c r="A8771" s="198"/>
    </row>
    <row r="8772" spans="1:1" s="199" customFormat="1" ht="12" hidden="1" customHeight="1">
      <c r="A8772" s="198"/>
    </row>
    <row r="8773" spans="1:1" s="199" customFormat="1" ht="12" hidden="1" customHeight="1">
      <c r="A8773" s="198"/>
    </row>
    <row r="8774" spans="1:1" s="199" customFormat="1" ht="12" hidden="1" customHeight="1">
      <c r="A8774" s="198"/>
    </row>
    <row r="8775" spans="1:1" s="199" customFormat="1" ht="12" hidden="1" customHeight="1">
      <c r="A8775" s="198"/>
    </row>
    <row r="8776" spans="1:1" s="199" customFormat="1" ht="12" hidden="1" customHeight="1">
      <c r="A8776" s="198"/>
    </row>
    <row r="8777" spans="1:1" s="199" customFormat="1" ht="12" hidden="1" customHeight="1">
      <c r="A8777" s="198"/>
    </row>
    <row r="8778" spans="1:1" s="199" customFormat="1" ht="12" hidden="1" customHeight="1">
      <c r="A8778" s="198"/>
    </row>
    <row r="8779" spans="1:1" s="199" customFormat="1" ht="12" hidden="1" customHeight="1">
      <c r="A8779" s="198"/>
    </row>
    <row r="8780" spans="1:1" s="199" customFormat="1" ht="12" hidden="1" customHeight="1">
      <c r="A8780" s="198"/>
    </row>
    <row r="8781" spans="1:1" s="199" customFormat="1" ht="12" hidden="1" customHeight="1">
      <c r="A8781" s="198"/>
    </row>
    <row r="8782" spans="1:1" s="199" customFormat="1" ht="12" hidden="1" customHeight="1">
      <c r="A8782" s="198"/>
    </row>
    <row r="8783" spans="1:1" s="199" customFormat="1" ht="12" hidden="1" customHeight="1">
      <c r="A8783" s="198"/>
    </row>
    <row r="8784" spans="1:1" s="199" customFormat="1" ht="12" hidden="1" customHeight="1">
      <c r="A8784" s="198"/>
    </row>
    <row r="8785" spans="1:1" s="199" customFormat="1" ht="12" hidden="1" customHeight="1">
      <c r="A8785" s="198"/>
    </row>
    <row r="8786" spans="1:1" s="199" customFormat="1" ht="12" hidden="1" customHeight="1">
      <c r="A8786" s="198"/>
    </row>
    <row r="8787" spans="1:1" s="199" customFormat="1" ht="12" hidden="1" customHeight="1">
      <c r="A8787" s="198"/>
    </row>
    <row r="8788" spans="1:1" s="199" customFormat="1" ht="12" hidden="1" customHeight="1">
      <c r="A8788" s="198"/>
    </row>
    <row r="8789" spans="1:1" s="199" customFormat="1" ht="12" hidden="1" customHeight="1">
      <c r="A8789" s="198"/>
    </row>
    <row r="8790" spans="1:1" s="199" customFormat="1" ht="12" hidden="1" customHeight="1">
      <c r="A8790" s="198"/>
    </row>
    <row r="8791" spans="1:1" s="199" customFormat="1" ht="12" hidden="1" customHeight="1">
      <c r="A8791" s="198"/>
    </row>
    <row r="8792" spans="1:1" s="199" customFormat="1" ht="12" hidden="1" customHeight="1">
      <c r="A8792" s="198"/>
    </row>
    <row r="8793" spans="1:1" s="199" customFormat="1" ht="12" hidden="1" customHeight="1">
      <c r="A8793" s="198"/>
    </row>
    <row r="8794" spans="1:1" s="199" customFormat="1" ht="12" hidden="1" customHeight="1">
      <c r="A8794" s="198"/>
    </row>
    <row r="8795" spans="1:1" s="199" customFormat="1" ht="12" hidden="1" customHeight="1">
      <c r="A8795" s="198"/>
    </row>
    <row r="8796" spans="1:1" s="199" customFormat="1" ht="12" hidden="1" customHeight="1">
      <c r="A8796" s="198"/>
    </row>
    <row r="8797" spans="1:1" s="199" customFormat="1" ht="12" hidden="1" customHeight="1">
      <c r="A8797" s="198"/>
    </row>
    <row r="8798" spans="1:1" s="199" customFormat="1" ht="12" hidden="1" customHeight="1">
      <c r="A8798" s="198"/>
    </row>
    <row r="8799" spans="1:1" s="199" customFormat="1" ht="12" hidden="1" customHeight="1">
      <c r="A8799" s="198"/>
    </row>
    <row r="8800" spans="1:1" s="199" customFormat="1" ht="12" hidden="1" customHeight="1">
      <c r="A8800" s="198"/>
    </row>
    <row r="8801" spans="1:1" s="199" customFormat="1" ht="12" hidden="1" customHeight="1">
      <c r="A8801" s="198"/>
    </row>
    <row r="8802" spans="1:1" s="199" customFormat="1" ht="12" hidden="1" customHeight="1">
      <c r="A8802" s="198"/>
    </row>
    <row r="8803" spans="1:1" s="199" customFormat="1" ht="12" hidden="1" customHeight="1">
      <c r="A8803" s="198"/>
    </row>
    <row r="8804" spans="1:1" s="199" customFormat="1" ht="12" hidden="1" customHeight="1">
      <c r="A8804" s="198"/>
    </row>
    <row r="8805" spans="1:1" s="199" customFormat="1" ht="12" hidden="1" customHeight="1">
      <c r="A8805" s="198"/>
    </row>
    <row r="8806" spans="1:1" s="199" customFormat="1" ht="12" hidden="1" customHeight="1">
      <c r="A8806" s="198"/>
    </row>
    <row r="8807" spans="1:1" s="199" customFormat="1" ht="12" hidden="1" customHeight="1">
      <c r="A8807" s="198"/>
    </row>
    <row r="8808" spans="1:1" s="199" customFormat="1" ht="12" hidden="1" customHeight="1">
      <c r="A8808" s="198"/>
    </row>
    <row r="8809" spans="1:1" s="199" customFormat="1" ht="12" hidden="1" customHeight="1">
      <c r="A8809" s="198"/>
    </row>
    <row r="8810" spans="1:1" s="199" customFormat="1" ht="12" hidden="1" customHeight="1">
      <c r="A8810" s="198"/>
    </row>
    <row r="8811" spans="1:1" s="199" customFormat="1" ht="12" hidden="1" customHeight="1">
      <c r="A8811" s="198"/>
    </row>
    <row r="8812" spans="1:1" s="199" customFormat="1" ht="12" hidden="1" customHeight="1">
      <c r="A8812" s="198"/>
    </row>
    <row r="8813" spans="1:1" s="199" customFormat="1" ht="12" hidden="1" customHeight="1">
      <c r="A8813" s="198"/>
    </row>
    <row r="8814" spans="1:1" s="199" customFormat="1" ht="12" hidden="1" customHeight="1">
      <c r="A8814" s="198"/>
    </row>
    <row r="8815" spans="1:1" s="199" customFormat="1" ht="12" hidden="1" customHeight="1">
      <c r="A8815" s="198"/>
    </row>
    <row r="8816" spans="1:1" s="199" customFormat="1" ht="12" hidden="1" customHeight="1">
      <c r="A8816" s="198"/>
    </row>
    <row r="8817" spans="1:1" s="199" customFormat="1" ht="12" hidden="1" customHeight="1">
      <c r="A8817" s="198"/>
    </row>
    <row r="8818" spans="1:1" s="199" customFormat="1" ht="12" hidden="1" customHeight="1">
      <c r="A8818" s="198"/>
    </row>
    <row r="8819" spans="1:1" s="199" customFormat="1" ht="12" hidden="1" customHeight="1">
      <c r="A8819" s="198"/>
    </row>
    <row r="8820" spans="1:1" s="199" customFormat="1" ht="12" hidden="1" customHeight="1">
      <c r="A8820" s="198"/>
    </row>
    <row r="8821" spans="1:1" s="199" customFormat="1" ht="12" hidden="1" customHeight="1">
      <c r="A8821" s="198"/>
    </row>
    <row r="8822" spans="1:1" s="199" customFormat="1" ht="12" hidden="1" customHeight="1">
      <c r="A8822" s="198"/>
    </row>
    <row r="8823" spans="1:1" s="199" customFormat="1" ht="12" hidden="1" customHeight="1">
      <c r="A8823" s="198"/>
    </row>
    <row r="8824" spans="1:1" s="199" customFormat="1" ht="12" hidden="1" customHeight="1">
      <c r="A8824" s="198"/>
    </row>
    <row r="8825" spans="1:1" s="199" customFormat="1" ht="12" hidden="1" customHeight="1">
      <c r="A8825" s="198"/>
    </row>
    <row r="8826" spans="1:1" s="199" customFormat="1" ht="12" hidden="1" customHeight="1">
      <c r="A8826" s="198"/>
    </row>
    <row r="8827" spans="1:1" s="199" customFormat="1" ht="12" hidden="1" customHeight="1">
      <c r="A8827" s="198"/>
    </row>
    <row r="8828" spans="1:1" s="199" customFormat="1" ht="12" hidden="1" customHeight="1">
      <c r="A8828" s="198"/>
    </row>
    <row r="8829" spans="1:1" s="199" customFormat="1" ht="12" hidden="1" customHeight="1">
      <c r="A8829" s="198"/>
    </row>
    <row r="8830" spans="1:1" s="199" customFormat="1" ht="12" hidden="1" customHeight="1">
      <c r="A8830" s="198"/>
    </row>
    <row r="8831" spans="1:1" s="199" customFormat="1" ht="12" hidden="1" customHeight="1">
      <c r="A8831" s="198"/>
    </row>
    <row r="8832" spans="1:1" s="199" customFormat="1" ht="12" hidden="1" customHeight="1">
      <c r="A8832" s="198"/>
    </row>
    <row r="8833" spans="1:1" s="199" customFormat="1" ht="12" hidden="1" customHeight="1">
      <c r="A8833" s="198"/>
    </row>
    <row r="8834" spans="1:1" s="199" customFormat="1" ht="12" hidden="1" customHeight="1">
      <c r="A8834" s="198"/>
    </row>
    <row r="8835" spans="1:1" s="199" customFormat="1" ht="12" hidden="1" customHeight="1">
      <c r="A8835" s="198"/>
    </row>
    <row r="8836" spans="1:1" s="199" customFormat="1" ht="12" hidden="1" customHeight="1">
      <c r="A8836" s="198"/>
    </row>
    <row r="8837" spans="1:1" s="199" customFormat="1" ht="12" hidden="1" customHeight="1">
      <c r="A8837" s="198"/>
    </row>
    <row r="8838" spans="1:1" s="199" customFormat="1" ht="12" hidden="1" customHeight="1">
      <c r="A8838" s="198"/>
    </row>
    <row r="8839" spans="1:1" s="199" customFormat="1" ht="12" hidden="1" customHeight="1">
      <c r="A8839" s="198"/>
    </row>
    <row r="8840" spans="1:1" s="199" customFormat="1" ht="12" hidden="1" customHeight="1">
      <c r="A8840" s="198"/>
    </row>
    <row r="8841" spans="1:1" s="199" customFormat="1" ht="12" hidden="1" customHeight="1">
      <c r="A8841" s="198"/>
    </row>
    <row r="8842" spans="1:1" s="199" customFormat="1" ht="12" hidden="1" customHeight="1">
      <c r="A8842" s="198"/>
    </row>
    <row r="8843" spans="1:1" s="199" customFormat="1" ht="12" hidden="1" customHeight="1">
      <c r="A8843" s="198"/>
    </row>
    <row r="8844" spans="1:1" s="199" customFormat="1" ht="12" hidden="1" customHeight="1">
      <c r="A8844" s="198"/>
    </row>
    <row r="8845" spans="1:1" s="199" customFormat="1" ht="12" hidden="1" customHeight="1">
      <c r="A8845" s="198"/>
    </row>
    <row r="8846" spans="1:1" s="199" customFormat="1" ht="12" hidden="1" customHeight="1">
      <c r="A8846" s="198"/>
    </row>
    <row r="8847" spans="1:1" s="199" customFormat="1" ht="12" hidden="1" customHeight="1">
      <c r="A8847" s="198"/>
    </row>
    <row r="8848" spans="1:1" s="199" customFormat="1" ht="12" hidden="1" customHeight="1">
      <c r="A8848" s="198"/>
    </row>
    <row r="8849" spans="1:1" s="199" customFormat="1" ht="12" hidden="1" customHeight="1">
      <c r="A8849" s="198"/>
    </row>
    <row r="8850" spans="1:1" s="199" customFormat="1" ht="12" hidden="1" customHeight="1">
      <c r="A8850" s="198"/>
    </row>
    <row r="8851" spans="1:1" s="199" customFormat="1" ht="12" hidden="1" customHeight="1">
      <c r="A8851" s="198"/>
    </row>
    <row r="8852" spans="1:1" s="199" customFormat="1" ht="12" hidden="1" customHeight="1">
      <c r="A8852" s="198"/>
    </row>
    <row r="8853" spans="1:1" s="199" customFormat="1" ht="12" hidden="1" customHeight="1">
      <c r="A8853" s="198"/>
    </row>
    <row r="8854" spans="1:1" s="199" customFormat="1" ht="12" hidden="1" customHeight="1">
      <c r="A8854" s="198"/>
    </row>
    <row r="8855" spans="1:1" s="199" customFormat="1" ht="12" hidden="1" customHeight="1">
      <c r="A8855" s="198"/>
    </row>
    <row r="8856" spans="1:1" s="199" customFormat="1" ht="12" hidden="1" customHeight="1">
      <c r="A8856" s="198"/>
    </row>
    <row r="8857" spans="1:1" s="199" customFormat="1" ht="12" hidden="1" customHeight="1">
      <c r="A8857" s="198"/>
    </row>
    <row r="8858" spans="1:1" s="199" customFormat="1" ht="12" hidden="1" customHeight="1">
      <c r="A8858" s="198"/>
    </row>
    <row r="8859" spans="1:1" s="199" customFormat="1" ht="12" hidden="1" customHeight="1">
      <c r="A8859" s="198"/>
    </row>
    <row r="8860" spans="1:1" s="199" customFormat="1" ht="12" hidden="1" customHeight="1">
      <c r="A8860" s="198"/>
    </row>
    <row r="8861" spans="1:1" s="199" customFormat="1" ht="12" hidden="1" customHeight="1">
      <c r="A8861" s="198"/>
    </row>
    <row r="8862" spans="1:1" s="199" customFormat="1" ht="12" hidden="1" customHeight="1">
      <c r="A8862" s="198"/>
    </row>
    <row r="8863" spans="1:1" s="199" customFormat="1" ht="12" hidden="1" customHeight="1">
      <c r="A8863" s="198"/>
    </row>
    <row r="8864" spans="1:1" s="199" customFormat="1" ht="12" hidden="1" customHeight="1">
      <c r="A8864" s="198"/>
    </row>
    <row r="8865" spans="1:1" s="199" customFormat="1" ht="12" hidden="1" customHeight="1">
      <c r="A8865" s="198"/>
    </row>
    <row r="8866" spans="1:1" s="199" customFormat="1" ht="12" hidden="1" customHeight="1">
      <c r="A8866" s="198"/>
    </row>
    <row r="8867" spans="1:1" s="199" customFormat="1" ht="12" hidden="1" customHeight="1">
      <c r="A8867" s="198"/>
    </row>
    <row r="8868" spans="1:1" s="199" customFormat="1" ht="12" hidden="1" customHeight="1">
      <c r="A8868" s="198"/>
    </row>
    <row r="8869" spans="1:1" s="199" customFormat="1" ht="12" hidden="1" customHeight="1">
      <c r="A8869" s="198"/>
    </row>
    <row r="8870" spans="1:1" s="199" customFormat="1" ht="12" hidden="1" customHeight="1">
      <c r="A8870" s="198"/>
    </row>
    <row r="8871" spans="1:1" s="199" customFormat="1" ht="12" hidden="1" customHeight="1">
      <c r="A8871" s="198"/>
    </row>
    <row r="8872" spans="1:1" s="199" customFormat="1" ht="12" hidden="1" customHeight="1">
      <c r="A8872" s="198"/>
    </row>
    <row r="8873" spans="1:1" s="199" customFormat="1" ht="12" hidden="1" customHeight="1">
      <c r="A8873" s="198"/>
    </row>
    <row r="8874" spans="1:1" s="199" customFormat="1" ht="12" hidden="1" customHeight="1">
      <c r="A8874" s="198"/>
    </row>
    <row r="8875" spans="1:1" s="199" customFormat="1" ht="12" hidden="1" customHeight="1">
      <c r="A8875" s="198"/>
    </row>
    <row r="8876" spans="1:1" s="199" customFormat="1" ht="12" hidden="1" customHeight="1">
      <c r="A8876" s="198"/>
    </row>
    <row r="8877" spans="1:1" s="199" customFormat="1" ht="12" hidden="1" customHeight="1">
      <c r="A8877" s="198"/>
    </row>
    <row r="8878" spans="1:1" s="199" customFormat="1" ht="12" hidden="1" customHeight="1">
      <c r="A8878" s="198"/>
    </row>
    <row r="8879" spans="1:1" s="199" customFormat="1" ht="12" hidden="1" customHeight="1">
      <c r="A8879" s="198"/>
    </row>
    <row r="8880" spans="1:1" s="199" customFormat="1" ht="12" hidden="1" customHeight="1">
      <c r="A8880" s="198"/>
    </row>
    <row r="8881" spans="1:1" s="199" customFormat="1" ht="12" hidden="1" customHeight="1">
      <c r="A8881" s="198"/>
    </row>
    <row r="8882" spans="1:1" s="199" customFormat="1" ht="12" hidden="1" customHeight="1">
      <c r="A8882" s="198"/>
    </row>
    <row r="8883" spans="1:1" s="199" customFormat="1" ht="12" hidden="1" customHeight="1">
      <c r="A8883" s="198"/>
    </row>
    <row r="8884" spans="1:1" s="199" customFormat="1" ht="12" hidden="1" customHeight="1">
      <c r="A8884" s="198"/>
    </row>
    <row r="8885" spans="1:1" s="199" customFormat="1" ht="12" hidden="1" customHeight="1">
      <c r="A8885" s="198"/>
    </row>
    <row r="8886" spans="1:1" s="199" customFormat="1" ht="12" hidden="1" customHeight="1">
      <c r="A8886" s="198"/>
    </row>
    <row r="8887" spans="1:1" s="199" customFormat="1" ht="12" hidden="1" customHeight="1">
      <c r="A8887" s="198"/>
    </row>
    <row r="8888" spans="1:1" s="199" customFormat="1" ht="12" hidden="1" customHeight="1">
      <c r="A8888" s="198"/>
    </row>
    <row r="8889" spans="1:1" s="199" customFormat="1" ht="12" hidden="1" customHeight="1">
      <c r="A8889" s="198"/>
    </row>
    <row r="8890" spans="1:1" s="199" customFormat="1" ht="12" hidden="1" customHeight="1">
      <c r="A8890" s="198"/>
    </row>
    <row r="8891" spans="1:1" s="199" customFormat="1" ht="12" hidden="1" customHeight="1">
      <c r="A8891" s="198"/>
    </row>
    <row r="8892" spans="1:1" s="199" customFormat="1" ht="12" hidden="1" customHeight="1">
      <c r="A8892" s="198"/>
    </row>
    <row r="8893" spans="1:1" s="199" customFormat="1" ht="12" hidden="1" customHeight="1">
      <c r="A8893" s="198"/>
    </row>
    <row r="8894" spans="1:1" s="199" customFormat="1" ht="12" hidden="1" customHeight="1">
      <c r="A8894" s="198"/>
    </row>
    <row r="8895" spans="1:1" s="199" customFormat="1" ht="12" hidden="1" customHeight="1">
      <c r="A8895" s="198"/>
    </row>
    <row r="8896" spans="1:1" s="199" customFormat="1" ht="12" hidden="1" customHeight="1">
      <c r="A8896" s="198"/>
    </row>
    <row r="8897" spans="1:1" s="199" customFormat="1" ht="12" hidden="1" customHeight="1">
      <c r="A8897" s="198"/>
    </row>
    <row r="8898" spans="1:1" s="199" customFormat="1" ht="12" hidden="1" customHeight="1">
      <c r="A8898" s="198"/>
    </row>
    <row r="8899" spans="1:1" s="199" customFormat="1" ht="12" hidden="1" customHeight="1">
      <c r="A8899" s="198"/>
    </row>
    <row r="8900" spans="1:1" s="199" customFormat="1" ht="12" hidden="1" customHeight="1">
      <c r="A8900" s="198"/>
    </row>
    <row r="8901" spans="1:1" s="199" customFormat="1" ht="12" hidden="1" customHeight="1">
      <c r="A8901" s="198"/>
    </row>
    <row r="8902" spans="1:1" s="199" customFormat="1" ht="12" hidden="1" customHeight="1">
      <c r="A8902" s="198"/>
    </row>
    <row r="8903" spans="1:1" s="199" customFormat="1" ht="12" hidden="1" customHeight="1">
      <c r="A8903" s="198"/>
    </row>
    <row r="8904" spans="1:1" s="199" customFormat="1" ht="12" hidden="1" customHeight="1">
      <c r="A8904" s="198"/>
    </row>
    <row r="8905" spans="1:1" s="199" customFormat="1" ht="12" hidden="1" customHeight="1">
      <c r="A8905" s="198"/>
    </row>
    <row r="8906" spans="1:1" s="199" customFormat="1" ht="12" hidden="1" customHeight="1">
      <c r="A8906" s="198"/>
    </row>
    <row r="8907" spans="1:1" s="199" customFormat="1" ht="12" hidden="1" customHeight="1">
      <c r="A8907" s="198"/>
    </row>
    <row r="8908" spans="1:1" s="199" customFormat="1" ht="12" hidden="1" customHeight="1">
      <c r="A8908" s="198"/>
    </row>
    <row r="8909" spans="1:1" s="199" customFormat="1" ht="12" hidden="1" customHeight="1">
      <c r="A8909" s="198"/>
    </row>
    <row r="8910" spans="1:1" s="199" customFormat="1" ht="12" hidden="1" customHeight="1">
      <c r="A8910" s="198"/>
    </row>
    <row r="8911" spans="1:1" s="199" customFormat="1" ht="12" hidden="1" customHeight="1">
      <c r="A8911" s="198"/>
    </row>
    <row r="8912" spans="1:1" s="199" customFormat="1" ht="12" hidden="1" customHeight="1">
      <c r="A8912" s="198"/>
    </row>
    <row r="8913" spans="1:1" s="199" customFormat="1" ht="12" hidden="1" customHeight="1">
      <c r="A8913" s="198"/>
    </row>
    <row r="8914" spans="1:1" s="199" customFormat="1" ht="12" hidden="1" customHeight="1">
      <c r="A8914" s="198"/>
    </row>
    <row r="8915" spans="1:1" s="199" customFormat="1" ht="12" hidden="1" customHeight="1">
      <c r="A8915" s="198"/>
    </row>
    <row r="8916" spans="1:1" s="199" customFormat="1" ht="12" hidden="1" customHeight="1">
      <c r="A8916" s="198"/>
    </row>
    <row r="8917" spans="1:1" s="199" customFormat="1" ht="12" hidden="1" customHeight="1">
      <c r="A8917" s="198"/>
    </row>
    <row r="8918" spans="1:1" s="199" customFormat="1" ht="12" hidden="1" customHeight="1">
      <c r="A8918" s="198"/>
    </row>
    <row r="8919" spans="1:1" s="199" customFormat="1" ht="12" hidden="1" customHeight="1">
      <c r="A8919" s="198"/>
    </row>
    <row r="8920" spans="1:1" s="199" customFormat="1" ht="12" hidden="1" customHeight="1">
      <c r="A8920" s="198"/>
    </row>
    <row r="8921" spans="1:1" s="199" customFormat="1" ht="12" hidden="1" customHeight="1">
      <c r="A8921" s="198"/>
    </row>
    <row r="8922" spans="1:1" s="199" customFormat="1" ht="12" hidden="1" customHeight="1">
      <c r="A8922" s="198"/>
    </row>
    <row r="8923" spans="1:1" s="199" customFormat="1" ht="12" hidden="1" customHeight="1">
      <c r="A8923" s="198"/>
    </row>
    <row r="8924" spans="1:1" s="199" customFormat="1" ht="12" hidden="1" customHeight="1">
      <c r="A8924" s="198"/>
    </row>
    <row r="8925" spans="1:1" s="199" customFormat="1" ht="12" hidden="1" customHeight="1">
      <c r="A8925" s="198"/>
    </row>
    <row r="8926" spans="1:1" s="199" customFormat="1" ht="12" hidden="1" customHeight="1">
      <c r="A8926" s="198"/>
    </row>
    <row r="8927" spans="1:1" s="199" customFormat="1" ht="12" hidden="1" customHeight="1">
      <c r="A8927" s="198"/>
    </row>
    <row r="8928" spans="1:1" s="199" customFormat="1" ht="12" hidden="1" customHeight="1">
      <c r="A8928" s="198"/>
    </row>
    <row r="8929" spans="1:1" s="199" customFormat="1" ht="12" hidden="1" customHeight="1">
      <c r="A8929" s="198"/>
    </row>
    <row r="8930" spans="1:1" s="199" customFormat="1" ht="12" hidden="1" customHeight="1">
      <c r="A8930" s="198"/>
    </row>
    <row r="8931" spans="1:1" s="199" customFormat="1" ht="12" hidden="1" customHeight="1">
      <c r="A8931" s="198"/>
    </row>
    <row r="8932" spans="1:1" s="199" customFormat="1" ht="12" hidden="1" customHeight="1">
      <c r="A8932" s="198"/>
    </row>
    <row r="8933" spans="1:1" s="199" customFormat="1" ht="12" hidden="1" customHeight="1">
      <c r="A8933" s="198"/>
    </row>
    <row r="8934" spans="1:1" s="199" customFormat="1" ht="12" hidden="1" customHeight="1">
      <c r="A8934" s="198"/>
    </row>
    <row r="8935" spans="1:1" s="199" customFormat="1" ht="12" hidden="1" customHeight="1">
      <c r="A8935" s="198"/>
    </row>
    <row r="8936" spans="1:1" s="199" customFormat="1" ht="12" hidden="1" customHeight="1">
      <c r="A8936" s="198"/>
    </row>
    <row r="8937" spans="1:1" s="199" customFormat="1" ht="12" hidden="1" customHeight="1">
      <c r="A8937" s="198"/>
    </row>
    <row r="8938" spans="1:1" s="199" customFormat="1" ht="12" hidden="1" customHeight="1">
      <c r="A8938" s="198"/>
    </row>
    <row r="8939" spans="1:1" s="199" customFormat="1" ht="12" hidden="1" customHeight="1">
      <c r="A8939" s="198"/>
    </row>
    <row r="8940" spans="1:1" s="199" customFormat="1" ht="12" hidden="1" customHeight="1">
      <c r="A8940" s="198"/>
    </row>
    <row r="8941" spans="1:1" s="199" customFormat="1" ht="12" hidden="1" customHeight="1">
      <c r="A8941" s="198"/>
    </row>
    <row r="8942" spans="1:1" s="199" customFormat="1" ht="12" hidden="1" customHeight="1">
      <c r="A8942" s="198"/>
    </row>
    <row r="8943" spans="1:1" s="199" customFormat="1" ht="12" hidden="1" customHeight="1">
      <c r="A8943" s="198"/>
    </row>
    <row r="8944" spans="1:1" s="199" customFormat="1" ht="12" hidden="1" customHeight="1">
      <c r="A8944" s="198"/>
    </row>
    <row r="8945" spans="1:1" s="199" customFormat="1" ht="12" hidden="1" customHeight="1">
      <c r="A8945" s="198"/>
    </row>
    <row r="8946" spans="1:1" s="199" customFormat="1" ht="12" hidden="1" customHeight="1">
      <c r="A8946" s="198"/>
    </row>
    <row r="8947" spans="1:1" s="199" customFormat="1" ht="12" hidden="1" customHeight="1">
      <c r="A8947" s="198"/>
    </row>
    <row r="8948" spans="1:1" s="199" customFormat="1" ht="12" hidden="1" customHeight="1">
      <c r="A8948" s="198"/>
    </row>
    <row r="8949" spans="1:1" s="199" customFormat="1" ht="12" hidden="1" customHeight="1">
      <c r="A8949" s="198"/>
    </row>
    <row r="8950" spans="1:1" s="199" customFormat="1" ht="12" hidden="1" customHeight="1">
      <c r="A8950" s="198"/>
    </row>
    <row r="8951" spans="1:1" s="199" customFormat="1" ht="12" hidden="1" customHeight="1">
      <c r="A8951" s="198"/>
    </row>
    <row r="8952" spans="1:1" s="199" customFormat="1" ht="12" hidden="1" customHeight="1">
      <c r="A8952" s="198"/>
    </row>
    <row r="8953" spans="1:1" s="199" customFormat="1" ht="12" hidden="1" customHeight="1">
      <c r="A8953" s="198"/>
    </row>
    <row r="8954" spans="1:1" s="199" customFormat="1" ht="12" hidden="1" customHeight="1">
      <c r="A8954" s="198"/>
    </row>
    <row r="8955" spans="1:1" s="199" customFormat="1" ht="12" hidden="1" customHeight="1">
      <c r="A8955" s="198"/>
    </row>
    <row r="8956" spans="1:1" s="199" customFormat="1" ht="12" hidden="1" customHeight="1">
      <c r="A8956" s="198"/>
    </row>
    <row r="8957" spans="1:1" s="199" customFormat="1" ht="12" hidden="1" customHeight="1">
      <c r="A8957" s="198"/>
    </row>
    <row r="8958" spans="1:1" s="199" customFormat="1" ht="12" hidden="1" customHeight="1">
      <c r="A8958" s="198"/>
    </row>
    <row r="8959" spans="1:1" s="199" customFormat="1" ht="12" hidden="1" customHeight="1">
      <c r="A8959" s="198"/>
    </row>
    <row r="8960" spans="1:1" s="199" customFormat="1" ht="12" hidden="1" customHeight="1">
      <c r="A8960" s="198"/>
    </row>
    <row r="8961" spans="1:1" s="199" customFormat="1" ht="12" hidden="1" customHeight="1">
      <c r="A8961" s="198"/>
    </row>
    <row r="8962" spans="1:1" s="199" customFormat="1" ht="12" hidden="1" customHeight="1">
      <c r="A8962" s="198"/>
    </row>
    <row r="8963" spans="1:1" s="199" customFormat="1" ht="12" hidden="1" customHeight="1">
      <c r="A8963" s="198"/>
    </row>
    <row r="8964" spans="1:1" s="199" customFormat="1" ht="12" hidden="1" customHeight="1">
      <c r="A8964" s="198"/>
    </row>
    <row r="8965" spans="1:1" s="199" customFormat="1" ht="12" hidden="1" customHeight="1">
      <c r="A8965" s="198"/>
    </row>
    <row r="8966" spans="1:1" s="199" customFormat="1" ht="12" hidden="1" customHeight="1">
      <c r="A8966" s="198"/>
    </row>
    <row r="8967" spans="1:1" s="199" customFormat="1" ht="12" hidden="1" customHeight="1">
      <c r="A8967" s="198"/>
    </row>
    <row r="8968" spans="1:1" s="199" customFormat="1" ht="12" hidden="1" customHeight="1">
      <c r="A8968" s="198"/>
    </row>
    <row r="8969" spans="1:1" s="199" customFormat="1" ht="12" hidden="1" customHeight="1">
      <c r="A8969" s="198"/>
    </row>
    <row r="8970" spans="1:1" s="199" customFormat="1" ht="12" hidden="1" customHeight="1">
      <c r="A8970" s="198"/>
    </row>
    <row r="8971" spans="1:1" s="199" customFormat="1" ht="12" hidden="1" customHeight="1">
      <c r="A8971" s="198"/>
    </row>
    <row r="8972" spans="1:1" s="199" customFormat="1" ht="12" hidden="1" customHeight="1">
      <c r="A8972" s="198"/>
    </row>
    <row r="8973" spans="1:1" s="199" customFormat="1" ht="12" hidden="1" customHeight="1">
      <c r="A8973" s="198"/>
    </row>
    <row r="8974" spans="1:1" s="199" customFormat="1" ht="12" hidden="1" customHeight="1">
      <c r="A8974" s="198"/>
    </row>
    <row r="8975" spans="1:1" s="199" customFormat="1" ht="12" hidden="1" customHeight="1">
      <c r="A8975" s="198"/>
    </row>
    <row r="8976" spans="1:1" s="199" customFormat="1" ht="12" hidden="1" customHeight="1">
      <c r="A8976" s="198"/>
    </row>
    <row r="8977" spans="1:1" s="199" customFormat="1" ht="12" hidden="1" customHeight="1">
      <c r="A8977" s="198"/>
    </row>
    <row r="8978" spans="1:1" s="199" customFormat="1" ht="12" hidden="1" customHeight="1">
      <c r="A8978" s="198"/>
    </row>
    <row r="8979" spans="1:1" s="199" customFormat="1" ht="12" hidden="1" customHeight="1">
      <c r="A8979" s="198"/>
    </row>
    <row r="8980" spans="1:1" s="199" customFormat="1" ht="12" hidden="1" customHeight="1">
      <c r="A8980" s="198"/>
    </row>
    <row r="8981" spans="1:1" s="199" customFormat="1" ht="12" hidden="1" customHeight="1">
      <c r="A8981" s="198"/>
    </row>
    <row r="8982" spans="1:1" s="199" customFormat="1" ht="12" hidden="1" customHeight="1">
      <c r="A8982" s="198"/>
    </row>
    <row r="8983" spans="1:1" s="199" customFormat="1" ht="12" hidden="1" customHeight="1">
      <c r="A8983" s="198"/>
    </row>
    <row r="8984" spans="1:1" s="199" customFormat="1" ht="12" hidden="1" customHeight="1">
      <c r="A8984" s="198"/>
    </row>
    <row r="8985" spans="1:1" s="199" customFormat="1" ht="12" hidden="1" customHeight="1">
      <c r="A8985" s="198"/>
    </row>
    <row r="8986" spans="1:1" s="199" customFormat="1" ht="12" hidden="1" customHeight="1">
      <c r="A8986" s="198"/>
    </row>
    <row r="8987" spans="1:1" s="199" customFormat="1" ht="12" hidden="1" customHeight="1">
      <c r="A8987" s="198"/>
    </row>
    <row r="8988" spans="1:1" s="199" customFormat="1" ht="12" hidden="1" customHeight="1">
      <c r="A8988" s="198"/>
    </row>
    <row r="8989" spans="1:1" s="199" customFormat="1" ht="12" hidden="1" customHeight="1">
      <c r="A8989" s="198"/>
    </row>
    <row r="8990" spans="1:1" s="199" customFormat="1" ht="12" hidden="1" customHeight="1">
      <c r="A8990" s="198"/>
    </row>
    <row r="8991" spans="1:1" s="199" customFormat="1" ht="12" hidden="1" customHeight="1">
      <c r="A8991" s="198"/>
    </row>
    <row r="8992" spans="1:1" s="199" customFormat="1" ht="12" hidden="1" customHeight="1">
      <c r="A8992" s="198"/>
    </row>
    <row r="8993" spans="1:1" s="199" customFormat="1" ht="12" hidden="1" customHeight="1">
      <c r="A8993" s="198"/>
    </row>
    <row r="8994" spans="1:1" s="199" customFormat="1" ht="12" hidden="1" customHeight="1">
      <c r="A8994" s="198"/>
    </row>
    <row r="8995" spans="1:1" s="199" customFormat="1" ht="12" hidden="1" customHeight="1">
      <c r="A8995" s="198"/>
    </row>
    <row r="8996" spans="1:1" s="199" customFormat="1" ht="12" hidden="1" customHeight="1">
      <c r="A8996" s="198"/>
    </row>
    <row r="8997" spans="1:1" s="199" customFormat="1" ht="12" hidden="1" customHeight="1">
      <c r="A8997" s="198"/>
    </row>
    <row r="8998" spans="1:1" s="199" customFormat="1" ht="12" hidden="1" customHeight="1">
      <c r="A8998" s="198"/>
    </row>
    <row r="8999" spans="1:1" s="199" customFormat="1" ht="12" hidden="1" customHeight="1">
      <c r="A8999" s="198"/>
    </row>
    <row r="9000" spans="1:1" s="199" customFormat="1" ht="12" hidden="1" customHeight="1">
      <c r="A9000" s="198"/>
    </row>
    <row r="9001" spans="1:1" s="199" customFormat="1" ht="12" hidden="1" customHeight="1">
      <c r="A9001" s="198"/>
    </row>
    <row r="9002" spans="1:1" s="199" customFormat="1" ht="12" hidden="1" customHeight="1">
      <c r="A9002" s="198"/>
    </row>
    <row r="9003" spans="1:1" s="199" customFormat="1" ht="12" hidden="1" customHeight="1">
      <c r="A9003" s="198"/>
    </row>
    <row r="9004" spans="1:1" s="199" customFormat="1" ht="12" hidden="1" customHeight="1">
      <c r="A9004" s="198"/>
    </row>
    <row r="9005" spans="1:1" s="199" customFormat="1" ht="12" hidden="1" customHeight="1">
      <c r="A9005" s="198"/>
    </row>
    <row r="9006" spans="1:1" s="199" customFormat="1" ht="12" hidden="1" customHeight="1">
      <c r="A9006" s="198"/>
    </row>
    <row r="9007" spans="1:1" s="199" customFormat="1" ht="12" hidden="1" customHeight="1">
      <c r="A9007" s="198"/>
    </row>
    <row r="9008" spans="1:1" s="199" customFormat="1" ht="12" hidden="1" customHeight="1">
      <c r="A9008" s="198"/>
    </row>
    <row r="9009" spans="1:1" s="199" customFormat="1" ht="12" hidden="1" customHeight="1">
      <c r="A9009" s="198"/>
    </row>
    <row r="9010" spans="1:1" s="199" customFormat="1" ht="12" hidden="1" customHeight="1">
      <c r="A9010" s="198"/>
    </row>
    <row r="9011" spans="1:1" s="199" customFormat="1" ht="12" hidden="1" customHeight="1">
      <c r="A9011" s="198"/>
    </row>
    <row r="9012" spans="1:1" s="199" customFormat="1" ht="12" hidden="1" customHeight="1">
      <c r="A9012" s="198"/>
    </row>
    <row r="9013" spans="1:1" s="199" customFormat="1" ht="12" hidden="1" customHeight="1">
      <c r="A9013" s="198"/>
    </row>
    <row r="9014" spans="1:1" s="199" customFormat="1" ht="12" hidden="1" customHeight="1">
      <c r="A9014" s="198"/>
    </row>
    <row r="9015" spans="1:1" s="199" customFormat="1" ht="12" hidden="1" customHeight="1">
      <c r="A9015" s="198"/>
    </row>
    <row r="9016" spans="1:1" s="199" customFormat="1" ht="12" hidden="1" customHeight="1">
      <c r="A9016" s="198"/>
    </row>
    <row r="9017" spans="1:1" s="199" customFormat="1" ht="12" hidden="1" customHeight="1">
      <c r="A9017" s="198"/>
    </row>
    <row r="9018" spans="1:1" s="199" customFormat="1" ht="12" hidden="1" customHeight="1">
      <c r="A9018" s="198"/>
    </row>
    <row r="9019" spans="1:1" s="199" customFormat="1" ht="12" hidden="1" customHeight="1">
      <c r="A9019" s="198"/>
    </row>
    <row r="9020" spans="1:1" s="199" customFormat="1" ht="12" hidden="1" customHeight="1">
      <c r="A9020" s="198"/>
    </row>
    <row r="9021" spans="1:1" s="199" customFormat="1" ht="12" hidden="1" customHeight="1">
      <c r="A9021" s="198"/>
    </row>
    <row r="9022" spans="1:1" s="199" customFormat="1" ht="12" hidden="1" customHeight="1">
      <c r="A9022" s="198"/>
    </row>
    <row r="9023" spans="1:1" s="199" customFormat="1" ht="12" hidden="1" customHeight="1">
      <c r="A9023" s="198"/>
    </row>
    <row r="9024" spans="1:1" s="199" customFormat="1" ht="12" hidden="1" customHeight="1">
      <c r="A9024" s="198"/>
    </row>
    <row r="9025" spans="1:1" s="199" customFormat="1" ht="12" hidden="1" customHeight="1">
      <c r="A9025" s="198"/>
    </row>
    <row r="9026" spans="1:1" s="199" customFormat="1" ht="12" hidden="1" customHeight="1">
      <c r="A9026" s="198"/>
    </row>
    <row r="9027" spans="1:1" s="199" customFormat="1" ht="12" hidden="1" customHeight="1">
      <c r="A9027" s="198"/>
    </row>
    <row r="9028" spans="1:1" s="199" customFormat="1" ht="12" hidden="1" customHeight="1">
      <c r="A9028" s="198"/>
    </row>
    <row r="9029" spans="1:1" s="199" customFormat="1" ht="12" hidden="1" customHeight="1">
      <c r="A9029" s="198"/>
    </row>
    <row r="9030" spans="1:1" s="199" customFormat="1" ht="12" hidden="1" customHeight="1">
      <c r="A9030" s="198"/>
    </row>
    <row r="9031" spans="1:1" s="199" customFormat="1" ht="12" hidden="1" customHeight="1">
      <c r="A9031" s="198"/>
    </row>
    <row r="9032" spans="1:1" s="199" customFormat="1" ht="12" hidden="1" customHeight="1">
      <c r="A9032" s="198"/>
    </row>
    <row r="9033" spans="1:1" s="199" customFormat="1" ht="12" hidden="1" customHeight="1">
      <c r="A9033" s="198"/>
    </row>
    <row r="9034" spans="1:1" s="199" customFormat="1" ht="12" hidden="1" customHeight="1">
      <c r="A9034" s="198"/>
    </row>
    <row r="9035" spans="1:1" s="199" customFormat="1" ht="12" hidden="1" customHeight="1">
      <c r="A9035" s="198"/>
    </row>
    <row r="9036" spans="1:1" s="199" customFormat="1" ht="12" hidden="1" customHeight="1">
      <c r="A9036" s="198"/>
    </row>
    <row r="9037" spans="1:1" s="199" customFormat="1" ht="12" hidden="1" customHeight="1">
      <c r="A9037" s="198"/>
    </row>
    <row r="9038" spans="1:1" s="199" customFormat="1" ht="12" hidden="1" customHeight="1">
      <c r="A9038" s="198"/>
    </row>
    <row r="9039" spans="1:1" s="199" customFormat="1" ht="12" hidden="1" customHeight="1">
      <c r="A9039" s="198"/>
    </row>
    <row r="9040" spans="1:1" s="199" customFormat="1" ht="12" hidden="1" customHeight="1">
      <c r="A9040" s="198"/>
    </row>
    <row r="9041" spans="1:1" s="199" customFormat="1" ht="12" hidden="1" customHeight="1">
      <c r="A9041" s="198"/>
    </row>
    <row r="9042" spans="1:1" s="199" customFormat="1" ht="12" hidden="1" customHeight="1">
      <c r="A9042" s="198"/>
    </row>
    <row r="9043" spans="1:1" s="199" customFormat="1" ht="12" hidden="1" customHeight="1">
      <c r="A9043" s="198"/>
    </row>
    <row r="9044" spans="1:1" s="199" customFormat="1" ht="12" hidden="1" customHeight="1">
      <c r="A9044" s="198"/>
    </row>
    <row r="9045" spans="1:1" s="199" customFormat="1" ht="12" hidden="1" customHeight="1">
      <c r="A9045" s="198"/>
    </row>
    <row r="9046" spans="1:1" s="199" customFormat="1" ht="12" hidden="1" customHeight="1">
      <c r="A9046" s="198"/>
    </row>
    <row r="9047" spans="1:1" s="199" customFormat="1" ht="12" hidden="1" customHeight="1">
      <c r="A9047" s="198"/>
    </row>
    <row r="9048" spans="1:1" s="199" customFormat="1" ht="12" hidden="1" customHeight="1">
      <c r="A9048" s="198"/>
    </row>
    <row r="9049" spans="1:1" s="199" customFormat="1" ht="12" hidden="1" customHeight="1">
      <c r="A9049" s="198"/>
    </row>
    <row r="9050" spans="1:1" s="199" customFormat="1" ht="12" hidden="1" customHeight="1">
      <c r="A9050" s="198"/>
    </row>
    <row r="9051" spans="1:1" s="199" customFormat="1" ht="12" hidden="1" customHeight="1">
      <c r="A9051" s="198"/>
    </row>
    <row r="9052" spans="1:1" s="199" customFormat="1" ht="12" hidden="1" customHeight="1">
      <c r="A9052" s="198"/>
    </row>
    <row r="9053" spans="1:1" s="199" customFormat="1" ht="12" hidden="1" customHeight="1">
      <c r="A9053" s="198"/>
    </row>
    <row r="9054" spans="1:1" s="199" customFormat="1" ht="12" hidden="1" customHeight="1">
      <c r="A9054" s="198"/>
    </row>
    <row r="9055" spans="1:1" s="199" customFormat="1" ht="12" hidden="1" customHeight="1">
      <c r="A9055" s="198"/>
    </row>
    <row r="9056" spans="1:1" s="199" customFormat="1" ht="12" hidden="1" customHeight="1">
      <c r="A9056" s="198"/>
    </row>
    <row r="9057" spans="1:1" s="199" customFormat="1" ht="12" hidden="1" customHeight="1">
      <c r="A9057" s="198"/>
    </row>
    <row r="9058" spans="1:1" s="199" customFormat="1" ht="12" hidden="1" customHeight="1">
      <c r="A9058" s="198"/>
    </row>
    <row r="9059" spans="1:1" s="199" customFormat="1" ht="12" hidden="1" customHeight="1">
      <c r="A9059" s="198"/>
    </row>
    <row r="9060" spans="1:1" s="199" customFormat="1" ht="12" hidden="1" customHeight="1">
      <c r="A9060" s="198"/>
    </row>
    <row r="9061" spans="1:1" s="199" customFormat="1" ht="12" hidden="1" customHeight="1">
      <c r="A9061" s="198"/>
    </row>
    <row r="9062" spans="1:1" s="199" customFormat="1" ht="12" hidden="1" customHeight="1">
      <c r="A9062" s="198"/>
    </row>
    <row r="9063" spans="1:1" s="199" customFormat="1" ht="12" hidden="1" customHeight="1">
      <c r="A9063" s="198"/>
    </row>
    <row r="9064" spans="1:1" s="199" customFormat="1" ht="12" hidden="1" customHeight="1">
      <c r="A9064" s="198"/>
    </row>
    <row r="9065" spans="1:1" s="199" customFormat="1" ht="12" hidden="1" customHeight="1">
      <c r="A9065" s="198"/>
    </row>
    <row r="9066" spans="1:1" s="199" customFormat="1" ht="12" hidden="1" customHeight="1">
      <c r="A9066" s="198"/>
    </row>
    <row r="9067" spans="1:1" s="199" customFormat="1" ht="12" hidden="1" customHeight="1">
      <c r="A9067" s="198"/>
    </row>
    <row r="9068" spans="1:1" s="199" customFormat="1" ht="12" hidden="1" customHeight="1">
      <c r="A9068" s="198"/>
    </row>
    <row r="9069" spans="1:1" s="199" customFormat="1" ht="12" hidden="1" customHeight="1">
      <c r="A9069" s="198"/>
    </row>
    <row r="9070" spans="1:1" s="199" customFormat="1" ht="12" hidden="1" customHeight="1">
      <c r="A9070" s="198"/>
    </row>
    <row r="9071" spans="1:1" s="199" customFormat="1" ht="12" hidden="1" customHeight="1">
      <c r="A9071" s="198"/>
    </row>
    <row r="9072" spans="1:1" s="199" customFormat="1" ht="12" hidden="1" customHeight="1">
      <c r="A9072" s="198"/>
    </row>
    <row r="9073" spans="1:1" s="199" customFormat="1" ht="12" hidden="1" customHeight="1">
      <c r="A9073" s="198"/>
    </row>
    <row r="9074" spans="1:1" s="199" customFormat="1" ht="12" hidden="1" customHeight="1">
      <c r="A9074" s="198"/>
    </row>
    <row r="9075" spans="1:1" s="199" customFormat="1" ht="12" hidden="1" customHeight="1">
      <c r="A9075" s="198"/>
    </row>
    <row r="9076" spans="1:1" s="199" customFormat="1" ht="12" hidden="1" customHeight="1">
      <c r="A9076" s="198"/>
    </row>
    <row r="9077" spans="1:1" s="199" customFormat="1" ht="12" hidden="1" customHeight="1">
      <c r="A9077" s="198"/>
    </row>
    <row r="9078" spans="1:1" s="199" customFormat="1" ht="12" hidden="1" customHeight="1">
      <c r="A9078" s="198"/>
    </row>
    <row r="9079" spans="1:1" s="199" customFormat="1" ht="12" hidden="1" customHeight="1">
      <c r="A9079" s="198"/>
    </row>
    <row r="9080" spans="1:1" s="199" customFormat="1" ht="12" hidden="1" customHeight="1">
      <c r="A9080" s="198"/>
    </row>
    <row r="9081" spans="1:1" s="199" customFormat="1" ht="12" hidden="1" customHeight="1">
      <c r="A9081" s="198"/>
    </row>
    <row r="9082" spans="1:1" s="199" customFormat="1" ht="12" hidden="1" customHeight="1">
      <c r="A9082" s="198"/>
    </row>
    <row r="9083" spans="1:1" s="199" customFormat="1" ht="12" hidden="1" customHeight="1">
      <c r="A9083" s="198"/>
    </row>
    <row r="9084" spans="1:1" s="199" customFormat="1" ht="12" hidden="1" customHeight="1">
      <c r="A9084" s="198"/>
    </row>
    <row r="9085" spans="1:1" s="199" customFormat="1" ht="12" hidden="1" customHeight="1">
      <c r="A9085" s="198"/>
    </row>
    <row r="9086" spans="1:1" s="199" customFormat="1" ht="12" hidden="1" customHeight="1">
      <c r="A9086" s="198"/>
    </row>
    <row r="9087" spans="1:1" s="199" customFormat="1" ht="12" hidden="1" customHeight="1">
      <c r="A9087" s="198"/>
    </row>
    <row r="9088" spans="1:1" s="199" customFormat="1" ht="12" hidden="1" customHeight="1">
      <c r="A9088" s="198"/>
    </row>
    <row r="9089" spans="1:1" s="199" customFormat="1" ht="12" hidden="1" customHeight="1">
      <c r="A9089" s="198"/>
    </row>
    <row r="9090" spans="1:1" s="199" customFormat="1" ht="12" hidden="1" customHeight="1">
      <c r="A9090" s="198"/>
    </row>
    <row r="9091" spans="1:1" s="199" customFormat="1" ht="12" hidden="1" customHeight="1">
      <c r="A9091" s="198"/>
    </row>
    <row r="9092" spans="1:1" s="199" customFormat="1" ht="12" hidden="1" customHeight="1">
      <c r="A9092" s="198"/>
    </row>
    <row r="9093" spans="1:1" s="199" customFormat="1" ht="12" hidden="1" customHeight="1">
      <c r="A9093" s="198"/>
    </row>
    <row r="9094" spans="1:1" s="199" customFormat="1" ht="12" hidden="1" customHeight="1">
      <c r="A9094" s="198"/>
    </row>
    <row r="9095" spans="1:1" s="199" customFormat="1" ht="12" hidden="1" customHeight="1">
      <c r="A9095" s="198"/>
    </row>
    <row r="9096" spans="1:1" s="199" customFormat="1" ht="12" hidden="1" customHeight="1">
      <c r="A9096" s="198"/>
    </row>
    <row r="9097" spans="1:1" s="199" customFormat="1" ht="12" hidden="1" customHeight="1">
      <c r="A9097" s="198"/>
    </row>
    <row r="9098" spans="1:1" s="199" customFormat="1" ht="12" hidden="1" customHeight="1">
      <c r="A9098" s="198"/>
    </row>
    <row r="9099" spans="1:1" s="199" customFormat="1" ht="12" hidden="1" customHeight="1">
      <c r="A9099" s="198"/>
    </row>
    <row r="9100" spans="1:1" s="199" customFormat="1" ht="12" hidden="1" customHeight="1">
      <c r="A9100" s="198"/>
    </row>
    <row r="9101" spans="1:1" s="199" customFormat="1" ht="12" hidden="1" customHeight="1">
      <c r="A9101" s="198"/>
    </row>
    <row r="9102" spans="1:1" s="199" customFormat="1" ht="12" hidden="1" customHeight="1">
      <c r="A9102" s="198"/>
    </row>
    <row r="9103" spans="1:1" s="199" customFormat="1" ht="12" hidden="1" customHeight="1">
      <c r="A9103" s="198"/>
    </row>
    <row r="9104" spans="1:1" s="199" customFormat="1" ht="12" hidden="1" customHeight="1">
      <c r="A9104" s="198"/>
    </row>
    <row r="9105" spans="1:1" s="199" customFormat="1" ht="12" hidden="1" customHeight="1">
      <c r="A9105" s="198"/>
    </row>
    <row r="9106" spans="1:1" s="199" customFormat="1" ht="12" hidden="1" customHeight="1">
      <c r="A9106" s="198"/>
    </row>
    <row r="9107" spans="1:1" s="199" customFormat="1" ht="12" hidden="1" customHeight="1">
      <c r="A9107" s="198"/>
    </row>
    <row r="9108" spans="1:1" s="199" customFormat="1" ht="12" hidden="1" customHeight="1">
      <c r="A9108" s="198"/>
    </row>
    <row r="9109" spans="1:1" s="199" customFormat="1" ht="12" hidden="1" customHeight="1">
      <c r="A9109" s="198"/>
    </row>
    <row r="9110" spans="1:1" s="199" customFormat="1" ht="12" hidden="1" customHeight="1">
      <c r="A9110" s="198"/>
    </row>
    <row r="9111" spans="1:1" s="199" customFormat="1" ht="12" hidden="1" customHeight="1">
      <c r="A9111" s="198"/>
    </row>
    <row r="9112" spans="1:1" s="199" customFormat="1" ht="12" hidden="1" customHeight="1">
      <c r="A9112" s="198"/>
    </row>
    <row r="9113" spans="1:1" s="199" customFormat="1" ht="12" hidden="1" customHeight="1">
      <c r="A9113" s="198"/>
    </row>
    <row r="9114" spans="1:1" s="199" customFormat="1" ht="12" hidden="1" customHeight="1">
      <c r="A9114" s="198"/>
    </row>
    <row r="9115" spans="1:1" s="199" customFormat="1" ht="12" hidden="1" customHeight="1">
      <c r="A9115" s="198"/>
    </row>
    <row r="9116" spans="1:1" s="199" customFormat="1" ht="12" hidden="1" customHeight="1">
      <c r="A9116" s="198"/>
    </row>
    <row r="9117" spans="1:1" s="199" customFormat="1" ht="12" hidden="1" customHeight="1">
      <c r="A9117" s="198"/>
    </row>
    <row r="9118" spans="1:1" s="199" customFormat="1" ht="12" hidden="1" customHeight="1">
      <c r="A9118" s="198"/>
    </row>
    <row r="9119" spans="1:1" s="199" customFormat="1" ht="12" hidden="1" customHeight="1">
      <c r="A9119" s="198"/>
    </row>
    <row r="9120" spans="1:1" s="199" customFormat="1" ht="12" hidden="1" customHeight="1">
      <c r="A9120" s="198"/>
    </row>
    <row r="9121" spans="1:1" s="199" customFormat="1" ht="12" hidden="1" customHeight="1">
      <c r="A9121" s="198"/>
    </row>
    <row r="9122" spans="1:1" s="199" customFormat="1" ht="12" hidden="1" customHeight="1">
      <c r="A9122" s="198"/>
    </row>
    <row r="9123" spans="1:1" s="199" customFormat="1" ht="12" hidden="1" customHeight="1">
      <c r="A9123" s="198"/>
    </row>
    <row r="9124" spans="1:1" s="199" customFormat="1" ht="12" hidden="1" customHeight="1">
      <c r="A9124" s="198"/>
    </row>
    <row r="9125" spans="1:1" s="199" customFormat="1" ht="12" hidden="1" customHeight="1">
      <c r="A9125" s="198"/>
    </row>
    <row r="9126" spans="1:1" s="199" customFormat="1" ht="12" hidden="1" customHeight="1">
      <c r="A9126" s="198"/>
    </row>
    <row r="9127" spans="1:1" s="199" customFormat="1" ht="12" hidden="1" customHeight="1">
      <c r="A9127" s="198"/>
    </row>
    <row r="9128" spans="1:1" s="199" customFormat="1" ht="12" hidden="1" customHeight="1">
      <c r="A9128" s="198"/>
    </row>
    <row r="9129" spans="1:1" s="199" customFormat="1" ht="12" hidden="1" customHeight="1">
      <c r="A9129" s="198"/>
    </row>
    <row r="9130" spans="1:1" s="199" customFormat="1" ht="12" hidden="1" customHeight="1">
      <c r="A9130" s="198"/>
    </row>
    <row r="9131" spans="1:1" s="199" customFormat="1" ht="12" hidden="1" customHeight="1">
      <c r="A9131" s="198"/>
    </row>
    <row r="9132" spans="1:1" s="199" customFormat="1" ht="12" hidden="1" customHeight="1">
      <c r="A9132" s="198"/>
    </row>
    <row r="9133" spans="1:1" s="199" customFormat="1" ht="12" hidden="1" customHeight="1">
      <c r="A9133" s="198"/>
    </row>
    <row r="9134" spans="1:1" s="199" customFormat="1" ht="12" hidden="1" customHeight="1">
      <c r="A9134" s="198"/>
    </row>
    <row r="9135" spans="1:1" s="199" customFormat="1" ht="12" hidden="1" customHeight="1">
      <c r="A9135" s="198"/>
    </row>
    <row r="9136" spans="1:1" s="199" customFormat="1" ht="12" hidden="1" customHeight="1">
      <c r="A9136" s="198"/>
    </row>
    <row r="9137" spans="1:1" s="199" customFormat="1" ht="12" hidden="1" customHeight="1">
      <c r="A9137" s="198"/>
    </row>
    <row r="9138" spans="1:1" s="199" customFormat="1" ht="12" hidden="1" customHeight="1">
      <c r="A9138" s="198"/>
    </row>
    <row r="9139" spans="1:1" s="199" customFormat="1" ht="12" hidden="1" customHeight="1">
      <c r="A9139" s="198"/>
    </row>
    <row r="9140" spans="1:1" s="199" customFormat="1" ht="12" hidden="1" customHeight="1">
      <c r="A9140" s="198"/>
    </row>
    <row r="9141" spans="1:1" s="199" customFormat="1" ht="12" hidden="1" customHeight="1">
      <c r="A9141" s="198"/>
    </row>
    <row r="9142" spans="1:1" s="199" customFormat="1" ht="12" hidden="1" customHeight="1">
      <c r="A9142" s="198"/>
    </row>
    <row r="9143" spans="1:1" s="199" customFormat="1" ht="12" hidden="1" customHeight="1">
      <c r="A9143" s="198"/>
    </row>
    <row r="9144" spans="1:1" s="199" customFormat="1" ht="12" hidden="1" customHeight="1">
      <c r="A9144" s="198"/>
    </row>
    <row r="9145" spans="1:1" s="199" customFormat="1" ht="12" hidden="1" customHeight="1">
      <c r="A9145" s="198"/>
    </row>
    <row r="9146" spans="1:1" s="199" customFormat="1" ht="12" hidden="1" customHeight="1">
      <c r="A9146" s="198"/>
    </row>
    <row r="9147" spans="1:1" s="199" customFormat="1" ht="12" hidden="1" customHeight="1">
      <c r="A9147" s="198"/>
    </row>
    <row r="9148" spans="1:1" s="199" customFormat="1" ht="12" hidden="1" customHeight="1">
      <c r="A9148" s="198"/>
    </row>
    <row r="9149" spans="1:1" s="199" customFormat="1" ht="12" hidden="1" customHeight="1">
      <c r="A9149" s="198"/>
    </row>
    <row r="9150" spans="1:1" s="199" customFormat="1" ht="12" hidden="1" customHeight="1">
      <c r="A9150" s="198"/>
    </row>
    <row r="9151" spans="1:1" s="199" customFormat="1" ht="12" hidden="1" customHeight="1">
      <c r="A9151" s="198"/>
    </row>
    <row r="9152" spans="1:1" s="199" customFormat="1" ht="12" hidden="1" customHeight="1">
      <c r="A9152" s="198"/>
    </row>
    <row r="9153" spans="1:1" s="199" customFormat="1" ht="12" hidden="1" customHeight="1">
      <c r="A9153" s="198"/>
    </row>
    <row r="9154" spans="1:1" s="199" customFormat="1" ht="12" hidden="1" customHeight="1">
      <c r="A9154" s="198"/>
    </row>
    <row r="9155" spans="1:1" s="199" customFormat="1" ht="12" hidden="1" customHeight="1">
      <c r="A9155" s="198"/>
    </row>
    <row r="9156" spans="1:1" s="199" customFormat="1" ht="12" hidden="1" customHeight="1">
      <c r="A9156" s="198"/>
    </row>
    <row r="9157" spans="1:1" s="199" customFormat="1" ht="12" hidden="1" customHeight="1">
      <c r="A9157" s="198"/>
    </row>
    <row r="9158" spans="1:1" s="199" customFormat="1" ht="12" hidden="1" customHeight="1">
      <c r="A9158" s="198"/>
    </row>
    <row r="9159" spans="1:1" s="199" customFormat="1" ht="12" hidden="1" customHeight="1">
      <c r="A9159" s="198"/>
    </row>
    <row r="9160" spans="1:1" s="199" customFormat="1" ht="12" hidden="1" customHeight="1">
      <c r="A9160" s="198"/>
    </row>
    <row r="9161" spans="1:1" s="199" customFormat="1" ht="12" hidden="1" customHeight="1">
      <c r="A9161" s="198"/>
    </row>
    <row r="9162" spans="1:1" s="199" customFormat="1" ht="12" hidden="1" customHeight="1">
      <c r="A9162" s="198"/>
    </row>
    <row r="9163" spans="1:1" s="199" customFormat="1" ht="12" hidden="1" customHeight="1">
      <c r="A9163" s="198"/>
    </row>
    <row r="9164" spans="1:1" s="199" customFormat="1" ht="12" hidden="1" customHeight="1">
      <c r="A9164" s="198"/>
    </row>
    <row r="9165" spans="1:1" s="199" customFormat="1" ht="12" hidden="1" customHeight="1">
      <c r="A9165" s="198"/>
    </row>
    <row r="9166" spans="1:1" s="199" customFormat="1" ht="12" hidden="1" customHeight="1">
      <c r="A9166" s="198"/>
    </row>
    <row r="9167" spans="1:1" s="199" customFormat="1" ht="12" hidden="1" customHeight="1">
      <c r="A9167" s="198"/>
    </row>
    <row r="9168" spans="1:1" s="199" customFormat="1" ht="12" hidden="1" customHeight="1">
      <c r="A9168" s="198"/>
    </row>
    <row r="9169" spans="1:1" s="199" customFormat="1" ht="12" hidden="1" customHeight="1">
      <c r="A9169" s="198"/>
    </row>
    <row r="9170" spans="1:1" s="199" customFormat="1" ht="12" hidden="1" customHeight="1">
      <c r="A9170" s="198"/>
    </row>
    <row r="9171" spans="1:1" s="199" customFormat="1" ht="12" hidden="1" customHeight="1">
      <c r="A9171" s="198"/>
    </row>
    <row r="9172" spans="1:1" s="199" customFormat="1" ht="12" hidden="1" customHeight="1">
      <c r="A9172" s="198"/>
    </row>
    <row r="9173" spans="1:1" s="199" customFormat="1" ht="12" hidden="1" customHeight="1">
      <c r="A9173" s="198"/>
    </row>
    <row r="9174" spans="1:1" s="199" customFormat="1" ht="12" hidden="1" customHeight="1">
      <c r="A9174" s="198"/>
    </row>
    <row r="9175" spans="1:1" s="199" customFormat="1" ht="12" hidden="1" customHeight="1">
      <c r="A9175" s="198"/>
    </row>
    <row r="9176" spans="1:1" s="199" customFormat="1" ht="12" hidden="1" customHeight="1">
      <c r="A9176" s="198"/>
    </row>
    <row r="9177" spans="1:1" s="199" customFormat="1" ht="12" hidden="1" customHeight="1">
      <c r="A9177" s="198"/>
    </row>
    <row r="9178" spans="1:1" s="199" customFormat="1" ht="12" hidden="1" customHeight="1">
      <c r="A9178" s="198"/>
    </row>
    <row r="9179" spans="1:1" s="199" customFormat="1" ht="12" hidden="1" customHeight="1">
      <c r="A9179" s="198"/>
    </row>
    <row r="9180" spans="1:1" s="199" customFormat="1" ht="12" hidden="1" customHeight="1">
      <c r="A9180" s="198"/>
    </row>
    <row r="9181" spans="1:1" s="199" customFormat="1" ht="12" hidden="1" customHeight="1">
      <c r="A9181" s="198"/>
    </row>
    <row r="9182" spans="1:1" s="199" customFormat="1" ht="12" hidden="1" customHeight="1">
      <c r="A9182" s="198"/>
    </row>
    <row r="9183" spans="1:1" s="199" customFormat="1" ht="12" hidden="1" customHeight="1">
      <c r="A9183" s="198"/>
    </row>
    <row r="9184" spans="1:1" s="199" customFormat="1" ht="12" hidden="1" customHeight="1">
      <c r="A9184" s="198"/>
    </row>
    <row r="9185" spans="1:1" s="199" customFormat="1" ht="12" hidden="1" customHeight="1">
      <c r="A9185" s="198"/>
    </row>
    <row r="9186" spans="1:1" s="199" customFormat="1" ht="12" hidden="1" customHeight="1">
      <c r="A9186" s="198"/>
    </row>
    <row r="9187" spans="1:1" s="199" customFormat="1" ht="12" hidden="1" customHeight="1">
      <c r="A9187" s="198"/>
    </row>
    <row r="9188" spans="1:1" s="199" customFormat="1" ht="12" hidden="1" customHeight="1">
      <c r="A9188" s="198"/>
    </row>
    <row r="9189" spans="1:1" s="199" customFormat="1" ht="12" hidden="1" customHeight="1">
      <c r="A9189" s="198"/>
    </row>
    <row r="9190" spans="1:1" s="199" customFormat="1" ht="12" hidden="1" customHeight="1">
      <c r="A9190" s="198"/>
    </row>
    <row r="9191" spans="1:1" s="199" customFormat="1" ht="12" hidden="1" customHeight="1">
      <c r="A9191" s="198"/>
    </row>
    <row r="9192" spans="1:1" s="199" customFormat="1" ht="12" hidden="1" customHeight="1">
      <c r="A9192" s="198"/>
    </row>
    <row r="9193" spans="1:1" s="199" customFormat="1" ht="12" hidden="1" customHeight="1">
      <c r="A9193" s="198"/>
    </row>
    <row r="9194" spans="1:1" s="199" customFormat="1" ht="12" hidden="1" customHeight="1">
      <c r="A9194" s="198"/>
    </row>
    <row r="9195" spans="1:1" s="199" customFormat="1" ht="12" hidden="1" customHeight="1">
      <c r="A9195" s="198"/>
    </row>
    <row r="9196" spans="1:1" s="199" customFormat="1" ht="12" hidden="1" customHeight="1">
      <c r="A9196" s="198"/>
    </row>
    <row r="9197" spans="1:1" s="199" customFormat="1" ht="12" hidden="1" customHeight="1">
      <c r="A9197" s="198"/>
    </row>
    <row r="9198" spans="1:1" s="199" customFormat="1" ht="12" hidden="1" customHeight="1">
      <c r="A9198" s="198"/>
    </row>
    <row r="9199" spans="1:1" s="199" customFormat="1" ht="12" hidden="1" customHeight="1">
      <c r="A9199" s="198"/>
    </row>
    <row r="9200" spans="1:1" s="199" customFormat="1" ht="12" hidden="1" customHeight="1">
      <c r="A9200" s="198"/>
    </row>
    <row r="9201" spans="1:1" s="199" customFormat="1" ht="12" hidden="1" customHeight="1">
      <c r="A9201" s="198"/>
    </row>
    <row r="9202" spans="1:1" s="199" customFormat="1" ht="12" hidden="1" customHeight="1">
      <c r="A9202" s="198"/>
    </row>
    <row r="9203" spans="1:1" s="199" customFormat="1" ht="12" hidden="1" customHeight="1">
      <c r="A9203" s="198"/>
    </row>
    <row r="9204" spans="1:1" s="199" customFormat="1" ht="12" hidden="1" customHeight="1">
      <c r="A9204" s="198"/>
    </row>
    <row r="9205" spans="1:1" s="199" customFormat="1" ht="12" hidden="1" customHeight="1">
      <c r="A9205" s="198"/>
    </row>
    <row r="9206" spans="1:1" s="199" customFormat="1" ht="12" hidden="1" customHeight="1">
      <c r="A9206" s="198"/>
    </row>
    <row r="9207" spans="1:1" s="199" customFormat="1" ht="12" hidden="1" customHeight="1">
      <c r="A9207" s="198"/>
    </row>
    <row r="9208" spans="1:1" s="199" customFormat="1" ht="12" hidden="1" customHeight="1">
      <c r="A9208" s="198"/>
    </row>
    <row r="9209" spans="1:1" s="199" customFormat="1" ht="12" hidden="1" customHeight="1">
      <c r="A9209" s="198"/>
    </row>
    <row r="9210" spans="1:1" s="199" customFormat="1" ht="12" hidden="1" customHeight="1">
      <c r="A9210" s="198"/>
    </row>
    <row r="9211" spans="1:1" s="199" customFormat="1" ht="12" hidden="1" customHeight="1">
      <c r="A9211" s="198"/>
    </row>
    <row r="9212" spans="1:1" s="199" customFormat="1" ht="12" hidden="1" customHeight="1">
      <c r="A9212" s="198"/>
    </row>
    <row r="9213" spans="1:1" s="199" customFormat="1" ht="12" hidden="1" customHeight="1">
      <c r="A9213" s="198"/>
    </row>
    <row r="9214" spans="1:1" s="199" customFormat="1" ht="12" hidden="1" customHeight="1">
      <c r="A9214" s="198"/>
    </row>
    <row r="9215" spans="1:1" s="199" customFormat="1" ht="12" hidden="1" customHeight="1">
      <c r="A9215" s="198"/>
    </row>
    <row r="9216" spans="1:1" s="199" customFormat="1" ht="12" hidden="1" customHeight="1">
      <c r="A9216" s="198"/>
    </row>
    <row r="9217" spans="1:1" s="199" customFormat="1" ht="12" hidden="1" customHeight="1">
      <c r="A9217" s="198"/>
    </row>
    <row r="9218" spans="1:1" s="199" customFormat="1" ht="12" hidden="1" customHeight="1">
      <c r="A9218" s="198"/>
    </row>
    <row r="9219" spans="1:1" s="199" customFormat="1" ht="12" hidden="1" customHeight="1">
      <c r="A9219" s="198"/>
    </row>
    <row r="9220" spans="1:1" s="199" customFormat="1" ht="12" hidden="1" customHeight="1">
      <c r="A9220" s="198"/>
    </row>
    <row r="9221" spans="1:1" s="199" customFormat="1" ht="12" hidden="1" customHeight="1">
      <c r="A9221" s="198"/>
    </row>
    <row r="9222" spans="1:1" s="199" customFormat="1" ht="12" hidden="1" customHeight="1">
      <c r="A9222" s="198"/>
    </row>
    <row r="9223" spans="1:1" s="199" customFormat="1" ht="12" hidden="1" customHeight="1">
      <c r="A9223" s="198"/>
    </row>
    <row r="9224" spans="1:1" s="199" customFormat="1" ht="12" hidden="1" customHeight="1">
      <c r="A9224" s="198"/>
    </row>
    <row r="9225" spans="1:1" s="199" customFormat="1" ht="12" hidden="1" customHeight="1">
      <c r="A9225" s="198"/>
    </row>
    <row r="9226" spans="1:1" s="199" customFormat="1" ht="12" hidden="1" customHeight="1">
      <c r="A9226" s="198"/>
    </row>
    <row r="9227" spans="1:1" s="199" customFormat="1" ht="12" hidden="1" customHeight="1">
      <c r="A9227" s="198"/>
    </row>
    <row r="9228" spans="1:1" s="199" customFormat="1" ht="12" hidden="1" customHeight="1">
      <c r="A9228" s="198"/>
    </row>
    <row r="9229" spans="1:1" s="199" customFormat="1" ht="12" hidden="1" customHeight="1">
      <c r="A9229" s="198"/>
    </row>
    <row r="9230" spans="1:1" s="199" customFormat="1" ht="12" hidden="1" customHeight="1">
      <c r="A9230" s="198"/>
    </row>
    <row r="9231" spans="1:1" s="199" customFormat="1" ht="12" hidden="1" customHeight="1">
      <c r="A9231" s="198"/>
    </row>
    <row r="9232" spans="1:1" s="199" customFormat="1" ht="12" hidden="1" customHeight="1">
      <c r="A9232" s="198"/>
    </row>
    <row r="9233" spans="1:1" s="199" customFormat="1" ht="12" hidden="1" customHeight="1">
      <c r="A9233" s="198"/>
    </row>
    <row r="9234" spans="1:1" s="199" customFormat="1" ht="12" hidden="1" customHeight="1">
      <c r="A9234" s="198"/>
    </row>
    <row r="9235" spans="1:1" s="199" customFormat="1" ht="12" hidden="1" customHeight="1">
      <c r="A9235" s="198"/>
    </row>
    <row r="9236" spans="1:1" s="199" customFormat="1" ht="12" hidden="1" customHeight="1">
      <c r="A9236" s="198"/>
    </row>
    <row r="9237" spans="1:1" s="199" customFormat="1" ht="12" hidden="1" customHeight="1">
      <c r="A9237" s="198"/>
    </row>
    <row r="9238" spans="1:1" s="199" customFormat="1" ht="12" hidden="1" customHeight="1">
      <c r="A9238" s="198"/>
    </row>
    <row r="9239" spans="1:1" s="199" customFormat="1" ht="12" hidden="1" customHeight="1">
      <c r="A9239" s="198"/>
    </row>
    <row r="9240" spans="1:1" s="199" customFormat="1" ht="12" hidden="1" customHeight="1">
      <c r="A9240" s="198"/>
    </row>
    <row r="9241" spans="1:1" s="199" customFormat="1" ht="12" hidden="1" customHeight="1">
      <c r="A9241" s="198"/>
    </row>
    <row r="9242" spans="1:1" s="199" customFormat="1" ht="12" hidden="1" customHeight="1">
      <c r="A9242" s="198"/>
    </row>
    <row r="9243" spans="1:1" s="199" customFormat="1" ht="12" hidden="1" customHeight="1">
      <c r="A9243" s="198"/>
    </row>
    <row r="9244" spans="1:1" s="199" customFormat="1" ht="12" hidden="1" customHeight="1">
      <c r="A9244" s="198"/>
    </row>
    <row r="9245" spans="1:1" s="199" customFormat="1" ht="12" hidden="1" customHeight="1">
      <c r="A9245" s="198"/>
    </row>
    <row r="9246" spans="1:1" s="199" customFormat="1" ht="12" hidden="1" customHeight="1">
      <c r="A9246" s="198"/>
    </row>
    <row r="9247" spans="1:1" s="199" customFormat="1" ht="12" hidden="1" customHeight="1">
      <c r="A9247" s="198"/>
    </row>
    <row r="9248" spans="1:1" s="199" customFormat="1" ht="12" hidden="1" customHeight="1">
      <c r="A9248" s="198"/>
    </row>
    <row r="9249" spans="1:1" s="199" customFormat="1" ht="12" hidden="1" customHeight="1">
      <c r="A9249" s="198"/>
    </row>
    <row r="9250" spans="1:1" s="199" customFormat="1" ht="12" hidden="1" customHeight="1">
      <c r="A9250" s="198"/>
    </row>
    <row r="9251" spans="1:1" s="199" customFormat="1" ht="12" hidden="1" customHeight="1">
      <c r="A9251" s="198"/>
    </row>
    <row r="9252" spans="1:1" s="199" customFormat="1" ht="12" hidden="1" customHeight="1">
      <c r="A9252" s="198"/>
    </row>
    <row r="9253" spans="1:1" s="199" customFormat="1" ht="12" hidden="1" customHeight="1">
      <c r="A9253" s="198"/>
    </row>
    <row r="9254" spans="1:1" s="199" customFormat="1" ht="12" hidden="1" customHeight="1">
      <c r="A9254" s="198"/>
    </row>
    <row r="9255" spans="1:1" s="199" customFormat="1" ht="12" hidden="1" customHeight="1">
      <c r="A9255" s="198"/>
    </row>
    <row r="9256" spans="1:1" s="199" customFormat="1" ht="12" hidden="1" customHeight="1">
      <c r="A9256" s="198"/>
    </row>
    <row r="9257" spans="1:1" s="199" customFormat="1" ht="12" hidden="1" customHeight="1">
      <c r="A9257" s="198"/>
    </row>
    <row r="9258" spans="1:1" s="199" customFormat="1" ht="12" hidden="1" customHeight="1">
      <c r="A9258" s="198"/>
    </row>
    <row r="9259" spans="1:1" s="199" customFormat="1" ht="12" hidden="1" customHeight="1">
      <c r="A9259" s="198"/>
    </row>
    <row r="9260" spans="1:1" s="199" customFormat="1" ht="12" hidden="1" customHeight="1">
      <c r="A9260" s="198"/>
    </row>
    <row r="9261" spans="1:1" s="199" customFormat="1" ht="12" hidden="1" customHeight="1">
      <c r="A9261" s="198"/>
    </row>
    <row r="9262" spans="1:1" s="199" customFormat="1" ht="12" hidden="1" customHeight="1">
      <c r="A9262" s="198"/>
    </row>
    <row r="9263" spans="1:1" s="199" customFormat="1" ht="12" hidden="1" customHeight="1">
      <c r="A9263" s="198"/>
    </row>
    <row r="9264" spans="1:1" s="199" customFormat="1" ht="12" hidden="1" customHeight="1">
      <c r="A9264" s="198"/>
    </row>
    <row r="9265" spans="1:1" s="199" customFormat="1" ht="12" hidden="1" customHeight="1">
      <c r="A9265" s="198"/>
    </row>
    <row r="9266" spans="1:1" s="199" customFormat="1" ht="12" hidden="1" customHeight="1">
      <c r="A9266" s="198"/>
    </row>
    <row r="9267" spans="1:1" s="199" customFormat="1" ht="12" hidden="1" customHeight="1">
      <c r="A9267" s="198"/>
    </row>
    <row r="9268" spans="1:1" s="199" customFormat="1" ht="12" hidden="1" customHeight="1">
      <c r="A9268" s="198"/>
    </row>
    <row r="9269" spans="1:1" s="199" customFormat="1" ht="12" hidden="1" customHeight="1">
      <c r="A9269" s="198"/>
    </row>
    <row r="9270" spans="1:1" s="199" customFormat="1" ht="12" hidden="1" customHeight="1">
      <c r="A9270" s="198"/>
    </row>
    <row r="9271" spans="1:1" s="199" customFormat="1" ht="12" hidden="1" customHeight="1">
      <c r="A9271" s="198"/>
    </row>
    <row r="9272" spans="1:1" s="199" customFormat="1" ht="12" hidden="1" customHeight="1">
      <c r="A9272" s="198"/>
    </row>
    <row r="9273" spans="1:1" s="199" customFormat="1" ht="12" hidden="1" customHeight="1">
      <c r="A9273" s="198"/>
    </row>
    <row r="9274" spans="1:1" s="199" customFormat="1" ht="12" hidden="1" customHeight="1">
      <c r="A9274" s="198"/>
    </row>
    <row r="9275" spans="1:1" s="199" customFormat="1" ht="12" hidden="1" customHeight="1">
      <c r="A9275" s="198"/>
    </row>
    <row r="9276" spans="1:1" s="199" customFormat="1" ht="12" hidden="1" customHeight="1">
      <c r="A9276" s="198"/>
    </row>
    <row r="9277" spans="1:1" s="199" customFormat="1" ht="12" hidden="1" customHeight="1">
      <c r="A9277" s="198"/>
    </row>
    <row r="9278" spans="1:1" s="199" customFormat="1" ht="12" hidden="1" customHeight="1">
      <c r="A9278" s="198"/>
    </row>
    <row r="9279" spans="1:1" s="199" customFormat="1" ht="12" hidden="1" customHeight="1">
      <c r="A9279" s="198"/>
    </row>
    <row r="9280" spans="1:1" s="199" customFormat="1" ht="12" hidden="1" customHeight="1">
      <c r="A9280" s="198"/>
    </row>
    <row r="9281" spans="1:1" s="199" customFormat="1" ht="12" hidden="1" customHeight="1">
      <c r="A9281" s="198"/>
    </row>
    <row r="9282" spans="1:1" s="199" customFormat="1" ht="12" hidden="1" customHeight="1">
      <c r="A9282" s="198"/>
    </row>
    <row r="9283" spans="1:1" s="199" customFormat="1" ht="12" hidden="1" customHeight="1">
      <c r="A9283" s="198"/>
    </row>
    <row r="9284" spans="1:1" s="199" customFormat="1" ht="12" hidden="1" customHeight="1">
      <c r="A9284" s="198"/>
    </row>
    <row r="9285" spans="1:1" s="199" customFormat="1" ht="12" hidden="1" customHeight="1">
      <c r="A9285" s="198"/>
    </row>
    <row r="9286" spans="1:1" s="199" customFormat="1" ht="12" hidden="1" customHeight="1">
      <c r="A9286" s="198"/>
    </row>
    <row r="9287" spans="1:1" s="199" customFormat="1" ht="12" hidden="1" customHeight="1">
      <c r="A9287" s="198"/>
    </row>
    <row r="9288" spans="1:1" s="199" customFormat="1" ht="12" hidden="1" customHeight="1">
      <c r="A9288" s="198"/>
    </row>
    <row r="9289" spans="1:1" s="199" customFormat="1" ht="12" hidden="1" customHeight="1">
      <c r="A9289" s="198"/>
    </row>
    <row r="9290" spans="1:1" s="199" customFormat="1" ht="12" hidden="1" customHeight="1">
      <c r="A9290" s="198"/>
    </row>
    <row r="9291" spans="1:1" s="199" customFormat="1" ht="12" hidden="1" customHeight="1">
      <c r="A9291" s="198"/>
    </row>
    <row r="9292" spans="1:1" s="199" customFormat="1" ht="12" hidden="1" customHeight="1">
      <c r="A9292" s="198"/>
    </row>
    <row r="9293" spans="1:1" s="199" customFormat="1" ht="12" hidden="1" customHeight="1">
      <c r="A9293" s="198"/>
    </row>
    <row r="9294" spans="1:1" s="199" customFormat="1" ht="12" hidden="1" customHeight="1">
      <c r="A9294" s="198"/>
    </row>
    <row r="9295" spans="1:1" s="199" customFormat="1" ht="12" hidden="1" customHeight="1">
      <c r="A9295" s="198"/>
    </row>
    <row r="9296" spans="1:1" s="199" customFormat="1" ht="12" hidden="1" customHeight="1">
      <c r="A9296" s="198"/>
    </row>
    <row r="9297" spans="1:1" s="199" customFormat="1" ht="12" hidden="1" customHeight="1">
      <c r="A9297" s="198"/>
    </row>
    <row r="9298" spans="1:1" s="199" customFormat="1" ht="12" hidden="1" customHeight="1">
      <c r="A9298" s="198"/>
    </row>
    <row r="9299" spans="1:1" s="199" customFormat="1" ht="12" hidden="1" customHeight="1">
      <c r="A9299" s="198"/>
    </row>
    <row r="9300" spans="1:1" s="199" customFormat="1" ht="12" hidden="1" customHeight="1">
      <c r="A9300" s="198"/>
    </row>
    <row r="9301" spans="1:1" s="199" customFormat="1" ht="12" hidden="1" customHeight="1">
      <c r="A9301" s="198"/>
    </row>
    <row r="9302" spans="1:1" s="199" customFormat="1" ht="12" hidden="1" customHeight="1">
      <c r="A9302" s="198"/>
    </row>
    <row r="9303" spans="1:1" s="199" customFormat="1" ht="12" hidden="1" customHeight="1">
      <c r="A9303" s="198"/>
    </row>
    <row r="9304" spans="1:1" s="199" customFormat="1" ht="12" hidden="1" customHeight="1">
      <c r="A9304" s="198"/>
    </row>
    <row r="9305" spans="1:1" s="199" customFormat="1" ht="12" hidden="1" customHeight="1">
      <c r="A9305" s="198"/>
    </row>
    <row r="9306" spans="1:1" s="199" customFormat="1" ht="12" hidden="1" customHeight="1">
      <c r="A9306" s="198"/>
    </row>
    <row r="9307" spans="1:1" s="199" customFormat="1" ht="12" hidden="1" customHeight="1">
      <c r="A9307" s="198"/>
    </row>
    <row r="9308" spans="1:1" s="199" customFormat="1" ht="12" hidden="1" customHeight="1">
      <c r="A9308" s="198"/>
    </row>
    <row r="9309" spans="1:1" s="199" customFormat="1" ht="12" hidden="1" customHeight="1">
      <c r="A9309" s="198"/>
    </row>
    <row r="9310" spans="1:1" s="199" customFormat="1" ht="12" hidden="1" customHeight="1">
      <c r="A9310" s="198"/>
    </row>
    <row r="9311" spans="1:1" s="199" customFormat="1" ht="12" hidden="1" customHeight="1">
      <c r="A9311" s="198"/>
    </row>
    <row r="9312" spans="1:1" s="199" customFormat="1" ht="12" hidden="1" customHeight="1">
      <c r="A9312" s="198"/>
    </row>
    <row r="9313" spans="1:1" s="199" customFormat="1" ht="12" hidden="1" customHeight="1">
      <c r="A9313" s="198"/>
    </row>
    <row r="9314" spans="1:1" s="199" customFormat="1" ht="12" hidden="1" customHeight="1">
      <c r="A9314" s="198"/>
    </row>
    <row r="9315" spans="1:1" s="199" customFormat="1" ht="12" hidden="1" customHeight="1">
      <c r="A9315" s="198"/>
    </row>
    <row r="9316" spans="1:1" s="199" customFormat="1" ht="12" hidden="1" customHeight="1">
      <c r="A9316" s="198"/>
    </row>
    <row r="9317" spans="1:1" s="199" customFormat="1" ht="12" hidden="1" customHeight="1">
      <c r="A9317" s="198"/>
    </row>
    <row r="9318" spans="1:1" s="199" customFormat="1" ht="12" hidden="1" customHeight="1">
      <c r="A9318" s="198"/>
    </row>
    <row r="9319" spans="1:1" s="199" customFormat="1" ht="12" hidden="1" customHeight="1">
      <c r="A9319" s="198"/>
    </row>
    <row r="9320" spans="1:1" s="199" customFormat="1" ht="12" hidden="1" customHeight="1">
      <c r="A9320" s="198"/>
    </row>
    <row r="9321" spans="1:1" s="199" customFormat="1" ht="12" hidden="1" customHeight="1">
      <c r="A9321" s="198"/>
    </row>
    <row r="9322" spans="1:1" s="199" customFormat="1" ht="12" hidden="1" customHeight="1">
      <c r="A9322" s="198"/>
    </row>
    <row r="9323" spans="1:1" s="199" customFormat="1" ht="12" hidden="1" customHeight="1">
      <c r="A9323" s="198"/>
    </row>
    <row r="9324" spans="1:1" s="199" customFormat="1" ht="12" hidden="1" customHeight="1">
      <c r="A9324" s="198"/>
    </row>
    <row r="9325" spans="1:1" s="199" customFormat="1" ht="12" hidden="1" customHeight="1">
      <c r="A9325" s="198"/>
    </row>
    <row r="9326" spans="1:1" s="199" customFormat="1" ht="12" hidden="1" customHeight="1">
      <c r="A9326" s="198"/>
    </row>
    <row r="9327" spans="1:1" s="199" customFormat="1" ht="12" hidden="1" customHeight="1">
      <c r="A9327" s="198"/>
    </row>
    <row r="9328" spans="1:1" s="199" customFormat="1" ht="12" hidden="1" customHeight="1">
      <c r="A9328" s="198"/>
    </row>
    <row r="9329" spans="1:1" s="199" customFormat="1" ht="12" hidden="1" customHeight="1">
      <c r="A9329" s="198"/>
    </row>
    <row r="9330" spans="1:1" s="199" customFormat="1" ht="12" hidden="1" customHeight="1">
      <c r="A9330" s="198"/>
    </row>
    <row r="9331" spans="1:1" s="199" customFormat="1" ht="12" hidden="1" customHeight="1">
      <c r="A9331" s="198"/>
    </row>
    <row r="9332" spans="1:1" s="199" customFormat="1" ht="12" hidden="1" customHeight="1">
      <c r="A9332" s="198"/>
    </row>
    <row r="9333" spans="1:1" s="199" customFormat="1" ht="12" hidden="1" customHeight="1">
      <c r="A9333" s="198"/>
    </row>
    <row r="9334" spans="1:1" s="199" customFormat="1" ht="12" hidden="1" customHeight="1">
      <c r="A9334" s="198"/>
    </row>
    <row r="9335" spans="1:1" s="199" customFormat="1" ht="12" hidden="1" customHeight="1">
      <c r="A9335" s="198"/>
    </row>
    <row r="9336" spans="1:1" s="199" customFormat="1" ht="12" hidden="1" customHeight="1">
      <c r="A9336" s="198"/>
    </row>
    <row r="9337" spans="1:1" s="199" customFormat="1" ht="12" hidden="1" customHeight="1">
      <c r="A9337" s="198"/>
    </row>
    <row r="9338" spans="1:1" s="199" customFormat="1" ht="12" hidden="1" customHeight="1">
      <c r="A9338" s="198"/>
    </row>
    <row r="9339" spans="1:1" s="199" customFormat="1" ht="12" hidden="1" customHeight="1">
      <c r="A9339" s="198"/>
    </row>
    <row r="9340" spans="1:1" s="199" customFormat="1" ht="12" hidden="1" customHeight="1">
      <c r="A9340" s="198"/>
    </row>
    <row r="9341" spans="1:1" s="199" customFormat="1" ht="12" hidden="1" customHeight="1">
      <c r="A9341" s="198"/>
    </row>
    <row r="9342" spans="1:1" s="199" customFormat="1" ht="12" hidden="1" customHeight="1">
      <c r="A9342" s="198"/>
    </row>
    <row r="9343" spans="1:1" s="199" customFormat="1" ht="12" hidden="1" customHeight="1">
      <c r="A9343" s="198"/>
    </row>
    <row r="9344" spans="1:1" s="199" customFormat="1" ht="12" hidden="1" customHeight="1">
      <c r="A9344" s="198"/>
    </row>
    <row r="9345" spans="1:1" s="199" customFormat="1" ht="12" hidden="1" customHeight="1">
      <c r="A9345" s="198"/>
    </row>
    <row r="9346" spans="1:1" s="199" customFormat="1" ht="12" hidden="1" customHeight="1">
      <c r="A9346" s="198"/>
    </row>
    <row r="9347" spans="1:1" s="199" customFormat="1" ht="12" hidden="1" customHeight="1">
      <c r="A9347" s="198"/>
    </row>
    <row r="9348" spans="1:1" s="199" customFormat="1" ht="12" hidden="1" customHeight="1">
      <c r="A9348" s="198"/>
    </row>
    <row r="9349" spans="1:1" s="199" customFormat="1" ht="12" hidden="1" customHeight="1">
      <c r="A9349" s="198"/>
    </row>
    <row r="9350" spans="1:1" s="199" customFormat="1" ht="12" hidden="1" customHeight="1">
      <c r="A9350" s="198"/>
    </row>
    <row r="9351" spans="1:1" s="199" customFormat="1" ht="12" hidden="1" customHeight="1">
      <c r="A9351" s="198"/>
    </row>
    <row r="9352" spans="1:1" s="199" customFormat="1" ht="12" hidden="1" customHeight="1">
      <c r="A9352" s="198"/>
    </row>
    <row r="9353" spans="1:1" s="199" customFormat="1" ht="12" hidden="1" customHeight="1">
      <c r="A9353" s="198"/>
    </row>
    <row r="9354" spans="1:1" s="199" customFormat="1" ht="12" hidden="1" customHeight="1">
      <c r="A9354" s="198"/>
    </row>
    <row r="9355" spans="1:1" s="199" customFormat="1" ht="12" hidden="1" customHeight="1">
      <c r="A9355" s="198"/>
    </row>
    <row r="9356" spans="1:1" s="199" customFormat="1" ht="12" hidden="1" customHeight="1">
      <c r="A9356" s="198"/>
    </row>
    <row r="9357" spans="1:1" s="199" customFormat="1" ht="12" hidden="1" customHeight="1">
      <c r="A9357" s="198"/>
    </row>
    <row r="9358" spans="1:1" s="199" customFormat="1" ht="12" hidden="1" customHeight="1">
      <c r="A9358" s="198"/>
    </row>
    <row r="9359" spans="1:1" s="199" customFormat="1" ht="12" hidden="1" customHeight="1">
      <c r="A9359" s="198"/>
    </row>
    <row r="9360" spans="1:1" s="199" customFormat="1" ht="12" hidden="1" customHeight="1">
      <c r="A9360" s="198"/>
    </row>
    <row r="9361" spans="1:1" s="199" customFormat="1" ht="12" hidden="1" customHeight="1">
      <c r="A9361" s="198"/>
    </row>
    <row r="9362" spans="1:1" s="199" customFormat="1" ht="12" hidden="1" customHeight="1">
      <c r="A9362" s="198"/>
    </row>
    <row r="9363" spans="1:1" s="199" customFormat="1" ht="12" hidden="1" customHeight="1">
      <c r="A9363" s="198"/>
    </row>
    <row r="9364" spans="1:1" s="199" customFormat="1" ht="12" hidden="1" customHeight="1">
      <c r="A9364" s="198"/>
    </row>
    <row r="9365" spans="1:1" s="199" customFormat="1" ht="12" hidden="1" customHeight="1">
      <c r="A9365" s="198"/>
    </row>
    <row r="9366" spans="1:1" s="199" customFormat="1" ht="12" hidden="1" customHeight="1">
      <c r="A9366" s="198"/>
    </row>
    <row r="9367" spans="1:1" s="199" customFormat="1" ht="12" hidden="1" customHeight="1">
      <c r="A9367" s="198"/>
    </row>
    <row r="9368" spans="1:1" s="199" customFormat="1" ht="12" hidden="1" customHeight="1">
      <c r="A9368" s="198"/>
    </row>
    <row r="9369" spans="1:1" s="199" customFormat="1" ht="12" hidden="1" customHeight="1">
      <c r="A9369" s="198"/>
    </row>
    <row r="9370" spans="1:1" s="199" customFormat="1" ht="12" hidden="1" customHeight="1">
      <c r="A9370" s="198"/>
    </row>
    <row r="9371" spans="1:1" s="199" customFormat="1" ht="12" hidden="1" customHeight="1">
      <c r="A9371" s="198"/>
    </row>
    <row r="9372" spans="1:1" s="199" customFormat="1" ht="12" hidden="1" customHeight="1">
      <c r="A9372" s="198"/>
    </row>
    <row r="9373" spans="1:1" s="199" customFormat="1" ht="12" hidden="1" customHeight="1">
      <c r="A9373" s="198"/>
    </row>
    <row r="9374" spans="1:1" s="199" customFormat="1" ht="12" hidden="1" customHeight="1">
      <c r="A9374" s="198"/>
    </row>
    <row r="9375" spans="1:1" s="199" customFormat="1" ht="12" hidden="1" customHeight="1">
      <c r="A9375" s="198"/>
    </row>
    <row r="9376" spans="1:1" s="199" customFormat="1" ht="12" hidden="1" customHeight="1">
      <c r="A9376" s="198"/>
    </row>
    <row r="9377" spans="1:1" s="199" customFormat="1" ht="12" hidden="1" customHeight="1">
      <c r="A9377" s="198"/>
    </row>
    <row r="9378" spans="1:1" s="199" customFormat="1" ht="12" hidden="1" customHeight="1">
      <c r="A9378" s="198"/>
    </row>
    <row r="9379" spans="1:1" s="199" customFormat="1" ht="12" hidden="1" customHeight="1">
      <c r="A9379" s="198"/>
    </row>
    <row r="9380" spans="1:1" s="199" customFormat="1" ht="12" hidden="1" customHeight="1">
      <c r="A9380" s="198"/>
    </row>
    <row r="9381" spans="1:1" s="199" customFormat="1" ht="12" hidden="1" customHeight="1">
      <c r="A9381" s="198"/>
    </row>
    <row r="9382" spans="1:1" s="199" customFormat="1" ht="12" hidden="1" customHeight="1">
      <c r="A9382" s="198"/>
    </row>
    <row r="9383" spans="1:1" s="199" customFormat="1" ht="12" hidden="1" customHeight="1">
      <c r="A9383" s="198"/>
    </row>
    <row r="9384" spans="1:1" s="199" customFormat="1" ht="12" hidden="1" customHeight="1">
      <c r="A9384" s="198"/>
    </row>
    <row r="9385" spans="1:1" s="199" customFormat="1" ht="12" hidden="1" customHeight="1">
      <c r="A9385" s="198"/>
    </row>
    <row r="9386" spans="1:1" s="199" customFormat="1" ht="12" hidden="1" customHeight="1">
      <c r="A9386" s="198"/>
    </row>
    <row r="9387" spans="1:1" s="199" customFormat="1" ht="12" hidden="1" customHeight="1">
      <c r="A9387" s="198"/>
    </row>
    <row r="9388" spans="1:1" s="199" customFormat="1" ht="12" hidden="1" customHeight="1">
      <c r="A9388" s="198"/>
    </row>
    <row r="9389" spans="1:1" s="199" customFormat="1" ht="12" hidden="1" customHeight="1">
      <c r="A9389" s="198"/>
    </row>
    <row r="9390" spans="1:1" s="199" customFormat="1" ht="12" hidden="1" customHeight="1">
      <c r="A9390" s="198"/>
    </row>
    <row r="9391" spans="1:1" s="199" customFormat="1" ht="12" hidden="1" customHeight="1">
      <c r="A9391" s="198"/>
    </row>
    <row r="9392" spans="1:1" s="199" customFormat="1" ht="12" hidden="1" customHeight="1">
      <c r="A9392" s="198"/>
    </row>
    <row r="9393" spans="1:1" s="199" customFormat="1" ht="12" hidden="1" customHeight="1">
      <c r="A9393" s="198"/>
    </row>
    <row r="9394" spans="1:1" s="199" customFormat="1" ht="12" hidden="1" customHeight="1">
      <c r="A9394" s="198"/>
    </row>
    <row r="9395" spans="1:1" s="199" customFormat="1" ht="12" hidden="1" customHeight="1">
      <c r="A9395" s="198"/>
    </row>
    <row r="9396" spans="1:1" s="199" customFormat="1" ht="12" hidden="1" customHeight="1">
      <c r="A9396" s="198"/>
    </row>
    <row r="9397" spans="1:1" s="199" customFormat="1" ht="12" hidden="1" customHeight="1">
      <c r="A9397" s="198"/>
    </row>
    <row r="9398" spans="1:1" s="199" customFormat="1" ht="12" hidden="1" customHeight="1">
      <c r="A9398" s="198"/>
    </row>
    <row r="9399" spans="1:1" s="199" customFormat="1" ht="12" hidden="1" customHeight="1">
      <c r="A9399" s="198"/>
    </row>
    <row r="9400" spans="1:1" s="199" customFormat="1" ht="12" hidden="1" customHeight="1">
      <c r="A9400" s="198"/>
    </row>
    <row r="9401" spans="1:1" s="199" customFormat="1" ht="12" hidden="1" customHeight="1">
      <c r="A9401" s="198"/>
    </row>
    <row r="9402" spans="1:1" s="199" customFormat="1" ht="12" hidden="1" customHeight="1">
      <c r="A9402" s="198"/>
    </row>
    <row r="9403" spans="1:1" s="199" customFormat="1" ht="12" hidden="1" customHeight="1">
      <c r="A9403" s="198"/>
    </row>
    <row r="9404" spans="1:1" s="199" customFormat="1" ht="12" hidden="1" customHeight="1">
      <c r="A9404" s="198"/>
    </row>
    <row r="9405" spans="1:1" s="199" customFormat="1" ht="12" hidden="1" customHeight="1">
      <c r="A9405" s="198"/>
    </row>
    <row r="9406" spans="1:1" s="199" customFormat="1" ht="12" hidden="1" customHeight="1">
      <c r="A9406" s="198"/>
    </row>
    <row r="9407" spans="1:1" s="199" customFormat="1" ht="12" hidden="1" customHeight="1">
      <c r="A9407" s="198"/>
    </row>
    <row r="9408" spans="1:1" s="199" customFormat="1" ht="12" hidden="1" customHeight="1">
      <c r="A9408" s="198"/>
    </row>
    <row r="9409" spans="1:1" s="199" customFormat="1" ht="12" hidden="1" customHeight="1">
      <c r="A9409" s="198"/>
    </row>
    <row r="9410" spans="1:1" s="199" customFormat="1" ht="12" hidden="1" customHeight="1">
      <c r="A9410" s="198"/>
    </row>
    <row r="9411" spans="1:1" s="199" customFormat="1" ht="12" hidden="1" customHeight="1">
      <c r="A9411" s="198"/>
    </row>
    <row r="9412" spans="1:1" s="199" customFormat="1" ht="12" hidden="1" customHeight="1">
      <c r="A9412" s="198"/>
    </row>
    <row r="9413" spans="1:1" s="199" customFormat="1" ht="12" hidden="1" customHeight="1">
      <c r="A9413" s="198"/>
    </row>
    <row r="9414" spans="1:1" s="199" customFormat="1" ht="12" hidden="1" customHeight="1">
      <c r="A9414" s="198"/>
    </row>
    <row r="9415" spans="1:1" s="199" customFormat="1" ht="12" hidden="1" customHeight="1">
      <c r="A9415" s="198"/>
    </row>
    <row r="9416" spans="1:1" s="199" customFormat="1" ht="12" hidden="1" customHeight="1">
      <c r="A9416" s="198"/>
    </row>
    <row r="9417" spans="1:1" s="199" customFormat="1" ht="12" hidden="1" customHeight="1">
      <c r="A9417" s="198"/>
    </row>
    <row r="9418" spans="1:1" s="199" customFormat="1" ht="12" hidden="1" customHeight="1">
      <c r="A9418" s="198"/>
    </row>
    <row r="9419" spans="1:1" s="199" customFormat="1" ht="12" hidden="1" customHeight="1">
      <c r="A9419" s="198"/>
    </row>
    <row r="9420" spans="1:1" s="199" customFormat="1" ht="12" hidden="1" customHeight="1">
      <c r="A9420" s="198"/>
    </row>
    <row r="9421" spans="1:1" s="199" customFormat="1" ht="12" hidden="1" customHeight="1">
      <c r="A9421" s="198"/>
    </row>
    <row r="9422" spans="1:1" s="199" customFormat="1" ht="12" hidden="1" customHeight="1">
      <c r="A9422" s="198"/>
    </row>
    <row r="9423" spans="1:1" s="199" customFormat="1" ht="12" hidden="1" customHeight="1">
      <c r="A9423" s="198"/>
    </row>
    <row r="9424" spans="1:1" s="199" customFormat="1" ht="12" hidden="1" customHeight="1">
      <c r="A9424" s="198"/>
    </row>
    <row r="9425" spans="1:1" s="199" customFormat="1" ht="12" hidden="1" customHeight="1">
      <c r="A9425" s="198"/>
    </row>
    <row r="9426" spans="1:1" s="199" customFormat="1" ht="12" hidden="1" customHeight="1">
      <c r="A9426" s="198"/>
    </row>
    <row r="9427" spans="1:1" s="199" customFormat="1" ht="12" hidden="1" customHeight="1">
      <c r="A9427" s="198"/>
    </row>
    <row r="9428" spans="1:1" s="199" customFormat="1" ht="12" hidden="1" customHeight="1">
      <c r="A9428" s="198"/>
    </row>
    <row r="9429" spans="1:1" s="199" customFormat="1" ht="12" hidden="1" customHeight="1">
      <c r="A9429" s="198"/>
    </row>
    <row r="9430" spans="1:1" s="199" customFormat="1" ht="12" hidden="1" customHeight="1">
      <c r="A9430" s="198"/>
    </row>
    <row r="9431" spans="1:1" s="199" customFormat="1" ht="12" hidden="1" customHeight="1">
      <c r="A9431" s="198"/>
    </row>
    <row r="9432" spans="1:1" s="199" customFormat="1" ht="12" hidden="1" customHeight="1">
      <c r="A9432" s="198"/>
    </row>
    <row r="9433" spans="1:1" s="199" customFormat="1" ht="12" hidden="1" customHeight="1">
      <c r="A9433" s="198"/>
    </row>
    <row r="9434" spans="1:1" s="199" customFormat="1" ht="12" hidden="1" customHeight="1">
      <c r="A9434" s="198"/>
    </row>
    <row r="9435" spans="1:1" s="199" customFormat="1" ht="12" hidden="1" customHeight="1">
      <c r="A9435" s="198"/>
    </row>
    <row r="9436" spans="1:1" s="199" customFormat="1" ht="12" hidden="1" customHeight="1">
      <c r="A9436" s="198"/>
    </row>
    <row r="9437" spans="1:1" s="199" customFormat="1" ht="12" hidden="1" customHeight="1">
      <c r="A9437" s="198"/>
    </row>
    <row r="9438" spans="1:1" s="199" customFormat="1" ht="12" hidden="1" customHeight="1">
      <c r="A9438" s="198"/>
    </row>
    <row r="9439" spans="1:1" s="199" customFormat="1" ht="12" hidden="1" customHeight="1">
      <c r="A9439" s="198"/>
    </row>
    <row r="9440" spans="1:1" s="199" customFormat="1" ht="12" hidden="1" customHeight="1">
      <c r="A9440" s="198"/>
    </row>
    <row r="9441" spans="1:1" s="199" customFormat="1" ht="12" hidden="1" customHeight="1">
      <c r="A9441" s="198"/>
    </row>
    <row r="9442" spans="1:1" s="199" customFormat="1" ht="12" hidden="1" customHeight="1">
      <c r="A9442" s="198"/>
    </row>
    <row r="9443" spans="1:1" s="199" customFormat="1" ht="12" hidden="1" customHeight="1">
      <c r="A9443" s="198"/>
    </row>
    <row r="9444" spans="1:1" s="199" customFormat="1" ht="12" hidden="1" customHeight="1">
      <c r="A9444" s="198"/>
    </row>
    <row r="9445" spans="1:1" s="199" customFormat="1" ht="12" hidden="1" customHeight="1">
      <c r="A9445" s="198"/>
    </row>
    <row r="9446" spans="1:1" s="199" customFormat="1" ht="12" hidden="1" customHeight="1">
      <c r="A9446" s="198"/>
    </row>
    <row r="9447" spans="1:1" s="199" customFormat="1" ht="12" hidden="1" customHeight="1">
      <c r="A9447" s="198"/>
    </row>
    <row r="9448" spans="1:1" s="199" customFormat="1" ht="12" hidden="1" customHeight="1">
      <c r="A9448" s="198"/>
    </row>
    <row r="9449" spans="1:1" s="199" customFormat="1" ht="12" hidden="1" customHeight="1">
      <c r="A9449" s="198"/>
    </row>
    <row r="9450" spans="1:1" s="199" customFormat="1" ht="12" hidden="1" customHeight="1">
      <c r="A9450" s="198"/>
    </row>
    <row r="9451" spans="1:1" s="199" customFormat="1" ht="12" hidden="1" customHeight="1">
      <c r="A9451" s="198"/>
    </row>
    <row r="9452" spans="1:1" s="199" customFormat="1" ht="12" hidden="1" customHeight="1">
      <c r="A9452" s="198"/>
    </row>
    <row r="9453" spans="1:1" s="199" customFormat="1" ht="12" hidden="1" customHeight="1">
      <c r="A9453" s="198"/>
    </row>
    <row r="9454" spans="1:1" s="199" customFormat="1" ht="12" hidden="1" customHeight="1">
      <c r="A9454" s="198"/>
    </row>
    <row r="9455" spans="1:1" s="199" customFormat="1" ht="12" hidden="1" customHeight="1">
      <c r="A9455" s="198"/>
    </row>
    <row r="9456" spans="1:1" s="199" customFormat="1" ht="12" hidden="1" customHeight="1">
      <c r="A9456" s="198"/>
    </row>
    <row r="9457" spans="1:1" s="199" customFormat="1" ht="12" hidden="1" customHeight="1">
      <c r="A9457" s="198"/>
    </row>
    <row r="9458" spans="1:1" s="199" customFormat="1" ht="12" hidden="1" customHeight="1">
      <c r="A9458" s="198"/>
    </row>
    <row r="9459" spans="1:1" s="199" customFormat="1" ht="12" hidden="1" customHeight="1">
      <c r="A9459" s="198"/>
    </row>
    <row r="9460" spans="1:1" s="199" customFormat="1" ht="12" hidden="1" customHeight="1">
      <c r="A9460" s="198"/>
    </row>
    <row r="9461" spans="1:1" s="199" customFormat="1" ht="12" hidden="1" customHeight="1">
      <c r="A9461" s="198"/>
    </row>
    <row r="9462" spans="1:1" s="199" customFormat="1" ht="12" hidden="1" customHeight="1">
      <c r="A9462" s="198"/>
    </row>
    <row r="9463" spans="1:1" s="199" customFormat="1" ht="12" hidden="1" customHeight="1">
      <c r="A9463" s="198"/>
    </row>
    <row r="9464" spans="1:1" s="199" customFormat="1" ht="12" hidden="1" customHeight="1">
      <c r="A9464" s="198"/>
    </row>
    <row r="9465" spans="1:1" s="199" customFormat="1" ht="12" hidden="1" customHeight="1">
      <c r="A9465" s="198"/>
    </row>
    <row r="9466" spans="1:1" s="199" customFormat="1" ht="12" hidden="1" customHeight="1">
      <c r="A9466" s="198"/>
    </row>
    <row r="9467" spans="1:1" s="199" customFormat="1" ht="12" hidden="1" customHeight="1">
      <c r="A9467" s="198"/>
    </row>
    <row r="9468" spans="1:1" s="199" customFormat="1" ht="12" hidden="1" customHeight="1">
      <c r="A9468" s="198"/>
    </row>
    <row r="9469" spans="1:1" s="199" customFormat="1" ht="12" hidden="1" customHeight="1">
      <c r="A9469" s="198"/>
    </row>
    <row r="9470" spans="1:1" s="199" customFormat="1" ht="12" hidden="1" customHeight="1">
      <c r="A9470" s="198"/>
    </row>
    <row r="9471" spans="1:1" s="199" customFormat="1" ht="12" hidden="1" customHeight="1">
      <c r="A9471" s="198"/>
    </row>
    <row r="9472" spans="1:1" s="199" customFormat="1" ht="12" hidden="1" customHeight="1">
      <c r="A9472" s="198"/>
    </row>
    <row r="9473" spans="1:1" s="199" customFormat="1" ht="12" hidden="1" customHeight="1">
      <c r="A9473" s="198"/>
    </row>
    <row r="9474" spans="1:1" s="199" customFormat="1" ht="12" hidden="1" customHeight="1">
      <c r="A9474" s="198"/>
    </row>
    <row r="9475" spans="1:1" s="199" customFormat="1" ht="12" hidden="1" customHeight="1">
      <c r="A9475" s="198"/>
    </row>
    <row r="9476" spans="1:1" s="199" customFormat="1" ht="12" hidden="1" customHeight="1">
      <c r="A9476" s="198"/>
    </row>
    <row r="9477" spans="1:1" s="199" customFormat="1" ht="12" hidden="1" customHeight="1">
      <c r="A9477" s="198"/>
    </row>
    <row r="9478" spans="1:1" s="199" customFormat="1" ht="12" hidden="1" customHeight="1">
      <c r="A9478" s="198"/>
    </row>
    <row r="9479" spans="1:1" s="199" customFormat="1" ht="12" hidden="1" customHeight="1">
      <c r="A9479" s="198"/>
    </row>
    <row r="9480" spans="1:1" s="199" customFormat="1" ht="12" hidden="1" customHeight="1">
      <c r="A9480" s="198"/>
    </row>
    <row r="9481" spans="1:1" s="199" customFormat="1" ht="12" hidden="1" customHeight="1">
      <c r="A9481" s="198"/>
    </row>
    <row r="9482" spans="1:1" s="199" customFormat="1" ht="12" hidden="1" customHeight="1">
      <c r="A9482" s="198"/>
    </row>
    <row r="9483" spans="1:1" s="199" customFormat="1" ht="12" hidden="1" customHeight="1">
      <c r="A9483" s="198"/>
    </row>
    <row r="9484" spans="1:1" s="199" customFormat="1" ht="12" hidden="1" customHeight="1">
      <c r="A9484" s="198"/>
    </row>
    <row r="9485" spans="1:1" s="199" customFormat="1" ht="12" hidden="1" customHeight="1">
      <c r="A9485" s="198"/>
    </row>
    <row r="9486" spans="1:1" s="199" customFormat="1" ht="12" hidden="1" customHeight="1">
      <c r="A9486" s="198"/>
    </row>
    <row r="9487" spans="1:1" s="199" customFormat="1" ht="12" hidden="1" customHeight="1">
      <c r="A9487" s="198"/>
    </row>
    <row r="9488" spans="1:1" s="199" customFormat="1" ht="12" hidden="1" customHeight="1">
      <c r="A9488" s="198"/>
    </row>
    <row r="9489" spans="1:1" s="199" customFormat="1" ht="12" hidden="1" customHeight="1">
      <c r="A9489" s="198"/>
    </row>
    <row r="9490" spans="1:1" s="199" customFormat="1" ht="12" hidden="1" customHeight="1">
      <c r="A9490" s="198"/>
    </row>
    <row r="9491" spans="1:1" s="199" customFormat="1" ht="12" hidden="1" customHeight="1">
      <c r="A9491" s="198"/>
    </row>
    <row r="9492" spans="1:1" s="199" customFormat="1" ht="12" hidden="1" customHeight="1">
      <c r="A9492" s="198"/>
    </row>
    <row r="9493" spans="1:1" s="199" customFormat="1" ht="12" hidden="1" customHeight="1">
      <c r="A9493" s="198"/>
    </row>
    <row r="9494" spans="1:1" s="199" customFormat="1" ht="12" hidden="1" customHeight="1">
      <c r="A9494" s="198"/>
    </row>
    <row r="9495" spans="1:1" s="199" customFormat="1" ht="12" hidden="1" customHeight="1">
      <c r="A9495" s="198"/>
    </row>
    <row r="9496" spans="1:1" s="199" customFormat="1" ht="12" hidden="1" customHeight="1">
      <c r="A9496" s="198"/>
    </row>
    <row r="9497" spans="1:1" s="199" customFormat="1" ht="12" hidden="1" customHeight="1">
      <c r="A9497" s="198"/>
    </row>
    <row r="9498" spans="1:1" s="199" customFormat="1" ht="12" hidden="1" customHeight="1">
      <c r="A9498" s="198"/>
    </row>
    <row r="9499" spans="1:1" s="199" customFormat="1" ht="12" hidden="1" customHeight="1">
      <c r="A9499" s="198"/>
    </row>
    <row r="9500" spans="1:1" s="199" customFormat="1" ht="12" hidden="1" customHeight="1">
      <c r="A9500" s="198"/>
    </row>
    <row r="9501" spans="1:1" s="199" customFormat="1" ht="12" hidden="1" customHeight="1">
      <c r="A9501" s="198"/>
    </row>
    <row r="9502" spans="1:1" s="199" customFormat="1" ht="12" hidden="1" customHeight="1">
      <c r="A9502" s="198"/>
    </row>
    <row r="9503" spans="1:1" s="199" customFormat="1" ht="12" hidden="1" customHeight="1">
      <c r="A9503" s="198"/>
    </row>
    <row r="9504" spans="1:1" s="199" customFormat="1" ht="12" hidden="1" customHeight="1">
      <c r="A9504" s="198"/>
    </row>
    <row r="9505" spans="1:1" s="199" customFormat="1" ht="12" hidden="1" customHeight="1">
      <c r="A9505" s="198"/>
    </row>
    <row r="9506" spans="1:1" s="199" customFormat="1" ht="12" hidden="1" customHeight="1">
      <c r="A9506" s="198"/>
    </row>
    <row r="9507" spans="1:1" s="199" customFormat="1" ht="12" hidden="1" customHeight="1">
      <c r="A9507" s="198"/>
    </row>
    <row r="9508" spans="1:1" s="199" customFormat="1" ht="12" hidden="1" customHeight="1">
      <c r="A9508" s="198"/>
    </row>
    <row r="9509" spans="1:1" s="199" customFormat="1" ht="12" hidden="1" customHeight="1">
      <c r="A9509" s="198"/>
    </row>
    <row r="9510" spans="1:1" s="199" customFormat="1" ht="12" hidden="1" customHeight="1">
      <c r="A9510" s="198"/>
    </row>
    <row r="9511" spans="1:1" s="199" customFormat="1" ht="12" hidden="1" customHeight="1">
      <c r="A9511" s="198"/>
    </row>
    <row r="9512" spans="1:1" s="199" customFormat="1" ht="12" hidden="1" customHeight="1">
      <c r="A9512" s="198"/>
    </row>
    <row r="9513" spans="1:1" s="199" customFormat="1" ht="12" hidden="1" customHeight="1">
      <c r="A9513" s="198"/>
    </row>
    <row r="9514" spans="1:1" s="199" customFormat="1" ht="12" hidden="1" customHeight="1">
      <c r="A9514" s="198"/>
    </row>
    <row r="9515" spans="1:1" s="199" customFormat="1" ht="12" hidden="1" customHeight="1">
      <c r="A9515" s="198"/>
    </row>
    <row r="9516" spans="1:1" s="199" customFormat="1" ht="12" hidden="1" customHeight="1">
      <c r="A9516" s="198"/>
    </row>
    <row r="9517" spans="1:1" s="199" customFormat="1" ht="12" hidden="1" customHeight="1">
      <c r="A9517" s="198"/>
    </row>
    <row r="9518" spans="1:1" s="199" customFormat="1" ht="12" hidden="1" customHeight="1">
      <c r="A9518" s="198"/>
    </row>
    <row r="9519" spans="1:1" s="199" customFormat="1" ht="12" hidden="1" customHeight="1">
      <c r="A9519" s="198"/>
    </row>
    <row r="9520" spans="1:1" s="199" customFormat="1" ht="12" hidden="1" customHeight="1">
      <c r="A9520" s="198"/>
    </row>
    <row r="9521" spans="1:1" s="199" customFormat="1" ht="12" hidden="1" customHeight="1">
      <c r="A9521" s="198"/>
    </row>
    <row r="9522" spans="1:1" s="199" customFormat="1" ht="12" hidden="1" customHeight="1">
      <c r="A9522" s="198"/>
    </row>
    <row r="9523" spans="1:1" s="199" customFormat="1" ht="12" hidden="1" customHeight="1">
      <c r="A9523" s="198"/>
    </row>
    <row r="9524" spans="1:1" s="199" customFormat="1" ht="12" hidden="1" customHeight="1">
      <c r="A9524" s="198"/>
    </row>
    <row r="9525" spans="1:1" s="199" customFormat="1" ht="12" hidden="1" customHeight="1">
      <c r="A9525" s="198"/>
    </row>
    <row r="9526" spans="1:1" s="199" customFormat="1" ht="12" hidden="1" customHeight="1">
      <c r="A9526" s="198"/>
    </row>
    <row r="9527" spans="1:1" s="199" customFormat="1" ht="12" hidden="1" customHeight="1">
      <c r="A9527" s="198"/>
    </row>
    <row r="9528" spans="1:1" s="199" customFormat="1" ht="12" hidden="1" customHeight="1">
      <c r="A9528" s="198"/>
    </row>
    <row r="9529" spans="1:1" s="199" customFormat="1" ht="12" hidden="1" customHeight="1">
      <c r="A9529" s="198"/>
    </row>
    <row r="9530" spans="1:1" s="199" customFormat="1" ht="12" hidden="1" customHeight="1">
      <c r="A9530" s="198"/>
    </row>
    <row r="9531" spans="1:1" s="199" customFormat="1" ht="12" hidden="1" customHeight="1">
      <c r="A9531" s="198"/>
    </row>
    <row r="9532" spans="1:1" s="199" customFormat="1" ht="12" hidden="1" customHeight="1">
      <c r="A9532" s="198"/>
    </row>
    <row r="9533" spans="1:1" s="199" customFormat="1" ht="12" hidden="1" customHeight="1">
      <c r="A9533" s="198"/>
    </row>
    <row r="9534" spans="1:1" s="199" customFormat="1" ht="12" hidden="1" customHeight="1">
      <c r="A9534" s="198"/>
    </row>
    <row r="9535" spans="1:1" s="199" customFormat="1" ht="12" hidden="1" customHeight="1">
      <c r="A9535" s="198"/>
    </row>
    <row r="9536" spans="1:1" s="199" customFormat="1" ht="12" hidden="1" customHeight="1">
      <c r="A9536" s="198"/>
    </row>
    <row r="9537" spans="1:1" s="199" customFormat="1" ht="12" hidden="1" customHeight="1">
      <c r="A9537" s="198"/>
    </row>
    <row r="9538" spans="1:1" s="199" customFormat="1" ht="12" hidden="1" customHeight="1">
      <c r="A9538" s="198"/>
    </row>
    <row r="9539" spans="1:1" s="199" customFormat="1" ht="12" hidden="1" customHeight="1">
      <c r="A9539" s="198"/>
    </row>
    <row r="9540" spans="1:1" s="199" customFormat="1" ht="12" hidden="1" customHeight="1">
      <c r="A9540" s="198"/>
    </row>
    <row r="9541" spans="1:1" s="199" customFormat="1" ht="12" hidden="1" customHeight="1">
      <c r="A9541" s="198"/>
    </row>
    <row r="9542" spans="1:1" s="199" customFormat="1" ht="12" hidden="1" customHeight="1">
      <c r="A9542" s="198"/>
    </row>
    <row r="9543" spans="1:1" s="199" customFormat="1" ht="12" hidden="1" customHeight="1">
      <c r="A9543" s="198"/>
    </row>
    <row r="9544" spans="1:1" s="199" customFormat="1" ht="12" hidden="1" customHeight="1">
      <c r="A9544" s="198"/>
    </row>
    <row r="9545" spans="1:1" s="199" customFormat="1" ht="12" hidden="1" customHeight="1">
      <c r="A9545" s="198"/>
    </row>
    <row r="9546" spans="1:1" s="199" customFormat="1" ht="12" hidden="1" customHeight="1">
      <c r="A9546" s="198"/>
    </row>
    <row r="9547" spans="1:1" s="199" customFormat="1" ht="12" hidden="1" customHeight="1">
      <c r="A9547" s="198"/>
    </row>
    <row r="9548" spans="1:1" s="199" customFormat="1" ht="12" hidden="1" customHeight="1">
      <c r="A9548" s="198"/>
    </row>
    <row r="9549" spans="1:1" s="199" customFormat="1" ht="12" hidden="1" customHeight="1">
      <c r="A9549" s="198"/>
    </row>
    <row r="9550" spans="1:1" s="199" customFormat="1" ht="12" hidden="1" customHeight="1">
      <c r="A9550" s="198"/>
    </row>
    <row r="9551" spans="1:1" s="199" customFormat="1" ht="12" hidden="1" customHeight="1">
      <c r="A9551" s="198"/>
    </row>
    <row r="9552" spans="1:1" s="199" customFormat="1" ht="12" hidden="1" customHeight="1">
      <c r="A9552" s="198"/>
    </row>
    <row r="9553" spans="1:1" s="199" customFormat="1" ht="12" hidden="1" customHeight="1">
      <c r="A9553" s="198"/>
    </row>
    <row r="9554" spans="1:1" s="199" customFormat="1" ht="12" hidden="1" customHeight="1">
      <c r="A9554" s="198"/>
    </row>
    <row r="9555" spans="1:1" s="199" customFormat="1" ht="12" hidden="1" customHeight="1">
      <c r="A9555" s="198"/>
    </row>
    <row r="9556" spans="1:1" s="199" customFormat="1" ht="12" hidden="1" customHeight="1">
      <c r="A9556" s="198"/>
    </row>
    <row r="9557" spans="1:1" s="199" customFormat="1" ht="12" hidden="1" customHeight="1">
      <c r="A9557" s="198"/>
    </row>
    <row r="9558" spans="1:1" s="199" customFormat="1" ht="12" hidden="1" customHeight="1">
      <c r="A9558" s="198"/>
    </row>
    <row r="9559" spans="1:1" s="199" customFormat="1" ht="12" hidden="1" customHeight="1">
      <c r="A9559" s="198"/>
    </row>
    <row r="9560" spans="1:1" s="199" customFormat="1" ht="12" hidden="1" customHeight="1">
      <c r="A9560" s="198"/>
    </row>
    <row r="9561" spans="1:1" s="199" customFormat="1" ht="12" hidden="1" customHeight="1">
      <c r="A9561" s="198"/>
    </row>
    <row r="9562" spans="1:1" s="199" customFormat="1" ht="12" hidden="1" customHeight="1">
      <c r="A9562" s="198"/>
    </row>
    <row r="9563" spans="1:1" s="199" customFormat="1" ht="12" hidden="1" customHeight="1">
      <c r="A9563" s="198"/>
    </row>
    <row r="9564" spans="1:1" s="199" customFormat="1" ht="12" hidden="1" customHeight="1">
      <c r="A9564" s="198"/>
    </row>
    <row r="9565" spans="1:1" s="199" customFormat="1" ht="12" hidden="1" customHeight="1">
      <c r="A9565" s="198"/>
    </row>
    <row r="9566" spans="1:1" s="199" customFormat="1" ht="12" hidden="1" customHeight="1">
      <c r="A9566" s="198"/>
    </row>
    <row r="9567" spans="1:1" s="199" customFormat="1" ht="12" hidden="1" customHeight="1">
      <c r="A9567" s="198"/>
    </row>
    <row r="9568" spans="1:1" s="199" customFormat="1" ht="12" hidden="1" customHeight="1">
      <c r="A9568" s="198"/>
    </row>
    <row r="9569" spans="1:1" s="199" customFormat="1" ht="12" hidden="1" customHeight="1">
      <c r="A9569" s="198"/>
    </row>
    <row r="9570" spans="1:1" s="199" customFormat="1" ht="12" hidden="1" customHeight="1">
      <c r="A9570" s="198"/>
    </row>
    <row r="9571" spans="1:1" s="199" customFormat="1" ht="12" hidden="1" customHeight="1">
      <c r="A9571" s="198"/>
    </row>
    <row r="9572" spans="1:1" s="199" customFormat="1" ht="12" hidden="1" customHeight="1">
      <c r="A9572" s="198"/>
    </row>
    <row r="9573" spans="1:1" s="199" customFormat="1" ht="12" hidden="1" customHeight="1">
      <c r="A9573" s="198"/>
    </row>
    <row r="9574" spans="1:1" s="199" customFormat="1" ht="12" hidden="1" customHeight="1">
      <c r="A9574" s="198"/>
    </row>
    <row r="9575" spans="1:1" s="199" customFormat="1" ht="12" hidden="1" customHeight="1">
      <c r="A9575" s="198"/>
    </row>
    <row r="9576" spans="1:1" s="199" customFormat="1" ht="12" hidden="1" customHeight="1">
      <c r="A9576" s="198"/>
    </row>
    <row r="9577" spans="1:1" s="199" customFormat="1" ht="12" hidden="1" customHeight="1">
      <c r="A9577" s="198"/>
    </row>
    <row r="9578" spans="1:1" s="199" customFormat="1" ht="12" hidden="1" customHeight="1">
      <c r="A9578" s="198"/>
    </row>
    <row r="9579" spans="1:1" s="199" customFormat="1" ht="12" hidden="1" customHeight="1">
      <c r="A9579" s="198"/>
    </row>
    <row r="9580" spans="1:1" s="199" customFormat="1" ht="12" hidden="1" customHeight="1">
      <c r="A9580" s="198"/>
    </row>
    <row r="9581" spans="1:1" s="199" customFormat="1" ht="12" hidden="1" customHeight="1">
      <c r="A9581" s="198"/>
    </row>
    <row r="9582" spans="1:1" s="199" customFormat="1" ht="12" hidden="1" customHeight="1">
      <c r="A9582" s="198"/>
    </row>
    <row r="9583" spans="1:1" s="199" customFormat="1" ht="12" hidden="1" customHeight="1">
      <c r="A9583" s="198"/>
    </row>
    <row r="9584" spans="1:1" s="199" customFormat="1" ht="12" hidden="1" customHeight="1">
      <c r="A9584" s="198"/>
    </row>
    <row r="9585" spans="1:1" s="199" customFormat="1" ht="12" hidden="1" customHeight="1">
      <c r="A9585" s="198"/>
    </row>
    <row r="9586" spans="1:1" s="199" customFormat="1" ht="12" hidden="1" customHeight="1">
      <c r="A9586" s="198"/>
    </row>
    <row r="9587" spans="1:1" s="199" customFormat="1" ht="12" hidden="1" customHeight="1">
      <c r="A9587" s="198"/>
    </row>
    <row r="9588" spans="1:1" s="199" customFormat="1" ht="12" hidden="1" customHeight="1">
      <c r="A9588" s="198"/>
    </row>
    <row r="9589" spans="1:1" s="199" customFormat="1" ht="12" hidden="1" customHeight="1">
      <c r="A9589" s="198"/>
    </row>
    <row r="9590" spans="1:1" s="199" customFormat="1" ht="12" hidden="1" customHeight="1">
      <c r="A9590" s="198"/>
    </row>
    <row r="9591" spans="1:1" s="199" customFormat="1" ht="12" hidden="1" customHeight="1">
      <c r="A9591" s="198"/>
    </row>
    <row r="9592" spans="1:1" s="199" customFormat="1" ht="12" hidden="1" customHeight="1">
      <c r="A9592" s="198"/>
    </row>
    <row r="9593" spans="1:1" s="199" customFormat="1" ht="12" hidden="1" customHeight="1">
      <c r="A9593" s="198"/>
    </row>
    <row r="9594" spans="1:1" s="199" customFormat="1" ht="12" hidden="1" customHeight="1">
      <c r="A9594" s="198"/>
    </row>
    <row r="9595" spans="1:1" s="199" customFormat="1" ht="12" hidden="1" customHeight="1">
      <c r="A9595" s="198"/>
    </row>
    <row r="9596" spans="1:1" s="199" customFormat="1" ht="12" hidden="1" customHeight="1">
      <c r="A9596" s="198"/>
    </row>
    <row r="9597" spans="1:1" s="199" customFormat="1" ht="12" hidden="1" customHeight="1">
      <c r="A9597" s="198"/>
    </row>
    <row r="9598" spans="1:1" s="199" customFormat="1" ht="12" hidden="1" customHeight="1">
      <c r="A9598" s="198"/>
    </row>
    <row r="9599" spans="1:1" s="199" customFormat="1" ht="12" hidden="1" customHeight="1">
      <c r="A9599" s="198"/>
    </row>
    <row r="9600" spans="1:1" s="199" customFormat="1" ht="12" hidden="1" customHeight="1">
      <c r="A9600" s="198"/>
    </row>
    <row r="9601" spans="1:1" s="199" customFormat="1" ht="12" hidden="1" customHeight="1">
      <c r="A9601" s="198"/>
    </row>
    <row r="9602" spans="1:1" s="199" customFormat="1" ht="12" hidden="1" customHeight="1">
      <c r="A9602" s="198"/>
    </row>
    <row r="9603" spans="1:1" s="199" customFormat="1" ht="12" hidden="1" customHeight="1">
      <c r="A9603" s="198"/>
    </row>
    <row r="9604" spans="1:1" s="199" customFormat="1" ht="12" hidden="1" customHeight="1">
      <c r="A9604" s="198"/>
    </row>
    <row r="9605" spans="1:1" s="199" customFormat="1" ht="12" hidden="1" customHeight="1">
      <c r="A9605" s="198"/>
    </row>
    <row r="9606" spans="1:1" s="199" customFormat="1" ht="12" hidden="1" customHeight="1">
      <c r="A9606" s="198"/>
    </row>
    <row r="9607" spans="1:1" s="199" customFormat="1" ht="12" hidden="1" customHeight="1">
      <c r="A9607" s="198"/>
    </row>
    <row r="9608" spans="1:1" s="199" customFormat="1" ht="12" hidden="1" customHeight="1">
      <c r="A9608" s="198"/>
    </row>
    <row r="9609" spans="1:1" s="199" customFormat="1" ht="12" hidden="1" customHeight="1">
      <c r="A9609" s="198"/>
    </row>
    <row r="9610" spans="1:1" s="199" customFormat="1" ht="12" hidden="1" customHeight="1">
      <c r="A9610" s="198"/>
    </row>
    <row r="9611" spans="1:1" s="199" customFormat="1" ht="12" hidden="1" customHeight="1">
      <c r="A9611" s="198"/>
    </row>
    <row r="9612" spans="1:1" s="199" customFormat="1" ht="12" hidden="1" customHeight="1">
      <c r="A9612" s="198"/>
    </row>
    <row r="9613" spans="1:1" s="199" customFormat="1" ht="12" hidden="1" customHeight="1">
      <c r="A9613" s="198"/>
    </row>
    <row r="9614" spans="1:1" s="199" customFormat="1" ht="12" hidden="1" customHeight="1">
      <c r="A9614" s="198"/>
    </row>
    <row r="9615" spans="1:1" s="199" customFormat="1" ht="12" hidden="1" customHeight="1">
      <c r="A9615" s="198"/>
    </row>
    <row r="9616" spans="1:1" s="199" customFormat="1" ht="12" hidden="1" customHeight="1">
      <c r="A9616" s="198"/>
    </row>
    <row r="9617" spans="1:1" s="199" customFormat="1" ht="12" hidden="1" customHeight="1">
      <c r="A9617" s="198"/>
    </row>
    <row r="9618" spans="1:1" s="199" customFormat="1" ht="12" hidden="1" customHeight="1">
      <c r="A9618" s="198"/>
    </row>
    <row r="9619" spans="1:1" s="199" customFormat="1" ht="12" hidden="1" customHeight="1">
      <c r="A9619" s="198"/>
    </row>
    <row r="9620" spans="1:1" s="199" customFormat="1" ht="12" hidden="1" customHeight="1">
      <c r="A9620" s="198"/>
    </row>
    <row r="9621" spans="1:1" s="199" customFormat="1" ht="12" hidden="1" customHeight="1">
      <c r="A9621" s="198"/>
    </row>
    <row r="9622" spans="1:1" s="199" customFormat="1" ht="12" hidden="1" customHeight="1">
      <c r="A9622" s="198"/>
    </row>
    <row r="9623" spans="1:1" s="199" customFormat="1" ht="12" hidden="1" customHeight="1">
      <c r="A9623" s="198"/>
    </row>
    <row r="9624" spans="1:1" s="199" customFormat="1" ht="12" hidden="1" customHeight="1">
      <c r="A9624" s="198"/>
    </row>
    <row r="9625" spans="1:1" s="199" customFormat="1" ht="12" hidden="1" customHeight="1">
      <c r="A9625" s="198"/>
    </row>
    <row r="9626" spans="1:1" s="199" customFormat="1" ht="12" hidden="1" customHeight="1">
      <c r="A9626" s="198"/>
    </row>
    <row r="9627" spans="1:1" s="199" customFormat="1" ht="12" hidden="1" customHeight="1">
      <c r="A9627" s="198"/>
    </row>
    <row r="9628" spans="1:1" s="199" customFormat="1" ht="12" hidden="1" customHeight="1">
      <c r="A9628" s="198"/>
    </row>
    <row r="9629" spans="1:1" s="199" customFormat="1" ht="12" hidden="1" customHeight="1">
      <c r="A9629" s="198"/>
    </row>
    <row r="9630" spans="1:1" s="199" customFormat="1" ht="12" hidden="1" customHeight="1">
      <c r="A9630" s="198"/>
    </row>
    <row r="9631" spans="1:1" s="199" customFormat="1" ht="12" hidden="1" customHeight="1">
      <c r="A9631" s="198"/>
    </row>
    <row r="9632" spans="1:1" s="199" customFormat="1" ht="12" hidden="1" customHeight="1">
      <c r="A9632" s="198"/>
    </row>
    <row r="9633" spans="1:1" s="199" customFormat="1" ht="12" hidden="1" customHeight="1">
      <c r="A9633" s="198"/>
    </row>
    <row r="9634" spans="1:1" s="199" customFormat="1" ht="12" hidden="1" customHeight="1">
      <c r="A9634" s="198"/>
    </row>
    <row r="9635" spans="1:1" s="199" customFormat="1" ht="12" hidden="1" customHeight="1">
      <c r="A9635" s="198"/>
    </row>
    <row r="9636" spans="1:1" s="199" customFormat="1" ht="12" hidden="1" customHeight="1">
      <c r="A9636" s="198"/>
    </row>
    <row r="9637" spans="1:1" s="199" customFormat="1" ht="12" hidden="1" customHeight="1">
      <c r="A9637" s="198"/>
    </row>
    <row r="9638" spans="1:1" s="199" customFormat="1" ht="12" hidden="1" customHeight="1">
      <c r="A9638" s="198"/>
    </row>
    <row r="9639" spans="1:1" s="199" customFormat="1" ht="12" hidden="1" customHeight="1">
      <c r="A9639" s="198"/>
    </row>
    <row r="9640" spans="1:1" s="199" customFormat="1" ht="12" hidden="1" customHeight="1">
      <c r="A9640" s="198"/>
    </row>
    <row r="9641" spans="1:1" s="199" customFormat="1" ht="12" hidden="1" customHeight="1">
      <c r="A9641" s="198"/>
    </row>
    <row r="9642" spans="1:1" s="199" customFormat="1" ht="12" hidden="1" customHeight="1">
      <c r="A9642" s="198"/>
    </row>
    <row r="9643" spans="1:1" s="199" customFormat="1" ht="12" hidden="1" customHeight="1">
      <c r="A9643" s="198"/>
    </row>
    <row r="9644" spans="1:1" s="199" customFormat="1" ht="12" hidden="1" customHeight="1">
      <c r="A9644" s="198"/>
    </row>
    <row r="9645" spans="1:1" s="199" customFormat="1" ht="12" hidden="1" customHeight="1">
      <c r="A9645" s="198"/>
    </row>
    <row r="9646" spans="1:1" s="199" customFormat="1" ht="12" hidden="1" customHeight="1">
      <c r="A9646" s="198"/>
    </row>
    <row r="9647" spans="1:1" s="199" customFormat="1" ht="12" hidden="1" customHeight="1">
      <c r="A9647" s="198"/>
    </row>
    <row r="9648" spans="1:1" s="199" customFormat="1" ht="12" hidden="1" customHeight="1">
      <c r="A9648" s="198"/>
    </row>
    <row r="9649" spans="1:1" s="199" customFormat="1" ht="12" hidden="1" customHeight="1">
      <c r="A9649" s="198"/>
    </row>
    <row r="9650" spans="1:1" s="199" customFormat="1" ht="12" hidden="1" customHeight="1">
      <c r="A9650" s="198"/>
    </row>
    <row r="9651" spans="1:1" s="199" customFormat="1" ht="12" hidden="1" customHeight="1">
      <c r="A9651" s="198"/>
    </row>
    <row r="9652" spans="1:1" s="199" customFormat="1" ht="12" hidden="1" customHeight="1">
      <c r="A9652" s="198"/>
    </row>
    <row r="9653" spans="1:1" s="199" customFormat="1" ht="12" hidden="1" customHeight="1">
      <c r="A9653" s="198"/>
    </row>
    <row r="9654" spans="1:1" s="199" customFormat="1" ht="12" hidden="1" customHeight="1">
      <c r="A9654" s="198"/>
    </row>
    <row r="9655" spans="1:1" s="199" customFormat="1" ht="12" hidden="1" customHeight="1">
      <c r="A9655" s="198"/>
    </row>
    <row r="9656" spans="1:1" s="199" customFormat="1" ht="12" hidden="1" customHeight="1">
      <c r="A9656" s="198"/>
    </row>
    <row r="9657" spans="1:1" s="199" customFormat="1" ht="12" hidden="1" customHeight="1">
      <c r="A9657" s="198"/>
    </row>
    <row r="9658" spans="1:1" s="199" customFormat="1" ht="12" hidden="1" customHeight="1">
      <c r="A9658" s="198"/>
    </row>
    <row r="9659" spans="1:1" s="199" customFormat="1" ht="12" hidden="1" customHeight="1">
      <c r="A9659" s="198"/>
    </row>
    <row r="9660" spans="1:1" s="199" customFormat="1" ht="12" hidden="1" customHeight="1">
      <c r="A9660" s="198"/>
    </row>
    <row r="9661" spans="1:1" s="199" customFormat="1" ht="12" hidden="1" customHeight="1">
      <c r="A9661" s="198"/>
    </row>
    <row r="9662" spans="1:1" s="199" customFormat="1" ht="12" hidden="1" customHeight="1">
      <c r="A9662" s="198"/>
    </row>
    <row r="9663" spans="1:1" s="199" customFormat="1" ht="12" hidden="1" customHeight="1">
      <c r="A9663" s="198"/>
    </row>
    <row r="9664" spans="1:1" s="199" customFormat="1" ht="12" hidden="1" customHeight="1">
      <c r="A9664" s="198"/>
    </row>
    <row r="9665" spans="1:1" s="199" customFormat="1" ht="12" hidden="1" customHeight="1">
      <c r="A9665" s="198"/>
    </row>
    <row r="9666" spans="1:1" s="199" customFormat="1" ht="12" hidden="1" customHeight="1">
      <c r="A9666" s="198"/>
    </row>
    <row r="9667" spans="1:1" s="199" customFormat="1" ht="12" hidden="1" customHeight="1">
      <c r="A9667" s="198"/>
    </row>
    <row r="9668" spans="1:1" s="199" customFormat="1" ht="12" hidden="1" customHeight="1">
      <c r="A9668" s="198"/>
    </row>
    <row r="9669" spans="1:1" s="199" customFormat="1" ht="12" hidden="1" customHeight="1">
      <c r="A9669" s="198"/>
    </row>
    <row r="9670" spans="1:1" s="199" customFormat="1" ht="12" hidden="1" customHeight="1">
      <c r="A9670" s="198"/>
    </row>
    <row r="9671" spans="1:1" s="199" customFormat="1" ht="12" hidden="1" customHeight="1">
      <c r="A9671" s="198"/>
    </row>
    <row r="9672" spans="1:1" s="199" customFormat="1" ht="12" hidden="1" customHeight="1">
      <c r="A9672" s="198"/>
    </row>
    <row r="9673" spans="1:1" s="199" customFormat="1" ht="12" hidden="1" customHeight="1">
      <c r="A9673" s="198"/>
    </row>
    <row r="9674" spans="1:1" s="199" customFormat="1" ht="12" hidden="1" customHeight="1">
      <c r="A9674" s="198"/>
    </row>
    <row r="9675" spans="1:1" s="199" customFormat="1" ht="12" hidden="1" customHeight="1">
      <c r="A9675" s="198"/>
    </row>
    <row r="9676" spans="1:1" s="199" customFormat="1" ht="12" hidden="1" customHeight="1">
      <c r="A9676" s="198"/>
    </row>
    <row r="9677" spans="1:1" s="199" customFormat="1" ht="12" hidden="1" customHeight="1">
      <c r="A9677" s="198"/>
    </row>
    <row r="9678" spans="1:1" s="199" customFormat="1" ht="12" hidden="1" customHeight="1">
      <c r="A9678" s="198"/>
    </row>
    <row r="9679" spans="1:1" s="199" customFormat="1" ht="12" hidden="1" customHeight="1">
      <c r="A9679" s="198"/>
    </row>
    <row r="9680" spans="1:1" s="199" customFormat="1" ht="12" hidden="1" customHeight="1">
      <c r="A9680" s="198"/>
    </row>
    <row r="9681" spans="1:1" s="199" customFormat="1" ht="12" hidden="1" customHeight="1">
      <c r="A9681" s="198"/>
    </row>
    <row r="9682" spans="1:1" s="199" customFormat="1" ht="12" hidden="1" customHeight="1">
      <c r="A9682" s="198"/>
    </row>
    <row r="9683" spans="1:1" s="199" customFormat="1" ht="12" hidden="1" customHeight="1">
      <c r="A9683" s="198"/>
    </row>
    <row r="9684" spans="1:1" s="199" customFormat="1" ht="12" hidden="1" customHeight="1">
      <c r="A9684" s="198"/>
    </row>
    <row r="9685" spans="1:1" s="199" customFormat="1" ht="12" hidden="1" customHeight="1">
      <c r="A9685" s="198"/>
    </row>
    <row r="9686" spans="1:1" s="199" customFormat="1" ht="12" hidden="1" customHeight="1">
      <c r="A9686" s="198"/>
    </row>
    <row r="9687" spans="1:1" s="199" customFormat="1" ht="12" hidden="1" customHeight="1">
      <c r="A9687" s="198"/>
    </row>
    <row r="9688" spans="1:1" s="199" customFormat="1" ht="12" hidden="1" customHeight="1">
      <c r="A9688" s="198"/>
    </row>
    <row r="9689" spans="1:1" s="199" customFormat="1" ht="12" hidden="1" customHeight="1">
      <c r="A9689" s="198"/>
    </row>
    <row r="9690" spans="1:1" s="199" customFormat="1" ht="12" hidden="1" customHeight="1">
      <c r="A9690" s="198"/>
    </row>
    <row r="9691" spans="1:1" s="199" customFormat="1" ht="12" hidden="1" customHeight="1">
      <c r="A9691" s="198"/>
    </row>
    <row r="9692" spans="1:1" s="199" customFormat="1" ht="12" hidden="1" customHeight="1">
      <c r="A9692" s="198"/>
    </row>
    <row r="9693" spans="1:1" s="199" customFormat="1" ht="12" hidden="1" customHeight="1">
      <c r="A9693" s="198"/>
    </row>
    <row r="9694" spans="1:1" s="199" customFormat="1" ht="12" hidden="1" customHeight="1">
      <c r="A9694" s="198"/>
    </row>
    <row r="9695" spans="1:1" s="199" customFormat="1" ht="12" hidden="1" customHeight="1">
      <c r="A9695" s="198"/>
    </row>
    <row r="9696" spans="1:1" s="199" customFormat="1" ht="12" hidden="1" customHeight="1">
      <c r="A9696" s="198"/>
    </row>
    <row r="9697" spans="1:1" s="199" customFormat="1" ht="12" hidden="1" customHeight="1">
      <c r="A9697" s="198"/>
    </row>
    <row r="9698" spans="1:1" s="199" customFormat="1" ht="12" hidden="1" customHeight="1">
      <c r="A9698" s="198"/>
    </row>
    <row r="9699" spans="1:1" s="199" customFormat="1" ht="12" hidden="1" customHeight="1">
      <c r="A9699" s="198"/>
    </row>
    <row r="9700" spans="1:1" s="199" customFormat="1" ht="12" hidden="1" customHeight="1">
      <c r="A9700" s="198"/>
    </row>
    <row r="9701" spans="1:1" s="199" customFormat="1" ht="12" hidden="1" customHeight="1">
      <c r="A9701" s="198"/>
    </row>
    <row r="9702" spans="1:1" s="199" customFormat="1" ht="12" hidden="1" customHeight="1">
      <c r="A9702" s="198"/>
    </row>
    <row r="9703" spans="1:1" s="199" customFormat="1" ht="12" hidden="1" customHeight="1">
      <c r="A9703" s="198"/>
    </row>
    <row r="9704" spans="1:1" s="199" customFormat="1" ht="12" hidden="1" customHeight="1">
      <c r="A9704" s="198"/>
    </row>
    <row r="9705" spans="1:1" s="199" customFormat="1" ht="12" hidden="1" customHeight="1">
      <c r="A9705" s="198"/>
    </row>
    <row r="9706" spans="1:1" s="199" customFormat="1" ht="12" hidden="1" customHeight="1">
      <c r="A9706" s="198"/>
    </row>
    <row r="9707" spans="1:1" s="199" customFormat="1" ht="12" hidden="1" customHeight="1">
      <c r="A9707" s="198"/>
    </row>
    <row r="9708" spans="1:1" s="199" customFormat="1" ht="12" hidden="1" customHeight="1">
      <c r="A9708" s="198"/>
    </row>
    <row r="9709" spans="1:1" s="199" customFormat="1" ht="12" hidden="1" customHeight="1">
      <c r="A9709" s="198"/>
    </row>
    <row r="9710" spans="1:1" s="199" customFormat="1" ht="12" hidden="1" customHeight="1">
      <c r="A9710" s="198"/>
    </row>
    <row r="9711" spans="1:1" s="199" customFormat="1" ht="12" hidden="1" customHeight="1">
      <c r="A9711" s="198"/>
    </row>
    <row r="9712" spans="1:1" s="199" customFormat="1" ht="12" hidden="1" customHeight="1">
      <c r="A9712" s="198"/>
    </row>
    <row r="9713" spans="1:1" s="199" customFormat="1" ht="12" hidden="1" customHeight="1">
      <c r="A9713" s="198"/>
    </row>
    <row r="9714" spans="1:1" s="199" customFormat="1" ht="12" hidden="1" customHeight="1">
      <c r="A9714" s="198"/>
    </row>
    <row r="9715" spans="1:1" s="199" customFormat="1" ht="12" hidden="1" customHeight="1">
      <c r="A9715" s="198"/>
    </row>
    <row r="9716" spans="1:1" s="199" customFormat="1" ht="12" hidden="1" customHeight="1">
      <c r="A9716" s="198"/>
    </row>
    <row r="9717" spans="1:1" s="199" customFormat="1" ht="12" hidden="1" customHeight="1">
      <c r="A9717" s="198"/>
    </row>
    <row r="9718" spans="1:1" s="199" customFormat="1" ht="12" hidden="1" customHeight="1">
      <c r="A9718" s="198"/>
    </row>
    <row r="9719" spans="1:1" s="199" customFormat="1" ht="12" hidden="1" customHeight="1">
      <c r="A9719" s="198"/>
    </row>
    <row r="9720" spans="1:1" s="199" customFormat="1" ht="12" hidden="1" customHeight="1">
      <c r="A9720" s="198"/>
    </row>
    <row r="9721" spans="1:1" s="199" customFormat="1" ht="12" hidden="1" customHeight="1">
      <c r="A9721" s="198"/>
    </row>
    <row r="9722" spans="1:1" s="199" customFormat="1" ht="12" hidden="1" customHeight="1">
      <c r="A9722" s="198"/>
    </row>
    <row r="9723" spans="1:1" s="199" customFormat="1" ht="12" hidden="1" customHeight="1">
      <c r="A9723" s="198"/>
    </row>
    <row r="9724" spans="1:1" s="199" customFormat="1" ht="12" hidden="1" customHeight="1">
      <c r="A9724" s="198"/>
    </row>
    <row r="9725" spans="1:1" s="199" customFormat="1" ht="12" hidden="1" customHeight="1">
      <c r="A9725" s="198"/>
    </row>
    <row r="9726" spans="1:1" s="199" customFormat="1" ht="12" hidden="1" customHeight="1">
      <c r="A9726" s="198"/>
    </row>
    <row r="9727" spans="1:1" s="199" customFormat="1" ht="12" hidden="1" customHeight="1">
      <c r="A9727" s="198"/>
    </row>
    <row r="9728" spans="1:1" s="199" customFormat="1" ht="12" hidden="1" customHeight="1">
      <c r="A9728" s="198"/>
    </row>
    <row r="9729" spans="1:1" s="199" customFormat="1" ht="12" hidden="1" customHeight="1">
      <c r="A9729" s="198"/>
    </row>
    <row r="9730" spans="1:1" s="199" customFormat="1" ht="12" hidden="1" customHeight="1">
      <c r="A9730" s="198"/>
    </row>
    <row r="9731" spans="1:1" s="199" customFormat="1" ht="12" hidden="1" customHeight="1">
      <c r="A9731" s="198"/>
    </row>
    <row r="9732" spans="1:1" s="199" customFormat="1" ht="12" hidden="1" customHeight="1">
      <c r="A9732" s="198"/>
    </row>
    <row r="9733" spans="1:1" s="199" customFormat="1" ht="12" hidden="1" customHeight="1">
      <c r="A9733" s="198"/>
    </row>
    <row r="9734" spans="1:1" s="199" customFormat="1" ht="12" hidden="1" customHeight="1">
      <c r="A9734" s="198"/>
    </row>
    <row r="9735" spans="1:1" s="199" customFormat="1" ht="12" hidden="1" customHeight="1">
      <c r="A9735" s="198"/>
    </row>
    <row r="9736" spans="1:1" s="199" customFormat="1" ht="12" hidden="1" customHeight="1">
      <c r="A9736" s="198"/>
    </row>
    <row r="9737" spans="1:1" s="199" customFormat="1" ht="12" hidden="1" customHeight="1">
      <c r="A9737" s="198"/>
    </row>
    <row r="9738" spans="1:1" s="199" customFormat="1" ht="12" hidden="1" customHeight="1">
      <c r="A9738" s="198"/>
    </row>
    <row r="9739" spans="1:1" s="199" customFormat="1" ht="12" hidden="1" customHeight="1">
      <c r="A9739" s="198"/>
    </row>
    <row r="9740" spans="1:1" s="199" customFormat="1" ht="12" hidden="1" customHeight="1">
      <c r="A9740" s="198"/>
    </row>
    <row r="9741" spans="1:1" s="199" customFormat="1" ht="12" hidden="1" customHeight="1">
      <c r="A9741" s="198"/>
    </row>
    <row r="9742" spans="1:1" s="199" customFormat="1" ht="12" hidden="1" customHeight="1">
      <c r="A9742" s="198"/>
    </row>
    <row r="9743" spans="1:1" s="199" customFormat="1" ht="12" hidden="1" customHeight="1">
      <c r="A9743" s="198"/>
    </row>
    <row r="9744" spans="1:1" s="199" customFormat="1" ht="12" hidden="1" customHeight="1">
      <c r="A9744" s="198"/>
    </row>
    <row r="9745" spans="1:1" s="199" customFormat="1" ht="12" hidden="1" customHeight="1">
      <c r="A9745" s="198"/>
    </row>
    <row r="9746" spans="1:1" s="199" customFormat="1" ht="12" hidden="1" customHeight="1">
      <c r="A9746" s="198"/>
    </row>
    <row r="9747" spans="1:1" s="199" customFormat="1" ht="12" hidden="1" customHeight="1">
      <c r="A9747" s="198"/>
    </row>
    <row r="9748" spans="1:1" s="199" customFormat="1" ht="12" hidden="1" customHeight="1">
      <c r="A9748" s="198"/>
    </row>
    <row r="9749" spans="1:1" s="199" customFormat="1" ht="12" hidden="1" customHeight="1">
      <c r="A9749" s="198"/>
    </row>
    <row r="9750" spans="1:1" s="199" customFormat="1" ht="12" hidden="1" customHeight="1">
      <c r="A9750" s="198"/>
    </row>
    <row r="9751" spans="1:1" s="199" customFormat="1" ht="12" hidden="1" customHeight="1">
      <c r="A9751" s="198"/>
    </row>
    <row r="9752" spans="1:1" s="199" customFormat="1" ht="12" hidden="1" customHeight="1">
      <c r="A9752" s="198"/>
    </row>
    <row r="9753" spans="1:1" s="199" customFormat="1" ht="12" hidden="1" customHeight="1">
      <c r="A9753" s="198"/>
    </row>
    <row r="9754" spans="1:1" s="199" customFormat="1" ht="12" hidden="1" customHeight="1">
      <c r="A9754" s="198"/>
    </row>
    <row r="9755" spans="1:1" s="199" customFormat="1" ht="12" hidden="1" customHeight="1">
      <c r="A9755" s="198"/>
    </row>
    <row r="9756" spans="1:1" s="199" customFormat="1" ht="12" hidden="1" customHeight="1">
      <c r="A9756" s="198"/>
    </row>
    <row r="9757" spans="1:1" s="199" customFormat="1" ht="12" hidden="1" customHeight="1">
      <c r="A9757" s="198"/>
    </row>
    <row r="9758" spans="1:1" s="199" customFormat="1" ht="12" hidden="1" customHeight="1">
      <c r="A9758" s="198"/>
    </row>
    <row r="9759" spans="1:1" s="199" customFormat="1" ht="12" hidden="1" customHeight="1">
      <c r="A9759" s="198"/>
    </row>
    <row r="9760" spans="1:1" s="199" customFormat="1" ht="12" hidden="1" customHeight="1">
      <c r="A9760" s="198"/>
    </row>
    <row r="9761" spans="1:1" s="199" customFormat="1" ht="12" hidden="1" customHeight="1">
      <c r="A9761" s="198"/>
    </row>
    <row r="9762" spans="1:1" s="199" customFormat="1" ht="12" hidden="1" customHeight="1">
      <c r="A9762" s="198"/>
    </row>
    <row r="9763" spans="1:1" s="199" customFormat="1" ht="12" hidden="1" customHeight="1">
      <c r="A9763" s="198"/>
    </row>
    <row r="9764" spans="1:1" s="199" customFormat="1" ht="12" hidden="1" customHeight="1">
      <c r="A9764" s="198"/>
    </row>
    <row r="9765" spans="1:1" s="199" customFormat="1" ht="12" hidden="1" customHeight="1">
      <c r="A9765" s="198"/>
    </row>
    <row r="9766" spans="1:1" s="199" customFormat="1" ht="12" hidden="1" customHeight="1">
      <c r="A9766" s="198"/>
    </row>
    <row r="9767" spans="1:1" s="199" customFormat="1" ht="12" hidden="1" customHeight="1">
      <c r="A9767" s="198"/>
    </row>
    <row r="9768" spans="1:1" s="199" customFormat="1" ht="12" hidden="1" customHeight="1">
      <c r="A9768" s="198"/>
    </row>
    <row r="9769" spans="1:1" s="199" customFormat="1" ht="12" hidden="1" customHeight="1">
      <c r="A9769" s="198"/>
    </row>
    <row r="9770" spans="1:1" s="199" customFormat="1" ht="12" hidden="1" customHeight="1">
      <c r="A9770" s="198"/>
    </row>
    <row r="9771" spans="1:1" s="199" customFormat="1" ht="12" hidden="1" customHeight="1">
      <c r="A9771" s="198"/>
    </row>
    <row r="9772" spans="1:1" s="199" customFormat="1" ht="12" hidden="1" customHeight="1">
      <c r="A9772" s="198"/>
    </row>
    <row r="9773" spans="1:1" s="199" customFormat="1" ht="12" hidden="1" customHeight="1">
      <c r="A9773" s="198"/>
    </row>
    <row r="9774" spans="1:1" s="199" customFormat="1" ht="12" hidden="1" customHeight="1">
      <c r="A9774" s="198"/>
    </row>
    <row r="9775" spans="1:1" s="199" customFormat="1" ht="12" hidden="1" customHeight="1">
      <c r="A9775" s="198"/>
    </row>
    <row r="9776" spans="1:1" s="199" customFormat="1" ht="12" hidden="1" customHeight="1">
      <c r="A9776" s="198"/>
    </row>
    <row r="9777" spans="1:1" s="199" customFormat="1" ht="12" hidden="1" customHeight="1">
      <c r="A9777" s="198"/>
    </row>
    <row r="9778" spans="1:1" s="199" customFormat="1" ht="12" hidden="1" customHeight="1">
      <c r="A9778" s="198"/>
    </row>
    <row r="9779" spans="1:1" s="199" customFormat="1" ht="12" hidden="1" customHeight="1">
      <c r="A9779" s="198"/>
    </row>
    <row r="9780" spans="1:1" s="199" customFormat="1" ht="12" hidden="1" customHeight="1">
      <c r="A9780" s="198"/>
    </row>
    <row r="9781" spans="1:1" s="199" customFormat="1" ht="12" hidden="1" customHeight="1">
      <c r="A9781" s="198"/>
    </row>
    <row r="9782" spans="1:1" s="199" customFormat="1" ht="12" hidden="1" customHeight="1">
      <c r="A9782" s="198"/>
    </row>
    <row r="9783" spans="1:1" s="199" customFormat="1" ht="12" hidden="1" customHeight="1">
      <c r="A9783" s="198"/>
    </row>
    <row r="9784" spans="1:1" s="199" customFormat="1" ht="12" hidden="1" customHeight="1">
      <c r="A9784" s="198"/>
    </row>
    <row r="9785" spans="1:1" s="199" customFormat="1" ht="12" hidden="1" customHeight="1">
      <c r="A9785" s="198"/>
    </row>
    <row r="9786" spans="1:1" s="199" customFormat="1" ht="12" hidden="1" customHeight="1">
      <c r="A9786" s="198"/>
    </row>
    <row r="9787" spans="1:1" s="199" customFormat="1" ht="12" hidden="1" customHeight="1">
      <c r="A9787" s="198"/>
    </row>
    <row r="9788" spans="1:1" s="199" customFormat="1" ht="12" hidden="1" customHeight="1">
      <c r="A9788" s="198"/>
    </row>
    <row r="9789" spans="1:1" s="199" customFormat="1" ht="12" hidden="1" customHeight="1">
      <c r="A9789" s="198"/>
    </row>
    <row r="9790" spans="1:1" s="199" customFormat="1" ht="12" hidden="1" customHeight="1">
      <c r="A9790" s="198"/>
    </row>
    <row r="9791" spans="1:1" s="199" customFormat="1" ht="12" hidden="1" customHeight="1">
      <c r="A9791" s="198"/>
    </row>
    <row r="9792" spans="1:1" s="199" customFormat="1" ht="12" hidden="1" customHeight="1">
      <c r="A9792" s="198"/>
    </row>
    <row r="9793" spans="1:1" s="199" customFormat="1" ht="12" hidden="1" customHeight="1">
      <c r="A9793" s="198"/>
    </row>
    <row r="9794" spans="1:1" s="199" customFormat="1" ht="12" hidden="1" customHeight="1">
      <c r="A9794" s="198"/>
    </row>
    <row r="9795" spans="1:1" s="199" customFormat="1" ht="12" hidden="1" customHeight="1">
      <c r="A9795" s="198"/>
    </row>
    <row r="9796" spans="1:1" s="199" customFormat="1" ht="12" hidden="1" customHeight="1">
      <c r="A9796" s="198"/>
    </row>
    <row r="9797" spans="1:1" s="199" customFormat="1" ht="12" hidden="1" customHeight="1">
      <c r="A9797" s="198"/>
    </row>
    <row r="9798" spans="1:1" s="199" customFormat="1" ht="12" hidden="1" customHeight="1">
      <c r="A9798" s="198"/>
    </row>
    <row r="9799" spans="1:1" s="199" customFormat="1" ht="12" hidden="1" customHeight="1">
      <c r="A9799" s="198"/>
    </row>
    <row r="9800" spans="1:1" s="199" customFormat="1" ht="12" hidden="1" customHeight="1">
      <c r="A9800" s="198"/>
    </row>
    <row r="9801" spans="1:1" s="199" customFormat="1" ht="12" hidden="1" customHeight="1">
      <c r="A9801" s="198"/>
    </row>
    <row r="9802" spans="1:1" s="199" customFormat="1" ht="12" hidden="1" customHeight="1">
      <c r="A9802" s="198"/>
    </row>
    <row r="9803" spans="1:1" s="199" customFormat="1" ht="12" hidden="1" customHeight="1">
      <c r="A9803" s="198"/>
    </row>
    <row r="9804" spans="1:1" s="199" customFormat="1" ht="12" hidden="1" customHeight="1">
      <c r="A9804" s="198"/>
    </row>
    <row r="9805" spans="1:1" s="199" customFormat="1" ht="12" hidden="1" customHeight="1">
      <c r="A9805" s="198"/>
    </row>
    <row r="9806" spans="1:1" s="199" customFormat="1" ht="12" hidden="1" customHeight="1">
      <c r="A9806" s="198"/>
    </row>
    <row r="9807" spans="1:1" s="199" customFormat="1" ht="12" hidden="1" customHeight="1">
      <c r="A9807" s="198"/>
    </row>
    <row r="9808" spans="1:1" s="199" customFormat="1" ht="12" hidden="1" customHeight="1">
      <c r="A9808" s="198"/>
    </row>
    <row r="9809" spans="1:1" s="199" customFormat="1" ht="12" hidden="1" customHeight="1">
      <c r="A9809" s="198"/>
    </row>
    <row r="9810" spans="1:1" s="199" customFormat="1" ht="12" hidden="1" customHeight="1">
      <c r="A9810" s="198"/>
    </row>
    <row r="9811" spans="1:1" s="199" customFormat="1" ht="12" hidden="1" customHeight="1">
      <c r="A9811" s="198"/>
    </row>
    <row r="9812" spans="1:1" s="199" customFormat="1" ht="12" hidden="1" customHeight="1">
      <c r="A9812" s="198"/>
    </row>
    <row r="9813" spans="1:1" s="199" customFormat="1" ht="12" hidden="1" customHeight="1">
      <c r="A9813" s="198"/>
    </row>
    <row r="9814" spans="1:1" s="199" customFormat="1" ht="12" hidden="1" customHeight="1">
      <c r="A9814" s="198"/>
    </row>
    <row r="9815" spans="1:1" s="199" customFormat="1" ht="12" hidden="1" customHeight="1">
      <c r="A9815" s="198"/>
    </row>
    <row r="9816" spans="1:1" s="199" customFormat="1" ht="12" hidden="1" customHeight="1">
      <c r="A9816" s="198"/>
    </row>
    <row r="9817" spans="1:1" s="199" customFormat="1" ht="12" hidden="1" customHeight="1">
      <c r="A9817" s="198"/>
    </row>
    <row r="9818" spans="1:1" s="199" customFormat="1" ht="12" hidden="1" customHeight="1">
      <c r="A9818" s="198"/>
    </row>
    <row r="9819" spans="1:1" s="199" customFormat="1" ht="12" hidden="1" customHeight="1">
      <c r="A9819" s="198"/>
    </row>
    <row r="9820" spans="1:1" s="199" customFormat="1" ht="12" hidden="1" customHeight="1">
      <c r="A9820" s="198"/>
    </row>
    <row r="9821" spans="1:1" s="199" customFormat="1" ht="12" hidden="1" customHeight="1">
      <c r="A9821" s="198"/>
    </row>
    <row r="9822" spans="1:1" s="199" customFormat="1" ht="12" hidden="1" customHeight="1">
      <c r="A9822" s="198"/>
    </row>
    <row r="9823" spans="1:1" s="199" customFormat="1" ht="12" hidden="1" customHeight="1">
      <c r="A9823" s="198"/>
    </row>
    <row r="9824" spans="1:1" s="199" customFormat="1" ht="12" hidden="1" customHeight="1">
      <c r="A9824" s="198"/>
    </row>
    <row r="9825" spans="1:1" s="199" customFormat="1" ht="12" hidden="1" customHeight="1">
      <c r="A9825" s="198"/>
    </row>
    <row r="9826" spans="1:1" s="199" customFormat="1" ht="12" hidden="1" customHeight="1">
      <c r="A9826" s="198"/>
    </row>
    <row r="9827" spans="1:1" s="199" customFormat="1" ht="12" hidden="1" customHeight="1">
      <c r="A9827" s="198"/>
    </row>
    <row r="9828" spans="1:1" s="199" customFormat="1" ht="12" hidden="1" customHeight="1">
      <c r="A9828" s="198"/>
    </row>
    <row r="9829" spans="1:1" s="199" customFormat="1" ht="12" hidden="1" customHeight="1">
      <c r="A9829" s="198"/>
    </row>
    <row r="9830" spans="1:1" s="199" customFormat="1" ht="12" hidden="1" customHeight="1">
      <c r="A9830" s="198"/>
    </row>
    <row r="9831" spans="1:1" s="199" customFormat="1" ht="12" hidden="1" customHeight="1">
      <c r="A9831" s="198"/>
    </row>
    <row r="9832" spans="1:1" s="199" customFormat="1" ht="12" hidden="1" customHeight="1">
      <c r="A9832" s="198"/>
    </row>
    <row r="9833" spans="1:1" s="199" customFormat="1" ht="12" hidden="1" customHeight="1">
      <c r="A9833" s="198"/>
    </row>
    <row r="9834" spans="1:1" s="199" customFormat="1" ht="12" hidden="1" customHeight="1">
      <c r="A9834" s="198"/>
    </row>
    <row r="9835" spans="1:1" s="199" customFormat="1" ht="12" hidden="1" customHeight="1">
      <c r="A9835" s="198"/>
    </row>
    <row r="9836" spans="1:1" s="199" customFormat="1" ht="12" hidden="1" customHeight="1">
      <c r="A9836" s="198"/>
    </row>
    <row r="9837" spans="1:1" s="199" customFormat="1" ht="12" hidden="1" customHeight="1">
      <c r="A9837" s="198"/>
    </row>
    <row r="9838" spans="1:1" s="199" customFormat="1" ht="12" hidden="1" customHeight="1">
      <c r="A9838" s="198"/>
    </row>
    <row r="9839" spans="1:1" s="199" customFormat="1" ht="12" hidden="1" customHeight="1">
      <c r="A9839" s="198"/>
    </row>
    <row r="9840" spans="1:1" s="199" customFormat="1" ht="12" hidden="1" customHeight="1">
      <c r="A9840" s="198"/>
    </row>
    <row r="9841" spans="1:1" s="199" customFormat="1" ht="12" hidden="1" customHeight="1">
      <c r="A9841" s="198"/>
    </row>
    <row r="9842" spans="1:1" s="199" customFormat="1" ht="12" hidden="1" customHeight="1">
      <c r="A9842" s="198"/>
    </row>
    <row r="9843" spans="1:1" s="199" customFormat="1" ht="12" hidden="1" customHeight="1">
      <c r="A9843" s="198"/>
    </row>
    <row r="9844" spans="1:1" s="199" customFormat="1" ht="12" hidden="1" customHeight="1">
      <c r="A9844" s="198"/>
    </row>
    <row r="9845" spans="1:1" s="199" customFormat="1" ht="12" hidden="1" customHeight="1">
      <c r="A9845" s="198"/>
    </row>
    <row r="9846" spans="1:1" s="199" customFormat="1" ht="12" hidden="1" customHeight="1">
      <c r="A9846" s="198"/>
    </row>
    <row r="9847" spans="1:1" s="199" customFormat="1" ht="12" hidden="1" customHeight="1">
      <c r="A9847" s="198"/>
    </row>
    <row r="9848" spans="1:1" s="199" customFormat="1" ht="12" hidden="1" customHeight="1">
      <c r="A9848" s="198"/>
    </row>
    <row r="9849" spans="1:1" s="199" customFormat="1" ht="12" hidden="1" customHeight="1">
      <c r="A9849" s="198"/>
    </row>
    <row r="9850" spans="1:1" s="199" customFormat="1" ht="12" hidden="1" customHeight="1">
      <c r="A9850" s="198"/>
    </row>
    <row r="9851" spans="1:1" s="199" customFormat="1" ht="12" hidden="1" customHeight="1">
      <c r="A9851" s="198"/>
    </row>
    <row r="9852" spans="1:1" s="199" customFormat="1" ht="12" hidden="1" customHeight="1">
      <c r="A9852" s="198"/>
    </row>
    <row r="9853" spans="1:1" s="199" customFormat="1" ht="12" hidden="1" customHeight="1">
      <c r="A9853" s="198"/>
    </row>
    <row r="9854" spans="1:1" s="199" customFormat="1" ht="12" hidden="1" customHeight="1">
      <c r="A9854" s="198"/>
    </row>
    <row r="9855" spans="1:1" s="199" customFormat="1" ht="12" hidden="1" customHeight="1">
      <c r="A9855" s="198"/>
    </row>
    <row r="9856" spans="1:1" s="199" customFormat="1" ht="12" hidden="1" customHeight="1">
      <c r="A9856" s="198"/>
    </row>
    <row r="9857" spans="1:1" s="199" customFormat="1" ht="12" hidden="1" customHeight="1">
      <c r="A9857" s="198"/>
    </row>
    <row r="9858" spans="1:1" s="199" customFormat="1" ht="12" hidden="1" customHeight="1">
      <c r="A9858" s="198"/>
    </row>
    <row r="9859" spans="1:1" s="199" customFormat="1" ht="12" hidden="1" customHeight="1">
      <c r="A9859" s="198"/>
    </row>
    <row r="9860" spans="1:1" s="199" customFormat="1" ht="12" hidden="1" customHeight="1">
      <c r="A9860" s="198"/>
    </row>
    <row r="9861" spans="1:1" s="199" customFormat="1" ht="12" hidden="1" customHeight="1">
      <c r="A9861" s="198"/>
    </row>
    <row r="9862" spans="1:1" s="199" customFormat="1" ht="12" hidden="1" customHeight="1">
      <c r="A9862" s="198"/>
    </row>
    <row r="9863" spans="1:1" s="199" customFormat="1" ht="12" hidden="1" customHeight="1">
      <c r="A9863" s="198"/>
    </row>
    <row r="9864" spans="1:1" s="199" customFormat="1" ht="12" hidden="1" customHeight="1">
      <c r="A9864" s="198"/>
    </row>
    <row r="9865" spans="1:1" s="199" customFormat="1" ht="12" hidden="1" customHeight="1">
      <c r="A9865" s="198"/>
    </row>
    <row r="9866" spans="1:1" s="199" customFormat="1" ht="12" hidden="1" customHeight="1">
      <c r="A9866" s="198"/>
    </row>
    <row r="9867" spans="1:1" s="199" customFormat="1" ht="12" hidden="1" customHeight="1">
      <c r="A9867" s="198"/>
    </row>
    <row r="9868" spans="1:1" s="199" customFormat="1" ht="12" hidden="1" customHeight="1">
      <c r="A9868" s="198"/>
    </row>
    <row r="9869" spans="1:1" s="199" customFormat="1" ht="12" hidden="1" customHeight="1">
      <c r="A9869" s="198"/>
    </row>
    <row r="9870" spans="1:1" s="199" customFormat="1" ht="12" hidden="1" customHeight="1">
      <c r="A9870" s="198"/>
    </row>
    <row r="9871" spans="1:1" s="199" customFormat="1" ht="12" hidden="1" customHeight="1">
      <c r="A9871" s="198"/>
    </row>
    <row r="9872" spans="1:1" s="199" customFormat="1" ht="12" hidden="1" customHeight="1">
      <c r="A9872" s="198"/>
    </row>
    <row r="9873" spans="1:1" s="199" customFormat="1" ht="12" hidden="1" customHeight="1">
      <c r="A9873" s="198"/>
    </row>
    <row r="9874" spans="1:1" s="199" customFormat="1" ht="12" hidden="1" customHeight="1">
      <c r="A9874" s="198"/>
    </row>
    <row r="9875" spans="1:1" s="199" customFormat="1" ht="12" hidden="1" customHeight="1">
      <c r="A9875" s="198"/>
    </row>
    <row r="9876" spans="1:1" s="199" customFormat="1" ht="12" hidden="1" customHeight="1">
      <c r="A9876" s="198"/>
    </row>
    <row r="9877" spans="1:1" s="199" customFormat="1" ht="12" hidden="1" customHeight="1">
      <c r="A9877" s="198"/>
    </row>
    <row r="9878" spans="1:1" s="199" customFormat="1" ht="12" hidden="1" customHeight="1">
      <c r="A9878" s="198"/>
    </row>
    <row r="9879" spans="1:1" s="199" customFormat="1" ht="12" hidden="1" customHeight="1">
      <c r="A9879" s="198"/>
    </row>
    <row r="9880" spans="1:1" s="199" customFormat="1" ht="12" hidden="1" customHeight="1">
      <c r="A9880" s="198"/>
    </row>
    <row r="9881" spans="1:1" s="199" customFormat="1" ht="12" hidden="1" customHeight="1">
      <c r="A9881" s="198"/>
    </row>
    <row r="9882" spans="1:1" s="199" customFormat="1" ht="12" hidden="1" customHeight="1">
      <c r="A9882" s="198"/>
    </row>
    <row r="9883" spans="1:1" s="199" customFormat="1" ht="12" hidden="1" customHeight="1">
      <c r="A9883" s="198"/>
    </row>
    <row r="9884" spans="1:1" s="199" customFormat="1" ht="12" hidden="1" customHeight="1">
      <c r="A9884" s="198"/>
    </row>
    <row r="9885" spans="1:1" s="199" customFormat="1" ht="12" hidden="1" customHeight="1">
      <c r="A9885" s="198"/>
    </row>
    <row r="9886" spans="1:1" s="199" customFormat="1" ht="12" hidden="1" customHeight="1">
      <c r="A9886" s="198"/>
    </row>
    <row r="9887" spans="1:1" s="199" customFormat="1" ht="12" hidden="1" customHeight="1">
      <c r="A9887" s="198"/>
    </row>
    <row r="9888" spans="1:1" s="199" customFormat="1" ht="12" hidden="1" customHeight="1">
      <c r="A9888" s="198"/>
    </row>
    <row r="9889" spans="1:1" s="199" customFormat="1" ht="12" hidden="1" customHeight="1">
      <c r="A9889" s="198"/>
    </row>
    <row r="9890" spans="1:1" s="199" customFormat="1" ht="12" hidden="1" customHeight="1">
      <c r="A9890" s="198"/>
    </row>
    <row r="9891" spans="1:1" s="199" customFormat="1" ht="12" hidden="1" customHeight="1">
      <c r="A9891" s="198"/>
    </row>
    <row r="9892" spans="1:1" s="199" customFormat="1" ht="12" hidden="1" customHeight="1">
      <c r="A9892" s="198"/>
    </row>
    <row r="9893" spans="1:1" s="199" customFormat="1" ht="12" hidden="1" customHeight="1">
      <c r="A9893" s="198"/>
    </row>
    <row r="9894" spans="1:1" s="199" customFormat="1" ht="12" hidden="1" customHeight="1">
      <c r="A9894" s="198"/>
    </row>
    <row r="9895" spans="1:1" s="199" customFormat="1" ht="12" hidden="1" customHeight="1">
      <c r="A9895" s="198"/>
    </row>
    <row r="9896" spans="1:1" s="199" customFormat="1" ht="12" hidden="1" customHeight="1">
      <c r="A9896" s="198"/>
    </row>
    <row r="9897" spans="1:1" s="199" customFormat="1" ht="12" hidden="1" customHeight="1">
      <c r="A9897" s="198"/>
    </row>
    <row r="9898" spans="1:1" s="199" customFormat="1" ht="12" hidden="1" customHeight="1">
      <c r="A9898" s="198"/>
    </row>
    <row r="9899" spans="1:1" s="199" customFormat="1" ht="12" hidden="1" customHeight="1">
      <c r="A9899" s="198"/>
    </row>
    <row r="9900" spans="1:1" s="199" customFormat="1" ht="12" hidden="1" customHeight="1">
      <c r="A9900" s="198"/>
    </row>
    <row r="9901" spans="1:1" s="199" customFormat="1" ht="12" hidden="1" customHeight="1">
      <c r="A9901" s="198"/>
    </row>
    <row r="9902" spans="1:1" s="199" customFormat="1" ht="12" hidden="1" customHeight="1">
      <c r="A9902" s="198"/>
    </row>
    <row r="9903" spans="1:1" s="199" customFormat="1" ht="12" hidden="1" customHeight="1">
      <c r="A9903" s="198"/>
    </row>
    <row r="9904" spans="1:1" s="199" customFormat="1" ht="12" hidden="1" customHeight="1">
      <c r="A9904" s="198"/>
    </row>
    <row r="9905" spans="1:1" s="199" customFormat="1" ht="12" hidden="1" customHeight="1">
      <c r="A9905" s="198"/>
    </row>
    <row r="9906" spans="1:1" s="199" customFormat="1" ht="12" hidden="1" customHeight="1">
      <c r="A9906" s="198"/>
    </row>
    <row r="9907" spans="1:1" s="199" customFormat="1" ht="12" hidden="1" customHeight="1">
      <c r="A9907" s="198"/>
    </row>
    <row r="9908" spans="1:1" s="199" customFormat="1" ht="12" hidden="1" customHeight="1">
      <c r="A9908" s="198"/>
    </row>
    <row r="9909" spans="1:1" s="199" customFormat="1" ht="12" hidden="1" customHeight="1">
      <c r="A9909" s="198"/>
    </row>
    <row r="9910" spans="1:1" s="199" customFormat="1" ht="12" hidden="1" customHeight="1">
      <c r="A9910" s="198"/>
    </row>
    <row r="9911" spans="1:1" s="199" customFormat="1" ht="12" hidden="1" customHeight="1">
      <c r="A9911" s="198"/>
    </row>
    <row r="9912" spans="1:1" s="199" customFormat="1" ht="12" hidden="1" customHeight="1">
      <c r="A9912" s="198"/>
    </row>
    <row r="9913" spans="1:1" s="199" customFormat="1" ht="12" hidden="1" customHeight="1">
      <c r="A9913" s="198"/>
    </row>
    <row r="9914" spans="1:1" s="199" customFormat="1" ht="12" hidden="1" customHeight="1">
      <c r="A9914" s="198"/>
    </row>
    <row r="9915" spans="1:1" s="199" customFormat="1" ht="12" hidden="1" customHeight="1">
      <c r="A9915" s="198"/>
    </row>
    <row r="9916" spans="1:1" s="199" customFormat="1" ht="12" hidden="1" customHeight="1">
      <c r="A9916" s="198"/>
    </row>
    <row r="9917" spans="1:1" s="199" customFormat="1" ht="12" hidden="1" customHeight="1">
      <c r="A9917" s="198"/>
    </row>
    <row r="9918" spans="1:1" s="199" customFormat="1" ht="12" hidden="1" customHeight="1">
      <c r="A9918" s="198"/>
    </row>
    <row r="9919" spans="1:1" s="199" customFormat="1" ht="12" hidden="1" customHeight="1">
      <c r="A9919" s="198"/>
    </row>
    <row r="9920" spans="1:1" s="199" customFormat="1" ht="12" hidden="1" customHeight="1">
      <c r="A9920" s="198"/>
    </row>
    <row r="9921" spans="1:1" s="199" customFormat="1" ht="12" hidden="1" customHeight="1">
      <c r="A9921" s="198"/>
    </row>
    <row r="9922" spans="1:1" s="199" customFormat="1" ht="12" hidden="1" customHeight="1">
      <c r="A9922" s="198"/>
    </row>
    <row r="9923" spans="1:1" s="199" customFormat="1" ht="12" hidden="1" customHeight="1">
      <c r="A9923" s="198"/>
    </row>
    <row r="9924" spans="1:1" s="199" customFormat="1" ht="12" hidden="1" customHeight="1">
      <c r="A9924" s="198"/>
    </row>
    <row r="9925" spans="1:1" s="199" customFormat="1" ht="12" hidden="1" customHeight="1">
      <c r="A9925" s="198"/>
    </row>
    <row r="9926" spans="1:1" s="199" customFormat="1" ht="12" hidden="1" customHeight="1">
      <c r="A9926" s="198"/>
    </row>
    <row r="9927" spans="1:1" s="199" customFormat="1" ht="12" hidden="1" customHeight="1">
      <c r="A9927" s="198"/>
    </row>
    <row r="9928" spans="1:1" s="199" customFormat="1" ht="12" hidden="1" customHeight="1">
      <c r="A9928" s="198"/>
    </row>
    <row r="9929" spans="1:1" s="199" customFormat="1" ht="12" hidden="1" customHeight="1">
      <c r="A9929" s="198"/>
    </row>
    <row r="9930" spans="1:1" s="199" customFormat="1" ht="12" hidden="1" customHeight="1">
      <c r="A9930" s="198"/>
    </row>
    <row r="9931" spans="1:1" s="199" customFormat="1" ht="12" hidden="1" customHeight="1">
      <c r="A9931" s="198"/>
    </row>
    <row r="9932" spans="1:1" s="199" customFormat="1" ht="12" hidden="1" customHeight="1">
      <c r="A9932" s="198"/>
    </row>
    <row r="9933" spans="1:1" s="199" customFormat="1" ht="12" hidden="1" customHeight="1">
      <c r="A9933" s="198"/>
    </row>
    <row r="9934" spans="1:1" s="199" customFormat="1" ht="12" hidden="1" customHeight="1">
      <c r="A9934" s="198"/>
    </row>
    <row r="9935" spans="1:1" s="199" customFormat="1" ht="12" hidden="1" customHeight="1">
      <c r="A9935" s="198"/>
    </row>
    <row r="9936" spans="1:1" s="199" customFormat="1" ht="12" hidden="1" customHeight="1">
      <c r="A9936" s="198"/>
    </row>
    <row r="9937" spans="1:1" s="199" customFormat="1" ht="12" hidden="1" customHeight="1">
      <c r="A9937" s="198"/>
    </row>
    <row r="9938" spans="1:1" s="199" customFormat="1" ht="12" hidden="1" customHeight="1">
      <c r="A9938" s="198"/>
    </row>
    <row r="9939" spans="1:1" s="199" customFormat="1" ht="12" hidden="1" customHeight="1">
      <c r="A9939" s="198"/>
    </row>
    <row r="9940" spans="1:1" s="199" customFormat="1" ht="12" hidden="1" customHeight="1">
      <c r="A9940" s="198"/>
    </row>
    <row r="9941" spans="1:1" s="199" customFormat="1" ht="12" hidden="1" customHeight="1">
      <c r="A9941" s="198"/>
    </row>
    <row r="9942" spans="1:1" s="199" customFormat="1" ht="12" hidden="1" customHeight="1">
      <c r="A9942" s="198"/>
    </row>
    <row r="9943" spans="1:1" s="199" customFormat="1" ht="12" hidden="1" customHeight="1">
      <c r="A9943" s="198"/>
    </row>
    <row r="9944" spans="1:1" s="199" customFormat="1" ht="12" hidden="1" customHeight="1">
      <c r="A9944" s="198"/>
    </row>
    <row r="9945" spans="1:1" s="199" customFormat="1" ht="12" hidden="1" customHeight="1">
      <c r="A9945" s="198"/>
    </row>
    <row r="9946" spans="1:1" s="199" customFormat="1" ht="12" hidden="1" customHeight="1">
      <c r="A9946" s="198"/>
    </row>
    <row r="9947" spans="1:1" s="199" customFormat="1" ht="12" hidden="1" customHeight="1">
      <c r="A9947" s="198"/>
    </row>
    <row r="9948" spans="1:1" s="199" customFormat="1" ht="12" hidden="1" customHeight="1">
      <c r="A9948" s="198"/>
    </row>
    <row r="9949" spans="1:1" s="199" customFormat="1" ht="12" hidden="1" customHeight="1">
      <c r="A9949" s="198"/>
    </row>
    <row r="9950" spans="1:1" s="199" customFormat="1" ht="12" hidden="1" customHeight="1">
      <c r="A9950" s="198"/>
    </row>
    <row r="9951" spans="1:1" s="199" customFormat="1" ht="12" hidden="1" customHeight="1">
      <c r="A9951" s="198"/>
    </row>
    <row r="9952" spans="1:1" s="199" customFormat="1" ht="12" hidden="1" customHeight="1">
      <c r="A9952" s="198"/>
    </row>
    <row r="9953" spans="1:1" s="199" customFormat="1" ht="12" hidden="1" customHeight="1">
      <c r="A9953" s="198"/>
    </row>
    <row r="9954" spans="1:1" s="199" customFormat="1" ht="12" hidden="1" customHeight="1">
      <c r="A9954" s="198"/>
    </row>
    <row r="9955" spans="1:1" s="199" customFormat="1" ht="12" hidden="1" customHeight="1">
      <c r="A9955" s="198"/>
    </row>
    <row r="9956" spans="1:1" s="199" customFormat="1" ht="12" hidden="1" customHeight="1">
      <c r="A9956" s="198"/>
    </row>
    <row r="9957" spans="1:1" s="199" customFormat="1" ht="12" hidden="1" customHeight="1">
      <c r="A9957" s="198"/>
    </row>
    <row r="9958" spans="1:1" s="199" customFormat="1" ht="12" hidden="1" customHeight="1">
      <c r="A9958" s="198"/>
    </row>
    <row r="9959" spans="1:1" s="199" customFormat="1" ht="12" hidden="1" customHeight="1">
      <c r="A9959" s="198"/>
    </row>
    <row r="9960" spans="1:1" s="199" customFormat="1" ht="12" hidden="1" customHeight="1">
      <c r="A9960" s="198"/>
    </row>
    <row r="9961" spans="1:1" s="199" customFormat="1" ht="12" hidden="1" customHeight="1">
      <c r="A9961" s="198"/>
    </row>
    <row r="9962" spans="1:1" s="199" customFormat="1" ht="12" hidden="1" customHeight="1">
      <c r="A9962" s="198"/>
    </row>
    <row r="9963" spans="1:1" s="199" customFormat="1" ht="12" hidden="1" customHeight="1">
      <c r="A9963" s="198"/>
    </row>
    <row r="9964" spans="1:1" s="199" customFormat="1" ht="12" hidden="1" customHeight="1">
      <c r="A9964" s="198"/>
    </row>
    <row r="9965" spans="1:1" s="199" customFormat="1" ht="12" hidden="1" customHeight="1">
      <c r="A9965" s="198"/>
    </row>
    <row r="9966" spans="1:1" s="199" customFormat="1" ht="12" hidden="1" customHeight="1">
      <c r="A9966" s="198"/>
    </row>
    <row r="9967" spans="1:1" s="199" customFormat="1" ht="12" hidden="1" customHeight="1">
      <c r="A9967" s="198"/>
    </row>
    <row r="9968" spans="1:1" s="199" customFormat="1" ht="12" hidden="1" customHeight="1">
      <c r="A9968" s="198"/>
    </row>
    <row r="9969" spans="1:1" s="199" customFormat="1" ht="12" hidden="1" customHeight="1">
      <c r="A9969" s="198"/>
    </row>
    <row r="9970" spans="1:1" s="199" customFormat="1" ht="12" hidden="1" customHeight="1">
      <c r="A9970" s="198"/>
    </row>
    <row r="9971" spans="1:1" s="199" customFormat="1" ht="12" hidden="1" customHeight="1">
      <c r="A9971" s="198"/>
    </row>
    <row r="9972" spans="1:1" s="199" customFormat="1" ht="12" hidden="1" customHeight="1">
      <c r="A9972" s="198"/>
    </row>
    <row r="9973" spans="1:1" s="199" customFormat="1" ht="12" hidden="1" customHeight="1">
      <c r="A9973" s="198"/>
    </row>
    <row r="9974" spans="1:1" s="199" customFormat="1" ht="12" hidden="1" customHeight="1">
      <c r="A9974" s="198"/>
    </row>
    <row r="9975" spans="1:1" s="199" customFormat="1" ht="12" hidden="1" customHeight="1">
      <c r="A9975" s="198"/>
    </row>
    <row r="9976" spans="1:1" s="199" customFormat="1" ht="12" hidden="1" customHeight="1">
      <c r="A9976" s="198"/>
    </row>
    <row r="9977" spans="1:1" s="199" customFormat="1" ht="12" hidden="1" customHeight="1">
      <c r="A9977" s="198"/>
    </row>
    <row r="9978" spans="1:1" s="199" customFormat="1" ht="12" hidden="1" customHeight="1">
      <c r="A9978" s="198"/>
    </row>
    <row r="9979" spans="1:1" s="199" customFormat="1" ht="12" hidden="1" customHeight="1">
      <c r="A9979" s="198"/>
    </row>
    <row r="9980" spans="1:1" s="199" customFormat="1" ht="12" hidden="1" customHeight="1">
      <c r="A9980" s="198"/>
    </row>
    <row r="9981" spans="1:1" s="199" customFormat="1" ht="12" hidden="1" customHeight="1">
      <c r="A9981" s="198"/>
    </row>
    <row r="9982" spans="1:1" s="199" customFormat="1" ht="12" hidden="1" customHeight="1">
      <c r="A9982" s="198"/>
    </row>
    <row r="9983" spans="1:1" s="199" customFormat="1" ht="12" hidden="1" customHeight="1">
      <c r="A9983" s="198"/>
    </row>
    <row r="9984" spans="1:1" s="199" customFormat="1" ht="12" hidden="1" customHeight="1">
      <c r="A9984" s="198"/>
    </row>
    <row r="9985" spans="1:1" s="199" customFormat="1" ht="12" hidden="1" customHeight="1">
      <c r="A9985" s="198"/>
    </row>
    <row r="9986" spans="1:1" s="199" customFormat="1" ht="12" hidden="1" customHeight="1">
      <c r="A9986" s="198"/>
    </row>
    <row r="9987" spans="1:1" s="199" customFormat="1" ht="12" hidden="1" customHeight="1">
      <c r="A9987" s="198"/>
    </row>
    <row r="9988" spans="1:1" s="199" customFormat="1" ht="12" hidden="1" customHeight="1">
      <c r="A9988" s="198"/>
    </row>
    <row r="9989" spans="1:1" s="199" customFormat="1" ht="12" hidden="1" customHeight="1">
      <c r="A9989" s="198"/>
    </row>
    <row r="9990" spans="1:1" s="199" customFormat="1" ht="12" hidden="1" customHeight="1">
      <c r="A9990" s="198"/>
    </row>
    <row r="9991" spans="1:1" s="199" customFormat="1" ht="12" hidden="1" customHeight="1">
      <c r="A9991" s="198"/>
    </row>
    <row r="9992" spans="1:1" s="199" customFormat="1" ht="12" hidden="1" customHeight="1">
      <c r="A9992" s="198"/>
    </row>
    <row r="9993" spans="1:1" s="199" customFormat="1" ht="12" hidden="1" customHeight="1">
      <c r="A9993" s="198"/>
    </row>
    <row r="9994" spans="1:1" s="199" customFormat="1" ht="12" hidden="1" customHeight="1">
      <c r="A9994" s="198"/>
    </row>
    <row r="9995" spans="1:1" s="199" customFormat="1" ht="12" hidden="1" customHeight="1">
      <c r="A9995" s="198"/>
    </row>
    <row r="9996" spans="1:1" s="199" customFormat="1" ht="12" hidden="1" customHeight="1">
      <c r="A9996" s="198"/>
    </row>
    <row r="9997" spans="1:1" s="199" customFormat="1" ht="12" hidden="1" customHeight="1">
      <c r="A9997" s="198"/>
    </row>
    <row r="9998" spans="1:1" s="199" customFormat="1" ht="12" hidden="1" customHeight="1">
      <c r="A9998" s="198"/>
    </row>
    <row r="9999" spans="1:1" s="199" customFormat="1" ht="12" hidden="1" customHeight="1">
      <c r="A9999" s="198"/>
    </row>
    <row r="10000" spans="1:1" s="199" customFormat="1" ht="12" hidden="1" customHeight="1">
      <c r="A10000" s="198"/>
    </row>
    <row r="10001" spans="1:1" s="199" customFormat="1" ht="12" hidden="1" customHeight="1">
      <c r="A10001" s="198"/>
    </row>
    <row r="10002" spans="1:1" s="199" customFormat="1" ht="12" hidden="1" customHeight="1">
      <c r="A10002" s="198"/>
    </row>
    <row r="10003" spans="1:1" s="199" customFormat="1" ht="12" hidden="1" customHeight="1">
      <c r="A10003" s="198"/>
    </row>
    <row r="10004" spans="1:1" s="199" customFormat="1" ht="12" hidden="1" customHeight="1">
      <c r="A10004" s="198"/>
    </row>
    <row r="10005" spans="1:1" s="199" customFormat="1" ht="12" hidden="1" customHeight="1">
      <c r="A10005" s="198"/>
    </row>
    <row r="10006" spans="1:1" s="199" customFormat="1" ht="12" hidden="1" customHeight="1">
      <c r="A10006" s="198"/>
    </row>
    <row r="10007" spans="1:1" s="199" customFormat="1" ht="12" hidden="1" customHeight="1">
      <c r="A10007" s="198"/>
    </row>
    <row r="10008" spans="1:1" s="199" customFormat="1" ht="12" hidden="1" customHeight="1">
      <c r="A10008" s="198"/>
    </row>
    <row r="10009" spans="1:1" s="199" customFormat="1" ht="12" hidden="1" customHeight="1">
      <c r="A10009" s="198"/>
    </row>
    <row r="10010" spans="1:1" s="199" customFormat="1" ht="12" hidden="1" customHeight="1">
      <c r="A10010" s="198"/>
    </row>
    <row r="10011" spans="1:1" s="199" customFormat="1" ht="12" hidden="1" customHeight="1">
      <c r="A10011" s="198"/>
    </row>
    <row r="10012" spans="1:1" s="199" customFormat="1" ht="12" hidden="1" customHeight="1">
      <c r="A10012" s="198"/>
    </row>
    <row r="10013" spans="1:1" s="199" customFormat="1" ht="12" hidden="1" customHeight="1">
      <c r="A10013" s="198"/>
    </row>
    <row r="10014" spans="1:1" s="199" customFormat="1" ht="12" hidden="1" customHeight="1">
      <c r="A10014" s="198"/>
    </row>
    <row r="10015" spans="1:1" s="199" customFormat="1" ht="12" hidden="1" customHeight="1">
      <c r="A10015" s="198"/>
    </row>
    <row r="10016" spans="1:1" s="199" customFormat="1" ht="12" hidden="1" customHeight="1">
      <c r="A10016" s="198"/>
    </row>
    <row r="10017" spans="1:1" s="199" customFormat="1" ht="12" hidden="1" customHeight="1">
      <c r="A10017" s="198"/>
    </row>
    <row r="10018" spans="1:1" s="199" customFormat="1" ht="12" hidden="1" customHeight="1">
      <c r="A10018" s="198"/>
    </row>
    <row r="10019" spans="1:1" s="199" customFormat="1" ht="12" hidden="1" customHeight="1">
      <c r="A10019" s="198"/>
    </row>
    <row r="10020" spans="1:1" s="199" customFormat="1" ht="12" hidden="1" customHeight="1">
      <c r="A10020" s="198"/>
    </row>
    <row r="10021" spans="1:1" s="199" customFormat="1" ht="12" hidden="1" customHeight="1">
      <c r="A10021" s="198"/>
    </row>
    <row r="10022" spans="1:1" s="199" customFormat="1" ht="12" hidden="1" customHeight="1">
      <c r="A10022" s="198"/>
    </row>
    <row r="10023" spans="1:1" s="199" customFormat="1" ht="12" hidden="1" customHeight="1">
      <c r="A10023" s="198"/>
    </row>
    <row r="10024" spans="1:1" s="199" customFormat="1" ht="12" hidden="1" customHeight="1">
      <c r="A10024" s="198"/>
    </row>
    <row r="10025" spans="1:1" s="199" customFormat="1" ht="12" hidden="1" customHeight="1">
      <c r="A10025" s="198"/>
    </row>
    <row r="10026" spans="1:1" s="199" customFormat="1" ht="12" hidden="1" customHeight="1">
      <c r="A10026" s="198"/>
    </row>
    <row r="10027" spans="1:1" s="199" customFormat="1" ht="12" hidden="1" customHeight="1">
      <c r="A10027" s="198"/>
    </row>
    <row r="10028" spans="1:1" s="199" customFormat="1" ht="12" hidden="1" customHeight="1">
      <c r="A10028" s="198"/>
    </row>
    <row r="10029" spans="1:1" s="199" customFormat="1" ht="12" hidden="1" customHeight="1">
      <c r="A10029" s="198"/>
    </row>
    <row r="10030" spans="1:1" s="199" customFormat="1" ht="12" hidden="1" customHeight="1">
      <c r="A10030" s="198"/>
    </row>
    <row r="10031" spans="1:1" s="199" customFormat="1" ht="12" hidden="1" customHeight="1">
      <c r="A10031" s="198"/>
    </row>
    <row r="10032" spans="1:1" s="199" customFormat="1" ht="12" hidden="1" customHeight="1">
      <c r="A10032" s="198"/>
    </row>
    <row r="10033" spans="1:1" s="199" customFormat="1" ht="12" hidden="1" customHeight="1">
      <c r="A10033" s="198"/>
    </row>
    <row r="10034" spans="1:1" s="199" customFormat="1" ht="12" hidden="1" customHeight="1">
      <c r="A10034" s="198"/>
    </row>
    <row r="10035" spans="1:1" s="199" customFormat="1" ht="12" hidden="1" customHeight="1">
      <c r="A10035" s="198"/>
    </row>
    <row r="10036" spans="1:1" s="199" customFormat="1" ht="12" hidden="1" customHeight="1">
      <c r="A10036" s="198"/>
    </row>
    <row r="10037" spans="1:1" s="199" customFormat="1" ht="12" hidden="1" customHeight="1">
      <c r="A10037" s="198"/>
    </row>
    <row r="10038" spans="1:1" s="199" customFormat="1" ht="12" hidden="1" customHeight="1">
      <c r="A10038" s="198"/>
    </row>
    <row r="10039" spans="1:1" s="199" customFormat="1" ht="12" hidden="1" customHeight="1">
      <c r="A10039" s="198"/>
    </row>
    <row r="10040" spans="1:1" s="199" customFormat="1" ht="12" hidden="1" customHeight="1">
      <c r="A10040" s="198"/>
    </row>
    <row r="10041" spans="1:1" s="199" customFormat="1" ht="12" hidden="1" customHeight="1">
      <c r="A10041" s="198"/>
    </row>
    <row r="10042" spans="1:1" s="199" customFormat="1" ht="12" hidden="1" customHeight="1">
      <c r="A10042" s="198"/>
    </row>
    <row r="10043" spans="1:1" s="199" customFormat="1" ht="12" hidden="1" customHeight="1">
      <c r="A10043" s="198"/>
    </row>
    <row r="10044" spans="1:1" s="199" customFormat="1" ht="12" hidden="1" customHeight="1">
      <c r="A10044" s="198"/>
    </row>
    <row r="10045" spans="1:1" s="199" customFormat="1" ht="12" hidden="1" customHeight="1">
      <c r="A10045" s="198"/>
    </row>
    <row r="10046" spans="1:1" s="199" customFormat="1" ht="12" hidden="1" customHeight="1">
      <c r="A10046" s="198"/>
    </row>
    <row r="10047" spans="1:1" s="199" customFormat="1" ht="12" hidden="1" customHeight="1">
      <c r="A10047" s="198"/>
    </row>
    <row r="10048" spans="1:1" s="199" customFormat="1" ht="12" hidden="1" customHeight="1">
      <c r="A10048" s="198"/>
    </row>
    <row r="10049" spans="1:1" s="199" customFormat="1" ht="12" hidden="1" customHeight="1">
      <c r="A10049" s="198"/>
    </row>
    <row r="10050" spans="1:1" s="199" customFormat="1" ht="12" hidden="1" customHeight="1">
      <c r="A10050" s="198"/>
    </row>
    <row r="10051" spans="1:1" s="199" customFormat="1" ht="12" hidden="1" customHeight="1">
      <c r="A10051" s="198"/>
    </row>
    <row r="10052" spans="1:1" s="199" customFormat="1" ht="12" hidden="1" customHeight="1">
      <c r="A10052" s="198"/>
    </row>
    <row r="10053" spans="1:1" s="199" customFormat="1" ht="12" hidden="1" customHeight="1">
      <c r="A10053" s="198"/>
    </row>
    <row r="10054" spans="1:1" s="199" customFormat="1" ht="12" hidden="1" customHeight="1">
      <c r="A10054" s="198"/>
    </row>
    <row r="10055" spans="1:1" s="199" customFormat="1" ht="12" hidden="1" customHeight="1">
      <c r="A10055" s="198"/>
    </row>
    <row r="10056" spans="1:1" s="199" customFormat="1" ht="12" hidden="1" customHeight="1">
      <c r="A10056" s="198"/>
    </row>
    <row r="10057" spans="1:1" s="199" customFormat="1" ht="12" hidden="1" customHeight="1">
      <c r="A10057" s="198"/>
    </row>
    <row r="10058" spans="1:1" s="199" customFormat="1" ht="12" hidden="1" customHeight="1">
      <c r="A10058" s="198"/>
    </row>
    <row r="10059" spans="1:1" s="199" customFormat="1" ht="12" hidden="1" customHeight="1">
      <c r="A10059" s="198"/>
    </row>
    <row r="10060" spans="1:1" s="199" customFormat="1" ht="12" hidden="1" customHeight="1">
      <c r="A10060" s="198"/>
    </row>
    <row r="10061" spans="1:1" s="199" customFormat="1" ht="12" hidden="1" customHeight="1">
      <c r="A10061" s="198"/>
    </row>
    <row r="10062" spans="1:1" s="199" customFormat="1" ht="12" hidden="1" customHeight="1">
      <c r="A10062" s="198"/>
    </row>
    <row r="10063" spans="1:1" s="199" customFormat="1" ht="12" hidden="1" customHeight="1">
      <c r="A10063" s="198"/>
    </row>
    <row r="10064" spans="1:1" s="199" customFormat="1" ht="12" hidden="1" customHeight="1">
      <c r="A10064" s="198"/>
    </row>
    <row r="10065" spans="1:1" s="199" customFormat="1" ht="12" hidden="1" customHeight="1">
      <c r="A10065" s="198"/>
    </row>
    <row r="10066" spans="1:1" s="199" customFormat="1" ht="12" hidden="1" customHeight="1">
      <c r="A10066" s="198"/>
    </row>
    <row r="10067" spans="1:1" s="199" customFormat="1" ht="12" hidden="1" customHeight="1">
      <c r="A10067" s="198"/>
    </row>
    <row r="10068" spans="1:1" s="199" customFormat="1" ht="12" hidden="1" customHeight="1">
      <c r="A10068" s="198"/>
    </row>
    <row r="10069" spans="1:1" s="199" customFormat="1" ht="12" hidden="1" customHeight="1">
      <c r="A10069" s="198"/>
    </row>
    <row r="10070" spans="1:1" s="199" customFormat="1" ht="12" hidden="1" customHeight="1">
      <c r="A10070" s="198"/>
    </row>
    <row r="10071" spans="1:1" s="199" customFormat="1" ht="12" hidden="1" customHeight="1">
      <c r="A10071" s="198"/>
    </row>
    <row r="10072" spans="1:1" s="199" customFormat="1" ht="12" hidden="1" customHeight="1">
      <c r="A10072" s="198"/>
    </row>
    <row r="10073" spans="1:1" s="199" customFormat="1" ht="12" hidden="1" customHeight="1">
      <c r="A10073" s="198"/>
    </row>
    <row r="10074" spans="1:1" s="199" customFormat="1" ht="12" hidden="1" customHeight="1">
      <c r="A10074" s="198"/>
    </row>
    <row r="10075" spans="1:1" s="199" customFormat="1" ht="12" hidden="1" customHeight="1">
      <c r="A10075" s="198"/>
    </row>
    <row r="10076" spans="1:1" s="199" customFormat="1" ht="12" hidden="1" customHeight="1">
      <c r="A10076" s="198"/>
    </row>
    <row r="10077" spans="1:1" s="199" customFormat="1" ht="12" hidden="1" customHeight="1">
      <c r="A10077" s="198"/>
    </row>
    <row r="10078" spans="1:1" s="199" customFormat="1" ht="12" hidden="1" customHeight="1">
      <c r="A10078" s="198"/>
    </row>
    <row r="10079" spans="1:1" s="199" customFormat="1" ht="12" hidden="1" customHeight="1">
      <c r="A10079" s="198"/>
    </row>
    <row r="10080" spans="1:1" s="199" customFormat="1" ht="12" hidden="1" customHeight="1">
      <c r="A10080" s="198"/>
    </row>
    <row r="10081" spans="1:1" s="199" customFormat="1" ht="12" hidden="1" customHeight="1">
      <c r="A10081" s="198"/>
    </row>
    <row r="10082" spans="1:1" s="199" customFormat="1" ht="12" hidden="1" customHeight="1">
      <c r="A10082" s="198"/>
    </row>
    <row r="10083" spans="1:1" s="199" customFormat="1" ht="12" hidden="1" customHeight="1">
      <c r="A10083" s="198"/>
    </row>
    <row r="10084" spans="1:1" s="199" customFormat="1" ht="12" hidden="1" customHeight="1">
      <c r="A10084" s="198"/>
    </row>
    <row r="10085" spans="1:1" s="199" customFormat="1" ht="12" hidden="1" customHeight="1">
      <c r="A10085" s="198"/>
    </row>
    <row r="10086" spans="1:1" s="199" customFormat="1" ht="12" hidden="1" customHeight="1">
      <c r="A10086" s="198"/>
    </row>
    <row r="10087" spans="1:1" s="199" customFormat="1" ht="12" hidden="1" customHeight="1">
      <c r="A10087" s="198"/>
    </row>
    <row r="10088" spans="1:1" s="199" customFormat="1" ht="12" hidden="1" customHeight="1">
      <c r="A10088" s="198"/>
    </row>
    <row r="10089" spans="1:1" s="199" customFormat="1" ht="12" hidden="1" customHeight="1">
      <c r="A10089" s="198"/>
    </row>
    <row r="10090" spans="1:1" s="199" customFormat="1" ht="12" hidden="1" customHeight="1">
      <c r="A10090" s="198"/>
    </row>
    <row r="10091" spans="1:1" s="199" customFormat="1" ht="12" hidden="1" customHeight="1">
      <c r="A10091" s="198"/>
    </row>
    <row r="10092" spans="1:1" s="199" customFormat="1" ht="12" hidden="1" customHeight="1">
      <c r="A10092" s="198"/>
    </row>
    <row r="10093" spans="1:1" s="199" customFormat="1" ht="12" hidden="1" customHeight="1">
      <c r="A10093" s="198"/>
    </row>
    <row r="10094" spans="1:1" s="199" customFormat="1" ht="12" hidden="1" customHeight="1">
      <c r="A10094" s="198"/>
    </row>
    <row r="10095" spans="1:1" s="199" customFormat="1" ht="12" hidden="1" customHeight="1">
      <c r="A10095" s="198"/>
    </row>
    <row r="10096" spans="1:1" s="199" customFormat="1" ht="12" hidden="1" customHeight="1">
      <c r="A10096" s="198"/>
    </row>
    <row r="10097" spans="1:1" s="199" customFormat="1" ht="12" hidden="1" customHeight="1">
      <c r="A10097" s="198"/>
    </row>
    <row r="10098" spans="1:1" s="199" customFormat="1" ht="12" hidden="1" customHeight="1">
      <c r="A10098" s="198"/>
    </row>
    <row r="10099" spans="1:1" s="199" customFormat="1" ht="12" hidden="1" customHeight="1">
      <c r="A10099" s="198"/>
    </row>
    <row r="10100" spans="1:1" s="199" customFormat="1" ht="12" hidden="1" customHeight="1">
      <c r="A10100" s="198"/>
    </row>
    <row r="10101" spans="1:1" s="199" customFormat="1" ht="12" hidden="1" customHeight="1">
      <c r="A10101" s="198"/>
    </row>
    <row r="10102" spans="1:1" s="199" customFormat="1" ht="12" hidden="1" customHeight="1">
      <c r="A10102" s="198"/>
    </row>
    <row r="10103" spans="1:1" s="199" customFormat="1" ht="12" hidden="1" customHeight="1">
      <c r="A10103" s="198"/>
    </row>
    <row r="10104" spans="1:1" s="199" customFormat="1" ht="12" hidden="1" customHeight="1">
      <c r="A10104" s="198"/>
    </row>
    <row r="10105" spans="1:1" s="199" customFormat="1" ht="12" hidden="1" customHeight="1">
      <c r="A10105" s="198"/>
    </row>
    <row r="10106" spans="1:1" s="199" customFormat="1" ht="12" hidden="1" customHeight="1">
      <c r="A10106" s="198"/>
    </row>
    <row r="10107" spans="1:1" s="199" customFormat="1" ht="12" hidden="1" customHeight="1">
      <c r="A10107" s="198"/>
    </row>
    <row r="10108" spans="1:1" s="199" customFormat="1" ht="12" hidden="1" customHeight="1">
      <c r="A10108" s="198"/>
    </row>
    <row r="10109" spans="1:1" s="199" customFormat="1" ht="12" hidden="1" customHeight="1">
      <c r="A10109" s="198"/>
    </row>
    <row r="10110" spans="1:1" s="199" customFormat="1" ht="12" hidden="1" customHeight="1">
      <c r="A10110" s="198"/>
    </row>
    <row r="10111" spans="1:1" s="199" customFormat="1" ht="12" hidden="1" customHeight="1">
      <c r="A10111" s="198"/>
    </row>
    <row r="10112" spans="1:1" s="199" customFormat="1" ht="12" hidden="1" customHeight="1">
      <c r="A10112" s="198"/>
    </row>
    <row r="10113" spans="1:1" s="199" customFormat="1" ht="12" hidden="1" customHeight="1">
      <c r="A10113" s="198"/>
    </row>
    <row r="10114" spans="1:1" s="199" customFormat="1" ht="12" hidden="1" customHeight="1">
      <c r="A10114" s="198"/>
    </row>
    <row r="10115" spans="1:1" s="199" customFormat="1" ht="12" hidden="1" customHeight="1">
      <c r="A10115" s="198"/>
    </row>
    <row r="10116" spans="1:1" s="199" customFormat="1" ht="12" hidden="1" customHeight="1">
      <c r="A10116" s="198"/>
    </row>
    <row r="10117" spans="1:1" s="199" customFormat="1" ht="12" hidden="1" customHeight="1">
      <c r="A10117" s="198"/>
    </row>
    <row r="10118" spans="1:1" s="199" customFormat="1" ht="12" hidden="1" customHeight="1">
      <c r="A10118" s="198"/>
    </row>
    <row r="10119" spans="1:1" s="199" customFormat="1" ht="12" hidden="1" customHeight="1">
      <c r="A10119" s="198"/>
    </row>
    <row r="10120" spans="1:1" s="199" customFormat="1" ht="12" hidden="1" customHeight="1">
      <c r="A10120" s="198"/>
    </row>
    <row r="10121" spans="1:1" s="199" customFormat="1" ht="12" hidden="1" customHeight="1">
      <c r="A10121" s="198"/>
    </row>
    <row r="10122" spans="1:1" s="199" customFormat="1" ht="12" hidden="1" customHeight="1">
      <c r="A10122" s="198"/>
    </row>
    <row r="10123" spans="1:1" s="199" customFormat="1" ht="12" hidden="1" customHeight="1">
      <c r="A10123" s="198"/>
    </row>
    <row r="10124" spans="1:1" s="199" customFormat="1" ht="12" hidden="1" customHeight="1">
      <c r="A10124" s="198"/>
    </row>
    <row r="10125" spans="1:1" s="199" customFormat="1" ht="12" hidden="1" customHeight="1">
      <c r="A10125" s="198"/>
    </row>
    <row r="10126" spans="1:1" s="199" customFormat="1" ht="12" hidden="1" customHeight="1">
      <c r="A10126" s="198"/>
    </row>
    <row r="10127" spans="1:1" s="199" customFormat="1" ht="12" hidden="1" customHeight="1">
      <c r="A10127" s="198"/>
    </row>
    <row r="10128" spans="1:1" s="199" customFormat="1" ht="12" hidden="1" customHeight="1">
      <c r="A10128" s="198"/>
    </row>
    <row r="10129" spans="1:1" s="199" customFormat="1" ht="12" hidden="1" customHeight="1">
      <c r="A10129" s="198"/>
    </row>
    <row r="10130" spans="1:1" s="199" customFormat="1" ht="12" hidden="1" customHeight="1">
      <c r="A10130" s="198"/>
    </row>
    <row r="10131" spans="1:1" s="199" customFormat="1" ht="12" hidden="1" customHeight="1">
      <c r="A10131" s="198"/>
    </row>
    <row r="10132" spans="1:1" s="199" customFormat="1" ht="12" hidden="1" customHeight="1">
      <c r="A10132" s="198"/>
    </row>
    <row r="10133" spans="1:1" s="199" customFormat="1" ht="12" hidden="1" customHeight="1">
      <c r="A10133" s="198"/>
    </row>
    <row r="10134" spans="1:1" s="199" customFormat="1" ht="12" hidden="1" customHeight="1">
      <c r="A10134" s="198"/>
    </row>
    <row r="10135" spans="1:1" s="199" customFormat="1" ht="12" hidden="1" customHeight="1">
      <c r="A10135" s="198"/>
    </row>
    <row r="10136" spans="1:1" s="199" customFormat="1" ht="12" hidden="1" customHeight="1">
      <c r="A10136" s="198"/>
    </row>
    <row r="10137" spans="1:1" s="199" customFormat="1" ht="12" hidden="1" customHeight="1">
      <c r="A10137" s="198"/>
    </row>
    <row r="10138" spans="1:1" s="199" customFormat="1" ht="12" hidden="1" customHeight="1">
      <c r="A10138" s="198"/>
    </row>
    <row r="10139" spans="1:1" s="199" customFormat="1" ht="12" hidden="1" customHeight="1">
      <c r="A10139" s="198"/>
    </row>
    <row r="10140" spans="1:1" s="199" customFormat="1" ht="12" hidden="1" customHeight="1">
      <c r="A10140" s="198"/>
    </row>
    <row r="10141" spans="1:1" s="199" customFormat="1" ht="12" hidden="1" customHeight="1">
      <c r="A10141" s="198"/>
    </row>
    <row r="10142" spans="1:1" s="199" customFormat="1" ht="12" hidden="1" customHeight="1">
      <c r="A10142" s="198"/>
    </row>
    <row r="10143" spans="1:1" s="199" customFormat="1" ht="12" hidden="1" customHeight="1">
      <c r="A10143" s="198"/>
    </row>
    <row r="10144" spans="1:1" s="199" customFormat="1" ht="12" hidden="1" customHeight="1">
      <c r="A10144" s="198"/>
    </row>
    <row r="10145" spans="1:1" s="199" customFormat="1" ht="12" hidden="1" customHeight="1">
      <c r="A10145" s="198"/>
    </row>
    <row r="10146" spans="1:1" s="199" customFormat="1" ht="12" hidden="1" customHeight="1">
      <c r="A10146" s="198"/>
    </row>
    <row r="10147" spans="1:1" s="199" customFormat="1" ht="12" hidden="1" customHeight="1">
      <c r="A10147" s="198"/>
    </row>
    <row r="10148" spans="1:1" s="199" customFormat="1" ht="12" hidden="1" customHeight="1">
      <c r="A10148" s="198"/>
    </row>
    <row r="10149" spans="1:1" s="199" customFormat="1" ht="12" hidden="1" customHeight="1">
      <c r="A10149" s="198"/>
    </row>
    <row r="10150" spans="1:1" s="199" customFormat="1" ht="12" hidden="1" customHeight="1">
      <c r="A10150" s="198"/>
    </row>
    <row r="10151" spans="1:1" s="199" customFormat="1" ht="12" hidden="1" customHeight="1">
      <c r="A10151" s="198"/>
    </row>
    <row r="10152" spans="1:1" s="199" customFormat="1" ht="12" hidden="1" customHeight="1">
      <c r="A10152" s="198"/>
    </row>
    <row r="10153" spans="1:1" s="199" customFormat="1" ht="12" hidden="1" customHeight="1">
      <c r="A10153" s="198"/>
    </row>
    <row r="10154" spans="1:1" s="199" customFormat="1" ht="12" hidden="1" customHeight="1">
      <c r="A10154" s="198"/>
    </row>
    <row r="10155" spans="1:1" s="199" customFormat="1" ht="12" hidden="1" customHeight="1">
      <c r="A10155" s="198"/>
    </row>
    <row r="10156" spans="1:1" s="199" customFormat="1" ht="12" hidden="1" customHeight="1">
      <c r="A10156" s="198"/>
    </row>
    <row r="10157" spans="1:1" s="199" customFormat="1" ht="12" hidden="1" customHeight="1">
      <c r="A10157" s="198"/>
    </row>
    <row r="10158" spans="1:1" s="199" customFormat="1" ht="12" hidden="1" customHeight="1">
      <c r="A10158" s="198"/>
    </row>
    <row r="10159" spans="1:1" s="199" customFormat="1" ht="12" hidden="1" customHeight="1">
      <c r="A10159" s="198"/>
    </row>
    <row r="10160" spans="1:1" s="199" customFormat="1" ht="12" hidden="1" customHeight="1">
      <c r="A10160" s="198"/>
    </row>
    <row r="10161" spans="1:1" s="199" customFormat="1" ht="12" hidden="1" customHeight="1">
      <c r="A10161" s="198"/>
    </row>
    <row r="10162" spans="1:1" s="199" customFormat="1" ht="12" hidden="1" customHeight="1">
      <c r="A10162" s="198"/>
    </row>
    <row r="10163" spans="1:1" s="199" customFormat="1" ht="12" hidden="1" customHeight="1">
      <c r="A10163" s="198"/>
    </row>
    <row r="10164" spans="1:1" s="199" customFormat="1" ht="12" hidden="1" customHeight="1">
      <c r="A10164" s="198"/>
    </row>
    <row r="10165" spans="1:1" s="199" customFormat="1" ht="12" hidden="1" customHeight="1">
      <c r="A10165" s="198"/>
    </row>
    <row r="10166" spans="1:1" s="199" customFormat="1" ht="12" hidden="1" customHeight="1">
      <c r="A10166" s="198"/>
    </row>
    <row r="10167" spans="1:1" s="199" customFormat="1" ht="12" hidden="1" customHeight="1">
      <c r="A10167" s="198"/>
    </row>
    <row r="10168" spans="1:1" s="199" customFormat="1" ht="12" hidden="1" customHeight="1">
      <c r="A10168" s="198"/>
    </row>
    <row r="10169" spans="1:1" s="199" customFormat="1" ht="12" hidden="1" customHeight="1">
      <c r="A10169" s="198"/>
    </row>
    <row r="10170" spans="1:1" s="199" customFormat="1" ht="12" hidden="1" customHeight="1">
      <c r="A10170" s="198"/>
    </row>
    <row r="10171" spans="1:1" s="199" customFormat="1" ht="12" hidden="1" customHeight="1">
      <c r="A10171" s="198"/>
    </row>
    <row r="10172" spans="1:1" s="199" customFormat="1" ht="12" hidden="1" customHeight="1">
      <c r="A10172" s="198"/>
    </row>
    <row r="10173" spans="1:1" s="199" customFormat="1" ht="12" hidden="1" customHeight="1">
      <c r="A10173" s="198"/>
    </row>
    <row r="10174" spans="1:1" s="199" customFormat="1" ht="12" hidden="1" customHeight="1">
      <c r="A10174" s="198"/>
    </row>
    <row r="10175" spans="1:1" s="199" customFormat="1" ht="12" hidden="1" customHeight="1">
      <c r="A10175" s="198"/>
    </row>
    <row r="10176" spans="1:1" s="199" customFormat="1" ht="12" hidden="1" customHeight="1">
      <c r="A10176" s="198"/>
    </row>
    <row r="10177" spans="1:1" s="199" customFormat="1" ht="12" hidden="1" customHeight="1">
      <c r="A10177" s="198"/>
    </row>
    <row r="10178" spans="1:1" s="199" customFormat="1" ht="12" hidden="1" customHeight="1">
      <c r="A10178" s="198"/>
    </row>
    <row r="10179" spans="1:1" s="199" customFormat="1" ht="12" hidden="1" customHeight="1">
      <c r="A10179" s="198"/>
    </row>
    <row r="10180" spans="1:1" s="199" customFormat="1" ht="12" hidden="1" customHeight="1">
      <c r="A10180" s="198"/>
    </row>
    <row r="10181" spans="1:1" s="199" customFormat="1" ht="12" hidden="1" customHeight="1">
      <c r="A10181" s="198"/>
    </row>
    <row r="10182" spans="1:1" s="199" customFormat="1" ht="12" hidden="1" customHeight="1">
      <c r="A10182" s="198"/>
    </row>
    <row r="10183" spans="1:1" s="199" customFormat="1" ht="12" hidden="1" customHeight="1">
      <c r="A10183" s="198"/>
    </row>
    <row r="10184" spans="1:1" s="199" customFormat="1" ht="12" hidden="1" customHeight="1">
      <c r="A10184" s="198"/>
    </row>
    <row r="10185" spans="1:1" s="199" customFormat="1" ht="12" hidden="1" customHeight="1">
      <c r="A10185" s="198"/>
    </row>
    <row r="10186" spans="1:1" s="199" customFormat="1" ht="12" hidden="1" customHeight="1">
      <c r="A10186" s="198"/>
    </row>
    <row r="10187" spans="1:1" s="199" customFormat="1" ht="12" hidden="1" customHeight="1">
      <c r="A10187" s="198"/>
    </row>
    <row r="10188" spans="1:1" s="199" customFormat="1" ht="12" hidden="1" customHeight="1">
      <c r="A10188" s="198"/>
    </row>
    <row r="10189" spans="1:1" s="199" customFormat="1" ht="12" hidden="1" customHeight="1">
      <c r="A10189" s="198"/>
    </row>
    <row r="10190" spans="1:1" s="199" customFormat="1" ht="12" hidden="1" customHeight="1">
      <c r="A10190" s="198"/>
    </row>
    <row r="10191" spans="1:1" s="199" customFormat="1" ht="12" hidden="1" customHeight="1">
      <c r="A10191" s="198"/>
    </row>
    <row r="10192" spans="1:1" s="199" customFormat="1" ht="12" hidden="1" customHeight="1">
      <c r="A10192" s="198"/>
    </row>
    <row r="10193" spans="1:1" s="199" customFormat="1" ht="12" hidden="1" customHeight="1">
      <c r="A10193" s="198"/>
    </row>
    <row r="10194" spans="1:1" s="199" customFormat="1" ht="12" hidden="1" customHeight="1">
      <c r="A10194" s="198"/>
    </row>
    <row r="10195" spans="1:1" s="199" customFormat="1" ht="12" hidden="1" customHeight="1">
      <c r="A10195" s="198"/>
    </row>
    <row r="10196" spans="1:1" s="199" customFormat="1" ht="12" hidden="1" customHeight="1">
      <c r="A10196" s="198"/>
    </row>
    <row r="10197" spans="1:1" s="199" customFormat="1" ht="12" hidden="1" customHeight="1">
      <c r="A10197" s="198"/>
    </row>
    <row r="10198" spans="1:1" s="199" customFormat="1" ht="12" hidden="1" customHeight="1">
      <c r="A10198" s="198"/>
    </row>
    <row r="10199" spans="1:1" s="199" customFormat="1" ht="12" hidden="1" customHeight="1">
      <c r="A10199" s="198"/>
    </row>
    <row r="10200" spans="1:1" s="199" customFormat="1" ht="12" hidden="1" customHeight="1">
      <c r="A10200" s="198"/>
    </row>
    <row r="10201" spans="1:1" s="199" customFormat="1" ht="12" hidden="1" customHeight="1">
      <c r="A10201" s="198"/>
    </row>
    <row r="10202" spans="1:1" s="199" customFormat="1" ht="12" hidden="1" customHeight="1">
      <c r="A10202" s="198"/>
    </row>
    <row r="10203" spans="1:1" s="199" customFormat="1" ht="12" hidden="1" customHeight="1">
      <c r="A10203" s="198"/>
    </row>
    <row r="10204" spans="1:1" s="199" customFormat="1" ht="12" hidden="1" customHeight="1">
      <c r="A10204" s="198"/>
    </row>
    <row r="10205" spans="1:1" s="199" customFormat="1" ht="12" hidden="1" customHeight="1">
      <c r="A10205" s="198"/>
    </row>
    <row r="10206" spans="1:1" s="199" customFormat="1" ht="12" hidden="1" customHeight="1">
      <c r="A10206" s="198"/>
    </row>
    <row r="10207" spans="1:1" s="199" customFormat="1" ht="12" hidden="1" customHeight="1">
      <c r="A10207" s="198"/>
    </row>
    <row r="10208" spans="1:1" s="199" customFormat="1" ht="12" hidden="1" customHeight="1">
      <c r="A10208" s="198"/>
    </row>
    <row r="10209" spans="1:1" s="199" customFormat="1" ht="12" hidden="1" customHeight="1">
      <c r="A10209" s="198"/>
    </row>
    <row r="10210" spans="1:1" s="199" customFormat="1" ht="12" hidden="1" customHeight="1">
      <c r="A10210" s="198"/>
    </row>
    <row r="10211" spans="1:1" s="199" customFormat="1" ht="12" hidden="1" customHeight="1">
      <c r="A10211" s="198"/>
    </row>
    <row r="10212" spans="1:1" s="199" customFormat="1" ht="12" hidden="1" customHeight="1">
      <c r="A10212" s="198"/>
    </row>
    <row r="10213" spans="1:1" s="199" customFormat="1" ht="12" hidden="1" customHeight="1">
      <c r="A10213" s="198"/>
    </row>
    <row r="10214" spans="1:1" s="199" customFormat="1" ht="12" hidden="1" customHeight="1">
      <c r="A10214" s="198"/>
    </row>
    <row r="10215" spans="1:1" s="199" customFormat="1" ht="12" hidden="1" customHeight="1">
      <c r="A10215" s="198"/>
    </row>
    <row r="10216" spans="1:1" s="199" customFormat="1" ht="12" hidden="1" customHeight="1">
      <c r="A10216" s="198"/>
    </row>
    <row r="10217" spans="1:1" s="199" customFormat="1" ht="12" hidden="1" customHeight="1">
      <c r="A10217" s="198"/>
    </row>
    <row r="10218" spans="1:1" s="199" customFormat="1" ht="12" hidden="1" customHeight="1">
      <c r="A10218" s="198"/>
    </row>
    <row r="10219" spans="1:1" s="199" customFormat="1" ht="12" hidden="1" customHeight="1">
      <c r="A10219" s="198"/>
    </row>
    <row r="10220" spans="1:1" s="199" customFormat="1" ht="12" hidden="1" customHeight="1">
      <c r="A10220" s="198"/>
    </row>
    <row r="10221" spans="1:1" s="199" customFormat="1" ht="12" hidden="1" customHeight="1">
      <c r="A10221" s="198"/>
    </row>
    <row r="10222" spans="1:1" s="199" customFormat="1" ht="12" hidden="1" customHeight="1">
      <c r="A10222" s="198"/>
    </row>
    <row r="10223" spans="1:1" s="199" customFormat="1" ht="12" hidden="1" customHeight="1">
      <c r="A10223" s="198"/>
    </row>
    <row r="10224" spans="1:1" s="199" customFormat="1" ht="12" hidden="1" customHeight="1">
      <c r="A10224" s="198"/>
    </row>
    <row r="10225" spans="1:1" s="199" customFormat="1" ht="12" hidden="1" customHeight="1">
      <c r="A10225" s="198"/>
    </row>
    <row r="10226" spans="1:1" s="199" customFormat="1" ht="12" hidden="1" customHeight="1">
      <c r="A10226" s="198"/>
    </row>
    <row r="10227" spans="1:1" s="199" customFormat="1" ht="12" hidden="1" customHeight="1">
      <c r="A10227" s="198"/>
    </row>
    <row r="10228" spans="1:1" s="199" customFormat="1" ht="12" hidden="1" customHeight="1">
      <c r="A10228" s="198"/>
    </row>
    <row r="10229" spans="1:1" s="199" customFormat="1" ht="12" hidden="1" customHeight="1">
      <c r="A10229" s="198"/>
    </row>
    <row r="10230" spans="1:1" s="199" customFormat="1" ht="12" hidden="1" customHeight="1">
      <c r="A10230" s="198"/>
    </row>
    <row r="10231" spans="1:1" s="199" customFormat="1" ht="12" hidden="1" customHeight="1">
      <c r="A10231" s="198"/>
    </row>
    <row r="10232" spans="1:1" s="199" customFormat="1" ht="12" hidden="1" customHeight="1">
      <c r="A10232" s="198"/>
    </row>
    <row r="10233" spans="1:1" s="199" customFormat="1" ht="12" hidden="1" customHeight="1">
      <c r="A10233" s="198"/>
    </row>
    <row r="10234" spans="1:1" s="199" customFormat="1" ht="12" hidden="1" customHeight="1">
      <c r="A10234" s="198"/>
    </row>
    <row r="10235" spans="1:1" s="199" customFormat="1" ht="12" hidden="1" customHeight="1">
      <c r="A10235" s="198"/>
    </row>
    <row r="10236" spans="1:1" s="199" customFormat="1" ht="12" hidden="1" customHeight="1">
      <c r="A10236" s="198"/>
    </row>
    <row r="10237" spans="1:1" s="199" customFormat="1" ht="12" hidden="1" customHeight="1">
      <c r="A10237" s="198"/>
    </row>
    <row r="10238" spans="1:1" s="199" customFormat="1" ht="12" hidden="1" customHeight="1">
      <c r="A10238" s="198"/>
    </row>
    <row r="10239" spans="1:1" s="199" customFormat="1" ht="12" hidden="1" customHeight="1">
      <c r="A10239" s="198"/>
    </row>
    <row r="10240" spans="1:1" s="199" customFormat="1" ht="12" hidden="1" customHeight="1">
      <c r="A10240" s="198"/>
    </row>
    <row r="10241" spans="1:1" s="199" customFormat="1" ht="12" hidden="1" customHeight="1">
      <c r="A10241" s="198"/>
    </row>
    <row r="10242" spans="1:1" s="199" customFormat="1" ht="12" hidden="1" customHeight="1">
      <c r="A10242" s="198"/>
    </row>
    <row r="10243" spans="1:1" s="199" customFormat="1" ht="12" hidden="1" customHeight="1">
      <c r="A10243" s="198"/>
    </row>
    <row r="10244" spans="1:1" s="199" customFormat="1" ht="12" hidden="1" customHeight="1">
      <c r="A10244" s="198"/>
    </row>
    <row r="10245" spans="1:1" s="199" customFormat="1" ht="12" hidden="1" customHeight="1">
      <c r="A10245" s="198"/>
    </row>
    <row r="10246" spans="1:1" s="199" customFormat="1" ht="12" hidden="1" customHeight="1">
      <c r="A10246" s="198"/>
    </row>
    <row r="10247" spans="1:1" s="199" customFormat="1" ht="12" hidden="1" customHeight="1">
      <c r="A10247" s="198"/>
    </row>
    <row r="10248" spans="1:1" s="199" customFormat="1" ht="12" hidden="1" customHeight="1">
      <c r="A10248" s="198"/>
    </row>
    <row r="10249" spans="1:1" s="199" customFormat="1" ht="12" hidden="1" customHeight="1">
      <c r="A10249" s="198"/>
    </row>
    <row r="10250" spans="1:1" s="199" customFormat="1" ht="12" hidden="1" customHeight="1">
      <c r="A10250" s="198"/>
    </row>
    <row r="10251" spans="1:1" s="199" customFormat="1" ht="12" hidden="1" customHeight="1">
      <c r="A10251" s="198"/>
    </row>
    <row r="10252" spans="1:1" s="199" customFormat="1" ht="12" hidden="1" customHeight="1">
      <c r="A10252" s="198"/>
    </row>
    <row r="10253" spans="1:1" s="199" customFormat="1" ht="12" hidden="1" customHeight="1">
      <c r="A10253" s="198"/>
    </row>
    <row r="10254" spans="1:1" s="199" customFormat="1" ht="12" hidden="1" customHeight="1">
      <c r="A10254" s="198"/>
    </row>
    <row r="10255" spans="1:1" s="199" customFormat="1" ht="12" hidden="1" customHeight="1">
      <c r="A10255" s="198"/>
    </row>
    <row r="10256" spans="1:1" s="199" customFormat="1" ht="12" hidden="1" customHeight="1">
      <c r="A10256" s="198"/>
    </row>
    <row r="10257" spans="1:1" s="199" customFormat="1" ht="12" hidden="1" customHeight="1">
      <c r="A10257" s="198"/>
    </row>
    <row r="10258" spans="1:1" s="199" customFormat="1" ht="12" hidden="1" customHeight="1">
      <c r="A10258" s="198"/>
    </row>
    <row r="10259" spans="1:1" s="199" customFormat="1" ht="12" hidden="1" customHeight="1">
      <c r="A10259" s="198"/>
    </row>
    <row r="10260" spans="1:1" s="199" customFormat="1" ht="12" hidden="1" customHeight="1">
      <c r="A10260" s="198"/>
    </row>
    <row r="10261" spans="1:1" s="199" customFormat="1" ht="12" hidden="1" customHeight="1">
      <c r="A10261" s="198"/>
    </row>
    <row r="10262" spans="1:1" s="199" customFormat="1" ht="12" hidden="1" customHeight="1">
      <c r="A10262" s="198"/>
    </row>
    <row r="10263" spans="1:1" s="199" customFormat="1" ht="12" hidden="1" customHeight="1">
      <c r="A10263" s="198"/>
    </row>
    <row r="10264" spans="1:1" s="199" customFormat="1" ht="12" hidden="1" customHeight="1">
      <c r="A10264" s="198"/>
    </row>
    <row r="10265" spans="1:1" s="199" customFormat="1" ht="12" hidden="1" customHeight="1">
      <c r="A10265" s="198"/>
    </row>
    <row r="10266" spans="1:1" s="199" customFormat="1" ht="12" hidden="1" customHeight="1">
      <c r="A10266" s="198"/>
    </row>
    <row r="10267" spans="1:1" s="199" customFormat="1" ht="12" hidden="1" customHeight="1">
      <c r="A10267" s="198"/>
    </row>
    <row r="10268" spans="1:1" s="199" customFormat="1" ht="12" hidden="1" customHeight="1">
      <c r="A10268" s="198"/>
    </row>
    <row r="10269" spans="1:1" s="199" customFormat="1" ht="12" hidden="1" customHeight="1">
      <c r="A10269" s="198"/>
    </row>
    <row r="10270" spans="1:1" s="199" customFormat="1" ht="12" hidden="1" customHeight="1">
      <c r="A10270" s="198"/>
    </row>
    <row r="10271" spans="1:1" s="199" customFormat="1" ht="12" hidden="1" customHeight="1">
      <c r="A10271" s="198"/>
    </row>
    <row r="10272" spans="1:1" s="199" customFormat="1" ht="12" hidden="1" customHeight="1">
      <c r="A10272" s="198"/>
    </row>
    <row r="10273" spans="1:1" s="199" customFormat="1" ht="12" hidden="1" customHeight="1">
      <c r="A10273" s="198"/>
    </row>
    <row r="10274" spans="1:1" s="199" customFormat="1" ht="12" hidden="1" customHeight="1">
      <c r="A10274" s="198"/>
    </row>
    <row r="10275" spans="1:1" s="199" customFormat="1" ht="12" hidden="1" customHeight="1">
      <c r="A10275" s="198"/>
    </row>
    <row r="10276" spans="1:1" s="199" customFormat="1" ht="12" hidden="1" customHeight="1">
      <c r="A10276" s="198"/>
    </row>
    <row r="10277" spans="1:1" s="199" customFormat="1" ht="12" hidden="1" customHeight="1">
      <c r="A10277" s="198"/>
    </row>
    <row r="10278" spans="1:1" s="199" customFormat="1" ht="12" hidden="1" customHeight="1">
      <c r="A10278" s="198"/>
    </row>
    <row r="10279" spans="1:1" s="199" customFormat="1" ht="12" hidden="1" customHeight="1">
      <c r="A10279" s="198"/>
    </row>
    <row r="10280" spans="1:1" s="199" customFormat="1" ht="12" hidden="1" customHeight="1">
      <c r="A10280" s="198"/>
    </row>
    <row r="10281" spans="1:1" s="199" customFormat="1" ht="12" hidden="1" customHeight="1">
      <c r="A10281" s="198"/>
    </row>
    <row r="10282" spans="1:1" s="199" customFormat="1" ht="12" hidden="1" customHeight="1">
      <c r="A10282" s="198"/>
    </row>
    <row r="10283" spans="1:1" s="199" customFormat="1" ht="12" hidden="1" customHeight="1">
      <c r="A10283" s="198"/>
    </row>
    <row r="10284" spans="1:1" s="199" customFormat="1" ht="12" hidden="1" customHeight="1">
      <c r="A10284" s="198"/>
    </row>
    <row r="10285" spans="1:1" s="199" customFormat="1" ht="12" hidden="1" customHeight="1">
      <c r="A10285" s="198"/>
    </row>
    <row r="10286" spans="1:1" s="199" customFormat="1" ht="12" hidden="1" customHeight="1">
      <c r="A10286" s="198"/>
    </row>
    <row r="10287" spans="1:1" s="199" customFormat="1" ht="12" hidden="1" customHeight="1">
      <c r="A10287" s="198"/>
    </row>
    <row r="10288" spans="1:1" s="199" customFormat="1" ht="12" hidden="1" customHeight="1">
      <c r="A10288" s="198"/>
    </row>
    <row r="10289" spans="1:1" s="199" customFormat="1" ht="12" hidden="1" customHeight="1">
      <c r="A10289" s="198"/>
    </row>
    <row r="10290" spans="1:1" s="199" customFormat="1" ht="12" hidden="1" customHeight="1">
      <c r="A10290" s="198"/>
    </row>
    <row r="10291" spans="1:1" s="199" customFormat="1" ht="12" hidden="1" customHeight="1">
      <c r="A10291" s="198"/>
    </row>
    <row r="10292" spans="1:1" s="199" customFormat="1" ht="12" hidden="1" customHeight="1">
      <c r="A10292" s="198"/>
    </row>
    <row r="10293" spans="1:1" s="199" customFormat="1" ht="12" hidden="1" customHeight="1">
      <c r="A10293" s="198"/>
    </row>
    <row r="10294" spans="1:1" s="199" customFormat="1" ht="12" hidden="1" customHeight="1">
      <c r="A10294" s="198"/>
    </row>
    <row r="10295" spans="1:1" s="199" customFormat="1" ht="12" hidden="1" customHeight="1">
      <c r="A10295" s="198"/>
    </row>
    <row r="10296" spans="1:1" s="199" customFormat="1" ht="12" hidden="1" customHeight="1">
      <c r="A10296" s="198"/>
    </row>
    <row r="10297" spans="1:1" s="199" customFormat="1" ht="12" hidden="1" customHeight="1">
      <c r="A10297" s="198"/>
    </row>
    <row r="10298" spans="1:1" s="199" customFormat="1" ht="12" hidden="1" customHeight="1">
      <c r="A10298" s="198"/>
    </row>
    <row r="10299" spans="1:1" s="199" customFormat="1" ht="12" hidden="1" customHeight="1">
      <c r="A10299" s="198"/>
    </row>
    <row r="10300" spans="1:1" s="199" customFormat="1" ht="12" hidden="1" customHeight="1">
      <c r="A10300" s="198"/>
    </row>
    <row r="10301" spans="1:1" s="199" customFormat="1" ht="12" hidden="1" customHeight="1">
      <c r="A10301" s="198"/>
    </row>
    <row r="10302" spans="1:1" s="199" customFormat="1" ht="12" hidden="1" customHeight="1">
      <c r="A10302" s="198"/>
    </row>
    <row r="10303" spans="1:1" s="199" customFormat="1" ht="12" hidden="1" customHeight="1">
      <c r="A10303" s="198"/>
    </row>
    <row r="10304" spans="1:1" s="199" customFormat="1" ht="12" hidden="1" customHeight="1">
      <c r="A10304" s="198"/>
    </row>
    <row r="10305" spans="1:1" s="199" customFormat="1" ht="12" hidden="1" customHeight="1">
      <c r="A10305" s="198"/>
    </row>
    <row r="10306" spans="1:1" s="199" customFormat="1" ht="12" hidden="1" customHeight="1">
      <c r="A10306" s="198"/>
    </row>
    <row r="10307" spans="1:1" s="199" customFormat="1" ht="12" hidden="1" customHeight="1">
      <c r="A10307" s="198"/>
    </row>
    <row r="10308" spans="1:1" s="199" customFormat="1" ht="12" hidden="1" customHeight="1">
      <c r="A10308" s="198"/>
    </row>
    <row r="10309" spans="1:1" s="199" customFormat="1" ht="12" hidden="1" customHeight="1">
      <c r="A10309" s="198"/>
    </row>
    <row r="10310" spans="1:1" s="199" customFormat="1" ht="12" hidden="1" customHeight="1">
      <c r="A10310" s="198"/>
    </row>
    <row r="10311" spans="1:1" s="199" customFormat="1" ht="12" hidden="1" customHeight="1">
      <c r="A10311" s="198"/>
    </row>
    <row r="10312" spans="1:1" s="199" customFormat="1" ht="12" hidden="1" customHeight="1">
      <c r="A10312" s="198"/>
    </row>
    <row r="10313" spans="1:1" s="199" customFormat="1" ht="12" hidden="1" customHeight="1">
      <c r="A10313" s="198"/>
    </row>
    <row r="10314" spans="1:1" s="199" customFormat="1" ht="12" hidden="1" customHeight="1">
      <c r="A10314" s="198"/>
    </row>
    <row r="10315" spans="1:1" s="199" customFormat="1" ht="12" hidden="1" customHeight="1">
      <c r="A10315" s="198"/>
    </row>
    <row r="10316" spans="1:1" s="199" customFormat="1" ht="12" hidden="1" customHeight="1">
      <c r="A10316" s="198"/>
    </row>
    <row r="10317" spans="1:1" s="199" customFormat="1" ht="12" hidden="1" customHeight="1">
      <c r="A10317" s="198"/>
    </row>
    <row r="10318" spans="1:1" s="199" customFormat="1" ht="12" hidden="1" customHeight="1">
      <c r="A10318" s="198"/>
    </row>
    <row r="10319" spans="1:1" s="199" customFormat="1" ht="12" hidden="1" customHeight="1">
      <c r="A10319" s="198"/>
    </row>
    <row r="10320" spans="1:1" s="199" customFormat="1" ht="12" hidden="1" customHeight="1">
      <c r="A10320" s="198"/>
    </row>
    <row r="10321" spans="1:1" s="199" customFormat="1" ht="12" hidden="1" customHeight="1">
      <c r="A10321" s="198"/>
    </row>
    <row r="10322" spans="1:1" s="199" customFormat="1" ht="12" hidden="1" customHeight="1">
      <c r="A10322" s="198"/>
    </row>
    <row r="10323" spans="1:1" s="199" customFormat="1" ht="12" hidden="1" customHeight="1">
      <c r="A10323" s="198"/>
    </row>
    <row r="10324" spans="1:1" s="199" customFormat="1" ht="12" hidden="1" customHeight="1">
      <c r="A10324" s="198"/>
    </row>
    <row r="10325" spans="1:1" s="199" customFormat="1" ht="12" hidden="1" customHeight="1">
      <c r="A10325" s="198"/>
    </row>
    <row r="10326" spans="1:1" s="199" customFormat="1" ht="12" hidden="1" customHeight="1">
      <c r="A10326" s="198"/>
    </row>
    <row r="10327" spans="1:1" s="199" customFormat="1" ht="12" hidden="1" customHeight="1">
      <c r="A10327" s="198"/>
    </row>
    <row r="10328" spans="1:1" s="199" customFormat="1" ht="12" hidden="1" customHeight="1">
      <c r="A10328" s="198"/>
    </row>
    <row r="10329" spans="1:1" s="199" customFormat="1" ht="12" hidden="1" customHeight="1">
      <c r="A10329" s="198"/>
    </row>
    <row r="10330" spans="1:1" s="199" customFormat="1" ht="12" hidden="1" customHeight="1">
      <c r="A10330" s="198"/>
    </row>
    <row r="10331" spans="1:1" s="199" customFormat="1" ht="12" hidden="1" customHeight="1">
      <c r="A10331" s="198"/>
    </row>
    <row r="10332" spans="1:1" s="199" customFormat="1" ht="12" hidden="1" customHeight="1">
      <c r="A10332" s="198"/>
    </row>
    <row r="10333" spans="1:1" s="199" customFormat="1" ht="12" hidden="1" customHeight="1">
      <c r="A10333" s="198"/>
    </row>
    <row r="10334" spans="1:1" s="199" customFormat="1" ht="12" hidden="1" customHeight="1">
      <c r="A10334" s="198"/>
    </row>
    <row r="10335" spans="1:1" s="199" customFormat="1" ht="12" hidden="1" customHeight="1">
      <c r="A10335" s="198"/>
    </row>
    <row r="10336" spans="1:1" s="199" customFormat="1" ht="12" hidden="1" customHeight="1">
      <c r="A10336" s="198"/>
    </row>
    <row r="10337" spans="1:1" s="199" customFormat="1" ht="12" hidden="1" customHeight="1">
      <c r="A10337" s="198"/>
    </row>
    <row r="10338" spans="1:1" s="199" customFormat="1" ht="12" hidden="1" customHeight="1">
      <c r="A10338" s="198"/>
    </row>
    <row r="10339" spans="1:1" s="199" customFormat="1" ht="12" hidden="1" customHeight="1">
      <c r="A10339" s="198"/>
    </row>
    <row r="10340" spans="1:1" s="199" customFormat="1" ht="12" hidden="1" customHeight="1">
      <c r="A10340" s="198"/>
    </row>
    <row r="10341" spans="1:1" s="199" customFormat="1" ht="12" hidden="1" customHeight="1">
      <c r="A10341" s="198"/>
    </row>
    <row r="10342" spans="1:1" s="199" customFormat="1" ht="12" hidden="1" customHeight="1">
      <c r="A10342" s="198"/>
    </row>
    <row r="10343" spans="1:1" s="199" customFormat="1" ht="12" hidden="1" customHeight="1">
      <c r="A10343" s="198"/>
    </row>
    <row r="10344" spans="1:1" s="199" customFormat="1" ht="12" hidden="1" customHeight="1">
      <c r="A10344" s="198"/>
    </row>
    <row r="10345" spans="1:1" s="199" customFormat="1" ht="12" hidden="1" customHeight="1">
      <c r="A10345" s="198"/>
    </row>
    <row r="10346" spans="1:1" s="199" customFormat="1" ht="12" hidden="1" customHeight="1">
      <c r="A10346" s="198"/>
    </row>
    <row r="10347" spans="1:1" s="199" customFormat="1" ht="12" hidden="1" customHeight="1">
      <c r="A10347" s="198"/>
    </row>
    <row r="10348" spans="1:1" s="199" customFormat="1" ht="12" hidden="1" customHeight="1">
      <c r="A10348" s="198"/>
    </row>
    <row r="10349" spans="1:1" s="199" customFormat="1" ht="12" hidden="1" customHeight="1">
      <c r="A10349" s="198"/>
    </row>
    <row r="10350" spans="1:1" s="199" customFormat="1" ht="12" hidden="1" customHeight="1">
      <c r="A10350" s="198"/>
    </row>
    <row r="10351" spans="1:1" s="199" customFormat="1" ht="12" hidden="1" customHeight="1">
      <c r="A10351" s="198"/>
    </row>
    <row r="10352" spans="1:1" s="199" customFormat="1" ht="12" hidden="1" customHeight="1">
      <c r="A10352" s="198"/>
    </row>
    <row r="10353" spans="1:1" s="199" customFormat="1" ht="12" hidden="1" customHeight="1">
      <c r="A10353" s="198"/>
    </row>
    <row r="10354" spans="1:1" s="199" customFormat="1" ht="12" hidden="1" customHeight="1">
      <c r="A10354" s="198"/>
    </row>
    <row r="10355" spans="1:1" s="199" customFormat="1" ht="12" hidden="1" customHeight="1">
      <c r="A10355" s="198"/>
    </row>
    <row r="10356" spans="1:1" s="199" customFormat="1" ht="12" hidden="1" customHeight="1">
      <c r="A10356" s="198"/>
    </row>
    <row r="10357" spans="1:1" s="199" customFormat="1" ht="12" hidden="1" customHeight="1">
      <c r="A10357" s="198"/>
    </row>
    <row r="10358" spans="1:1" s="199" customFormat="1" ht="12" hidden="1" customHeight="1">
      <c r="A10358" s="198"/>
    </row>
    <row r="10359" spans="1:1" s="199" customFormat="1" ht="12" hidden="1" customHeight="1">
      <c r="A10359" s="198"/>
    </row>
    <row r="10360" spans="1:1" s="199" customFormat="1" ht="12" hidden="1" customHeight="1">
      <c r="A10360" s="198"/>
    </row>
    <row r="10361" spans="1:1" s="199" customFormat="1" ht="12" hidden="1" customHeight="1">
      <c r="A10361" s="198"/>
    </row>
    <row r="10362" spans="1:1" s="199" customFormat="1" ht="12" hidden="1" customHeight="1">
      <c r="A10362" s="198"/>
    </row>
    <row r="10363" spans="1:1" s="199" customFormat="1" ht="12" hidden="1" customHeight="1">
      <c r="A10363" s="198"/>
    </row>
    <row r="10364" spans="1:1" s="199" customFormat="1" ht="12" hidden="1" customHeight="1">
      <c r="A10364" s="198"/>
    </row>
    <row r="10365" spans="1:1" s="199" customFormat="1" ht="12" hidden="1" customHeight="1">
      <c r="A10365" s="198"/>
    </row>
    <row r="10366" spans="1:1" s="199" customFormat="1" ht="12" hidden="1" customHeight="1">
      <c r="A10366" s="198"/>
    </row>
    <row r="10367" spans="1:1" s="199" customFormat="1" ht="12" hidden="1" customHeight="1">
      <c r="A10367" s="198"/>
    </row>
    <row r="10368" spans="1:1" s="199" customFormat="1" ht="12" hidden="1" customHeight="1">
      <c r="A10368" s="198"/>
    </row>
    <row r="10369" spans="1:1" s="199" customFormat="1" ht="12" hidden="1" customHeight="1">
      <c r="A10369" s="198"/>
    </row>
    <row r="10370" spans="1:1" s="199" customFormat="1" ht="12" hidden="1" customHeight="1">
      <c r="A10370" s="198"/>
    </row>
    <row r="10371" spans="1:1" s="199" customFormat="1" ht="12" hidden="1" customHeight="1">
      <c r="A10371" s="198"/>
    </row>
    <row r="10372" spans="1:1" s="199" customFormat="1" ht="12" hidden="1" customHeight="1">
      <c r="A10372" s="198"/>
    </row>
    <row r="10373" spans="1:1" s="199" customFormat="1" ht="12" hidden="1" customHeight="1">
      <c r="A10373" s="198"/>
    </row>
    <row r="10374" spans="1:1" s="199" customFormat="1" ht="12" hidden="1" customHeight="1">
      <c r="A10374" s="198"/>
    </row>
    <row r="10375" spans="1:1" s="199" customFormat="1" ht="12" hidden="1" customHeight="1">
      <c r="A10375" s="198"/>
    </row>
    <row r="10376" spans="1:1" s="199" customFormat="1" ht="12" hidden="1" customHeight="1">
      <c r="A10376" s="198"/>
    </row>
    <row r="10377" spans="1:1" s="199" customFormat="1" ht="12" hidden="1" customHeight="1">
      <c r="A10377" s="198"/>
    </row>
    <row r="10378" spans="1:1" s="199" customFormat="1" ht="12" hidden="1" customHeight="1">
      <c r="A10378" s="198"/>
    </row>
    <row r="10379" spans="1:1" s="199" customFormat="1" ht="12" hidden="1" customHeight="1">
      <c r="A10379" s="198"/>
    </row>
    <row r="10380" spans="1:1" s="199" customFormat="1" ht="12" hidden="1" customHeight="1">
      <c r="A10380" s="198"/>
    </row>
    <row r="10381" spans="1:1" s="199" customFormat="1" ht="12" hidden="1" customHeight="1">
      <c r="A10381" s="198"/>
    </row>
    <row r="10382" spans="1:1" s="199" customFormat="1" ht="12" hidden="1" customHeight="1">
      <c r="A10382" s="198"/>
    </row>
    <row r="10383" spans="1:1" s="199" customFormat="1" ht="12" hidden="1" customHeight="1">
      <c r="A10383" s="198"/>
    </row>
    <row r="10384" spans="1:1" s="199" customFormat="1" ht="12" hidden="1" customHeight="1">
      <c r="A10384" s="198"/>
    </row>
    <row r="10385" spans="1:1" s="199" customFormat="1" ht="12" hidden="1" customHeight="1">
      <c r="A10385" s="198"/>
    </row>
    <row r="10386" spans="1:1" s="199" customFormat="1" ht="12" hidden="1" customHeight="1">
      <c r="A10386" s="198"/>
    </row>
    <row r="10387" spans="1:1" s="199" customFormat="1" ht="12" hidden="1" customHeight="1">
      <c r="A10387" s="198"/>
    </row>
    <row r="10388" spans="1:1" s="199" customFormat="1" ht="12" hidden="1" customHeight="1">
      <c r="A10388" s="198"/>
    </row>
    <row r="10389" spans="1:1" s="199" customFormat="1" ht="12" hidden="1" customHeight="1">
      <c r="A10389" s="198"/>
    </row>
    <row r="10390" spans="1:1" s="199" customFormat="1" ht="12" hidden="1" customHeight="1">
      <c r="A10390" s="198"/>
    </row>
    <row r="10391" spans="1:1" s="199" customFormat="1" ht="12" hidden="1" customHeight="1">
      <c r="A10391" s="198"/>
    </row>
    <row r="10392" spans="1:1" s="199" customFormat="1" ht="12" hidden="1" customHeight="1">
      <c r="A10392" s="198"/>
    </row>
    <row r="10393" spans="1:1" s="199" customFormat="1" ht="12" hidden="1" customHeight="1">
      <c r="A10393" s="198"/>
    </row>
    <row r="10394" spans="1:1" s="199" customFormat="1" ht="12" hidden="1" customHeight="1">
      <c r="A10394" s="198"/>
    </row>
    <row r="10395" spans="1:1" s="199" customFormat="1" ht="12" hidden="1" customHeight="1">
      <c r="A10395" s="198"/>
    </row>
    <row r="10396" spans="1:1" s="199" customFormat="1" ht="12" hidden="1" customHeight="1">
      <c r="A10396" s="198"/>
    </row>
    <row r="10397" spans="1:1" s="199" customFormat="1" ht="12" hidden="1" customHeight="1">
      <c r="A10397" s="198"/>
    </row>
    <row r="10398" spans="1:1" s="199" customFormat="1" ht="12" hidden="1" customHeight="1">
      <c r="A10398" s="198"/>
    </row>
    <row r="10399" spans="1:1" s="199" customFormat="1" ht="12" hidden="1" customHeight="1">
      <c r="A10399" s="198"/>
    </row>
    <row r="10400" spans="1:1" s="199" customFormat="1" ht="12" hidden="1" customHeight="1">
      <c r="A10400" s="198"/>
    </row>
    <row r="10401" spans="1:1" s="199" customFormat="1" ht="12" hidden="1" customHeight="1">
      <c r="A10401" s="198"/>
    </row>
    <row r="10402" spans="1:1" s="199" customFormat="1" ht="12" hidden="1" customHeight="1">
      <c r="A10402" s="198"/>
    </row>
    <row r="10403" spans="1:1" s="199" customFormat="1" ht="12" hidden="1" customHeight="1">
      <c r="A10403" s="198"/>
    </row>
    <row r="10404" spans="1:1" s="199" customFormat="1" ht="12" hidden="1" customHeight="1">
      <c r="A10404" s="198"/>
    </row>
    <row r="10405" spans="1:1" s="199" customFormat="1" ht="12" hidden="1" customHeight="1">
      <c r="A10405" s="198"/>
    </row>
    <row r="10406" spans="1:1" s="199" customFormat="1" ht="12" hidden="1" customHeight="1">
      <c r="A10406" s="198"/>
    </row>
    <row r="10407" spans="1:1" s="199" customFormat="1" ht="12" hidden="1" customHeight="1">
      <c r="A10407" s="198"/>
    </row>
    <row r="10408" spans="1:1" s="199" customFormat="1" ht="12" hidden="1" customHeight="1">
      <c r="A10408" s="198"/>
    </row>
    <row r="10409" spans="1:1" s="199" customFormat="1" ht="12" hidden="1" customHeight="1">
      <c r="A10409" s="198"/>
    </row>
    <row r="10410" spans="1:1" s="199" customFormat="1" ht="12" hidden="1" customHeight="1">
      <c r="A10410" s="198"/>
    </row>
    <row r="10411" spans="1:1" s="199" customFormat="1" ht="12" hidden="1" customHeight="1">
      <c r="A10411" s="198"/>
    </row>
    <row r="10412" spans="1:1" s="199" customFormat="1" ht="12" hidden="1" customHeight="1">
      <c r="A10412" s="198"/>
    </row>
    <row r="10413" spans="1:1" s="199" customFormat="1" ht="12" hidden="1" customHeight="1">
      <c r="A10413" s="198"/>
    </row>
    <row r="10414" spans="1:1" s="199" customFormat="1" ht="12" hidden="1" customHeight="1">
      <c r="A10414" s="198"/>
    </row>
    <row r="10415" spans="1:1" s="199" customFormat="1" ht="12" hidden="1" customHeight="1">
      <c r="A10415" s="198"/>
    </row>
    <row r="10416" spans="1:1" s="199" customFormat="1" ht="12" hidden="1" customHeight="1">
      <c r="A10416" s="198"/>
    </row>
    <row r="10417" spans="1:1" s="199" customFormat="1" ht="12" hidden="1" customHeight="1">
      <c r="A10417" s="198"/>
    </row>
    <row r="10418" spans="1:1" s="199" customFormat="1" ht="12" hidden="1" customHeight="1">
      <c r="A10418" s="198"/>
    </row>
    <row r="10419" spans="1:1" s="199" customFormat="1" ht="12" hidden="1" customHeight="1">
      <c r="A10419" s="198"/>
    </row>
    <row r="10420" spans="1:1" s="199" customFormat="1" ht="12" hidden="1" customHeight="1">
      <c r="A10420" s="198"/>
    </row>
    <row r="10421" spans="1:1" s="199" customFormat="1" ht="12" hidden="1" customHeight="1">
      <c r="A10421" s="198"/>
    </row>
    <row r="10422" spans="1:1" s="199" customFormat="1" ht="12" hidden="1" customHeight="1">
      <c r="A10422" s="198"/>
    </row>
    <row r="10423" spans="1:1" s="199" customFormat="1" ht="12" hidden="1" customHeight="1">
      <c r="A10423" s="198"/>
    </row>
    <row r="10424" spans="1:1" s="199" customFormat="1" ht="12" hidden="1" customHeight="1">
      <c r="A10424" s="198"/>
    </row>
    <row r="10425" spans="1:1" s="199" customFormat="1" ht="12" hidden="1" customHeight="1">
      <c r="A10425" s="198"/>
    </row>
    <row r="10426" spans="1:1" s="199" customFormat="1" ht="12" hidden="1" customHeight="1">
      <c r="A10426" s="198"/>
    </row>
    <row r="10427" spans="1:1" s="199" customFormat="1" ht="12" hidden="1" customHeight="1">
      <c r="A10427" s="198"/>
    </row>
    <row r="10428" spans="1:1" s="199" customFormat="1" ht="12" hidden="1" customHeight="1">
      <c r="A10428" s="198"/>
    </row>
    <row r="10429" spans="1:1" s="199" customFormat="1" ht="12" hidden="1" customHeight="1">
      <c r="A10429" s="198"/>
    </row>
    <row r="10430" spans="1:1" s="199" customFormat="1" ht="12" hidden="1" customHeight="1">
      <c r="A10430" s="198"/>
    </row>
    <row r="10431" spans="1:1" s="199" customFormat="1" ht="12" hidden="1" customHeight="1">
      <c r="A10431" s="198"/>
    </row>
    <row r="10432" spans="1:1" s="199" customFormat="1" ht="12" hidden="1" customHeight="1">
      <c r="A10432" s="198"/>
    </row>
    <row r="10433" spans="1:1" s="199" customFormat="1" ht="12" hidden="1" customHeight="1">
      <c r="A10433" s="198"/>
    </row>
    <row r="10434" spans="1:1" s="199" customFormat="1" ht="12" hidden="1" customHeight="1">
      <c r="A10434" s="198"/>
    </row>
    <row r="10435" spans="1:1" s="199" customFormat="1" ht="12" hidden="1" customHeight="1">
      <c r="A10435" s="198"/>
    </row>
    <row r="10436" spans="1:1" s="199" customFormat="1" ht="12" hidden="1" customHeight="1">
      <c r="A10436" s="198"/>
    </row>
    <row r="10437" spans="1:1" s="199" customFormat="1" ht="12" hidden="1" customHeight="1">
      <c r="A10437" s="198"/>
    </row>
    <row r="10438" spans="1:1" s="199" customFormat="1" ht="12" hidden="1" customHeight="1">
      <c r="A10438" s="198"/>
    </row>
    <row r="10439" spans="1:1" s="199" customFormat="1" ht="12" hidden="1" customHeight="1">
      <c r="A10439" s="198"/>
    </row>
    <row r="10440" spans="1:1" s="199" customFormat="1" ht="12" hidden="1" customHeight="1">
      <c r="A10440" s="198"/>
    </row>
    <row r="10441" spans="1:1" s="199" customFormat="1" ht="12" hidden="1" customHeight="1">
      <c r="A10441" s="198"/>
    </row>
    <row r="10442" spans="1:1" s="199" customFormat="1" ht="12" hidden="1" customHeight="1">
      <c r="A10442" s="198"/>
    </row>
    <row r="10443" spans="1:1" s="199" customFormat="1" ht="12" hidden="1" customHeight="1">
      <c r="A10443" s="198"/>
    </row>
    <row r="10444" spans="1:1" s="199" customFormat="1" ht="12" hidden="1" customHeight="1">
      <c r="A10444" s="198"/>
    </row>
    <row r="10445" spans="1:1" s="199" customFormat="1" ht="12" hidden="1" customHeight="1">
      <c r="A10445" s="198"/>
    </row>
    <row r="10446" spans="1:1" s="199" customFormat="1" ht="12" hidden="1" customHeight="1">
      <c r="A10446" s="198"/>
    </row>
    <row r="10447" spans="1:1" s="199" customFormat="1" ht="12" hidden="1" customHeight="1">
      <c r="A10447" s="198"/>
    </row>
    <row r="10448" spans="1:1" s="199" customFormat="1" ht="12" hidden="1" customHeight="1">
      <c r="A10448" s="198"/>
    </row>
    <row r="10449" spans="1:1" s="199" customFormat="1" ht="12" hidden="1" customHeight="1">
      <c r="A10449" s="198"/>
    </row>
    <row r="10450" spans="1:1" s="199" customFormat="1" ht="12" hidden="1" customHeight="1">
      <c r="A10450" s="198"/>
    </row>
    <row r="10451" spans="1:1" s="199" customFormat="1" ht="12" hidden="1" customHeight="1">
      <c r="A10451" s="198"/>
    </row>
    <row r="10452" spans="1:1" s="199" customFormat="1" ht="12" hidden="1" customHeight="1">
      <c r="A10452" s="198"/>
    </row>
    <row r="10453" spans="1:1" s="199" customFormat="1" ht="12" hidden="1" customHeight="1">
      <c r="A10453" s="198"/>
    </row>
    <row r="10454" spans="1:1" s="199" customFormat="1" ht="12" hidden="1" customHeight="1">
      <c r="A10454" s="198"/>
    </row>
    <row r="10455" spans="1:1" s="199" customFormat="1" ht="12" hidden="1" customHeight="1">
      <c r="A10455" s="198"/>
    </row>
    <row r="10456" spans="1:1" s="199" customFormat="1" ht="12" hidden="1" customHeight="1">
      <c r="A10456" s="198"/>
    </row>
    <row r="10457" spans="1:1" s="199" customFormat="1" ht="12" hidden="1" customHeight="1">
      <c r="A10457" s="198"/>
    </row>
    <row r="10458" spans="1:1" s="199" customFormat="1" ht="12" hidden="1" customHeight="1">
      <c r="A10458" s="198"/>
    </row>
    <row r="10459" spans="1:1" s="199" customFormat="1" ht="12" hidden="1" customHeight="1">
      <c r="A10459" s="198"/>
    </row>
    <row r="10460" spans="1:1" s="199" customFormat="1" ht="12" hidden="1" customHeight="1">
      <c r="A10460" s="198"/>
    </row>
    <row r="10461" spans="1:1" s="199" customFormat="1" ht="12" hidden="1" customHeight="1">
      <c r="A10461" s="198"/>
    </row>
    <row r="10462" spans="1:1" s="199" customFormat="1" ht="12" hidden="1" customHeight="1">
      <c r="A10462" s="198"/>
    </row>
    <row r="10463" spans="1:1" s="199" customFormat="1" ht="12" hidden="1" customHeight="1">
      <c r="A10463" s="198"/>
    </row>
    <row r="10464" spans="1:1" s="199" customFormat="1" ht="12" hidden="1" customHeight="1">
      <c r="A10464" s="198"/>
    </row>
    <row r="10465" spans="1:1" s="199" customFormat="1" ht="12" hidden="1" customHeight="1">
      <c r="A10465" s="198"/>
    </row>
    <row r="10466" spans="1:1" s="199" customFormat="1" ht="12" hidden="1" customHeight="1">
      <c r="A10466" s="198"/>
    </row>
    <row r="10467" spans="1:1" s="199" customFormat="1" ht="12" hidden="1" customHeight="1">
      <c r="A10467" s="198"/>
    </row>
    <row r="10468" spans="1:1" s="199" customFormat="1" ht="12" hidden="1" customHeight="1">
      <c r="A10468" s="198"/>
    </row>
    <row r="10469" spans="1:1" s="199" customFormat="1" ht="12" hidden="1" customHeight="1">
      <c r="A10469" s="198"/>
    </row>
    <row r="10470" spans="1:1" s="199" customFormat="1" ht="12" hidden="1" customHeight="1">
      <c r="A10470" s="198"/>
    </row>
    <row r="10471" spans="1:1" s="199" customFormat="1" ht="12" hidden="1" customHeight="1">
      <c r="A10471" s="198"/>
    </row>
    <row r="10472" spans="1:1" s="199" customFormat="1" ht="12" hidden="1" customHeight="1">
      <c r="A10472" s="198"/>
    </row>
    <row r="10473" spans="1:1" s="199" customFormat="1" ht="12" hidden="1" customHeight="1">
      <c r="A10473" s="198"/>
    </row>
    <row r="10474" spans="1:1" s="199" customFormat="1" ht="12" hidden="1" customHeight="1">
      <c r="A10474" s="198"/>
    </row>
    <row r="10475" spans="1:1" s="199" customFormat="1" ht="12" hidden="1" customHeight="1">
      <c r="A10475" s="198"/>
    </row>
    <row r="10476" spans="1:1" s="199" customFormat="1" ht="12" hidden="1" customHeight="1">
      <c r="A10476" s="198"/>
    </row>
    <row r="10477" spans="1:1" s="199" customFormat="1" ht="12" hidden="1" customHeight="1">
      <c r="A10477" s="198"/>
    </row>
    <row r="10478" spans="1:1" s="199" customFormat="1" ht="12" hidden="1" customHeight="1">
      <c r="A10478" s="198"/>
    </row>
    <row r="10479" spans="1:1" s="199" customFormat="1" ht="12" hidden="1" customHeight="1">
      <c r="A10479" s="198"/>
    </row>
    <row r="10480" spans="1:1" s="199" customFormat="1" ht="12" hidden="1" customHeight="1">
      <c r="A10480" s="198"/>
    </row>
    <row r="10481" spans="1:1" s="199" customFormat="1" ht="12" hidden="1" customHeight="1">
      <c r="A10481" s="198"/>
    </row>
    <row r="10482" spans="1:1" s="199" customFormat="1" ht="12" hidden="1" customHeight="1">
      <c r="A10482" s="198"/>
    </row>
    <row r="10483" spans="1:1" s="199" customFormat="1" ht="12" hidden="1" customHeight="1">
      <c r="A10483" s="198"/>
    </row>
    <row r="10484" spans="1:1" s="199" customFormat="1" ht="12" hidden="1" customHeight="1">
      <c r="A10484" s="198"/>
    </row>
    <row r="10485" spans="1:1" s="199" customFormat="1" ht="12" hidden="1" customHeight="1">
      <c r="A10485" s="198"/>
    </row>
    <row r="10486" spans="1:1" s="199" customFormat="1" ht="12" hidden="1" customHeight="1">
      <c r="A10486" s="198"/>
    </row>
    <row r="10487" spans="1:1" s="199" customFormat="1" ht="12" hidden="1" customHeight="1">
      <c r="A10487" s="198"/>
    </row>
    <row r="10488" spans="1:1" s="199" customFormat="1" ht="12" hidden="1" customHeight="1">
      <c r="A10488" s="198"/>
    </row>
    <row r="10489" spans="1:1" s="199" customFormat="1" ht="12" hidden="1" customHeight="1">
      <c r="A10489" s="198"/>
    </row>
    <row r="10490" spans="1:1" s="199" customFormat="1" ht="12" hidden="1" customHeight="1">
      <c r="A10490" s="198"/>
    </row>
    <row r="10491" spans="1:1" s="199" customFormat="1" ht="12" hidden="1" customHeight="1">
      <c r="A10491" s="198"/>
    </row>
    <row r="10492" spans="1:1" s="199" customFormat="1" ht="12" hidden="1" customHeight="1">
      <c r="A10492" s="198"/>
    </row>
    <row r="10493" spans="1:1" s="199" customFormat="1" ht="12" hidden="1" customHeight="1">
      <c r="A10493" s="198"/>
    </row>
    <row r="10494" spans="1:1" s="199" customFormat="1" ht="12" hidden="1" customHeight="1">
      <c r="A10494" s="198"/>
    </row>
    <row r="10495" spans="1:1" s="199" customFormat="1" ht="12" hidden="1" customHeight="1">
      <c r="A10495" s="198"/>
    </row>
    <row r="10496" spans="1:1" s="199" customFormat="1" ht="12" hidden="1" customHeight="1">
      <c r="A10496" s="198"/>
    </row>
    <row r="10497" spans="1:1" s="199" customFormat="1" ht="12" hidden="1" customHeight="1">
      <c r="A10497" s="198"/>
    </row>
    <row r="10498" spans="1:1" s="199" customFormat="1" ht="12" hidden="1" customHeight="1">
      <c r="A10498" s="198"/>
    </row>
    <row r="10499" spans="1:1" s="199" customFormat="1" ht="12" hidden="1" customHeight="1">
      <c r="A10499" s="198"/>
    </row>
    <row r="10500" spans="1:1" s="199" customFormat="1" ht="12" hidden="1" customHeight="1">
      <c r="A10500" s="198"/>
    </row>
    <row r="10501" spans="1:1" s="199" customFormat="1" ht="12" hidden="1" customHeight="1">
      <c r="A10501" s="198"/>
    </row>
    <row r="10502" spans="1:1" s="199" customFormat="1" ht="12" hidden="1" customHeight="1">
      <c r="A10502" s="198"/>
    </row>
    <row r="10503" spans="1:1" s="199" customFormat="1" ht="12" hidden="1" customHeight="1">
      <c r="A10503" s="198"/>
    </row>
    <row r="10504" spans="1:1" s="199" customFormat="1" ht="12" hidden="1" customHeight="1">
      <c r="A10504" s="198"/>
    </row>
    <row r="10505" spans="1:1" s="199" customFormat="1" ht="12" hidden="1" customHeight="1">
      <c r="A10505" s="198"/>
    </row>
    <row r="10506" spans="1:1" s="199" customFormat="1" ht="12" hidden="1" customHeight="1">
      <c r="A10506" s="198"/>
    </row>
    <row r="10507" spans="1:1" s="199" customFormat="1" ht="12" hidden="1" customHeight="1">
      <c r="A10507" s="198"/>
    </row>
    <row r="10508" spans="1:1" s="199" customFormat="1" ht="12" hidden="1" customHeight="1">
      <c r="A10508" s="198"/>
    </row>
    <row r="10509" spans="1:1" s="199" customFormat="1" ht="12" hidden="1" customHeight="1">
      <c r="A10509" s="198"/>
    </row>
    <row r="10510" spans="1:1" s="199" customFormat="1" ht="12" hidden="1" customHeight="1">
      <c r="A10510" s="198"/>
    </row>
    <row r="10511" spans="1:1" s="199" customFormat="1" ht="12" hidden="1" customHeight="1">
      <c r="A10511" s="198"/>
    </row>
    <row r="10512" spans="1:1" s="199" customFormat="1" ht="12" hidden="1" customHeight="1">
      <c r="A10512" s="198"/>
    </row>
    <row r="10513" spans="1:1" s="199" customFormat="1" ht="12" hidden="1" customHeight="1">
      <c r="A10513" s="198"/>
    </row>
    <row r="10514" spans="1:1" s="199" customFormat="1" ht="12" hidden="1" customHeight="1">
      <c r="A10514" s="198"/>
    </row>
    <row r="10515" spans="1:1" s="199" customFormat="1" ht="12" hidden="1" customHeight="1">
      <c r="A10515" s="198"/>
    </row>
    <row r="10516" spans="1:1" s="199" customFormat="1" ht="12" hidden="1" customHeight="1">
      <c r="A10516" s="198"/>
    </row>
    <row r="10517" spans="1:1" s="199" customFormat="1" ht="12" hidden="1" customHeight="1">
      <c r="A10517" s="198"/>
    </row>
    <row r="10518" spans="1:1" s="199" customFormat="1" ht="12" hidden="1" customHeight="1">
      <c r="A10518" s="198"/>
    </row>
    <row r="10519" spans="1:1" s="199" customFormat="1" ht="12" hidden="1" customHeight="1">
      <c r="A10519" s="198"/>
    </row>
    <row r="10520" spans="1:1" s="199" customFormat="1" ht="12" hidden="1" customHeight="1">
      <c r="A10520" s="198"/>
    </row>
    <row r="10521" spans="1:1" s="199" customFormat="1" ht="12" hidden="1" customHeight="1">
      <c r="A10521" s="198"/>
    </row>
    <row r="10522" spans="1:1" s="199" customFormat="1" ht="12" hidden="1" customHeight="1">
      <c r="A10522" s="198"/>
    </row>
    <row r="10523" spans="1:1" s="199" customFormat="1" ht="12" hidden="1" customHeight="1">
      <c r="A10523" s="198"/>
    </row>
    <row r="10524" spans="1:1" s="199" customFormat="1" ht="12" hidden="1" customHeight="1">
      <c r="A10524" s="198"/>
    </row>
    <row r="10525" spans="1:1" s="199" customFormat="1" ht="12" hidden="1" customHeight="1">
      <c r="A10525" s="198"/>
    </row>
    <row r="10526" spans="1:1" s="199" customFormat="1" ht="12" hidden="1" customHeight="1">
      <c r="A10526" s="198"/>
    </row>
    <row r="10527" spans="1:1" s="199" customFormat="1" ht="12" hidden="1" customHeight="1">
      <c r="A10527" s="198"/>
    </row>
    <row r="10528" spans="1:1" s="199" customFormat="1" ht="12" hidden="1" customHeight="1">
      <c r="A10528" s="198"/>
    </row>
    <row r="10529" spans="1:1" s="199" customFormat="1" ht="12" hidden="1" customHeight="1">
      <c r="A10529" s="198"/>
    </row>
    <row r="10530" spans="1:1" s="199" customFormat="1" ht="12" hidden="1" customHeight="1">
      <c r="A10530" s="198"/>
    </row>
    <row r="10531" spans="1:1" s="199" customFormat="1" ht="12" hidden="1" customHeight="1">
      <c r="A10531" s="198"/>
    </row>
    <row r="10532" spans="1:1" s="199" customFormat="1" ht="12" hidden="1" customHeight="1">
      <c r="A10532" s="198"/>
    </row>
    <row r="10533" spans="1:1" s="199" customFormat="1" ht="12" hidden="1" customHeight="1">
      <c r="A10533" s="198"/>
    </row>
    <row r="10534" spans="1:1" s="199" customFormat="1" ht="12" hidden="1" customHeight="1">
      <c r="A10534" s="198"/>
    </row>
    <row r="10535" spans="1:1" s="199" customFormat="1" ht="12" hidden="1" customHeight="1">
      <c r="A10535" s="198"/>
    </row>
    <row r="10536" spans="1:1" s="199" customFormat="1" ht="12" hidden="1" customHeight="1">
      <c r="A10536" s="198"/>
    </row>
    <row r="10537" spans="1:1" s="199" customFormat="1" ht="12" hidden="1" customHeight="1">
      <c r="A10537" s="198"/>
    </row>
    <row r="10538" spans="1:1" s="199" customFormat="1" ht="12" hidden="1" customHeight="1">
      <c r="A10538" s="198"/>
    </row>
    <row r="10539" spans="1:1" s="199" customFormat="1" ht="12" hidden="1" customHeight="1">
      <c r="A10539" s="198"/>
    </row>
    <row r="10540" spans="1:1" s="199" customFormat="1" ht="12" hidden="1" customHeight="1">
      <c r="A10540" s="198"/>
    </row>
    <row r="10541" spans="1:1" s="199" customFormat="1" ht="12" hidden="1" customHeight="1">
      <c r="A10541" s="198"/>
    </row>
    <row r="10542" spans="1:1" s="199" customFormat="1" ht="12" hidden="1" customHeight="1">
      <c r="A10542" s="198"/>
    </row>
    <row r="10543" spans="1:1" s="199" customFormat="1" ht="12" hidden="1" customHeight="1">
      <c r="A10543" s="198"/>
    </row>
    <row r="10544" spans="1:1" s="199" customFormat="1" ht="12" hidden="1" customHeight="1">
      <c r="A10544" s="198"/>
    </row>
    <row r="10545" spans="1:1" s="199" customFormat="1" ht="12" hidden="1" customHeight="1">
      <c r="A10545" s="198"/>
    </row>
    <row r="10546" spans="1:1" s="199" customFormat="1" ht="12" hidden="1" customHeight="1">
      <c r="A10546" s="198"/>
    </row>
    <row r="10547" spans="1:1" s="199" customFormat="1" ht="12" hidden="1" customHeight="1">
      <c r="A10547" s="198"/>
    </row>
    <row r="10548" spans="1:1" s="199" customFormat="1" ht="12" hidden="1" customHeight="1">
      <c r="A10548" s="198"/>
    </row>
    <row r="10549" spans="1:1" s="199" customFormat="1" ht="12" hidden="1" customHeight="1">
      <c r="A10549" s="198"/>
    </row>
    <row r="10550" spans="1:1" s="199" customFormat="1" ht="12" hidden="1" customHeight="1">
      <c r="A10550" s="198"/>
    </row>
    <row r="10551" spans="1:1" s="199" customFormat="1" ht="12" hidden="1" customHeight="1">
      <c r="A10551" s="198"/>
    </row>
    <row r="10552" spans="1:1" s="199" customFormat="1" ht="12" hidden="1" customHeight="1">
      <c r="A10552" s="198"/>
    </row>
    <row r="10553" spans="1:1" s="199" customFormat="1" ht="12" hidden="1" customHeight="1">
      <c r="A10553" s="198"/>
    </row>
    <row r="10554" spans="1:1" s="199" customFormat="1" ht="12" hidden="1" customHeight="1">
      <c r="A10554" s="198"/>
    </row>
    <row r="10555" spans="1:1" s="199" customFormat="1" ht="12" hidden="1" customHeight="1">
      <c r="A10555" s="198"/>
    </row>
    <row r="10556" spans="1:1" s="199" customFormat="1" ht="12" hidden="1" customHeight="1">
      <c r="A10556" s="198"/>
    </row>
    <row r="10557" spans="1:1" s="199" customFormat="1" ht="12" hidden="1" customHeight="1">
      <c r="A10557" s="198"/>
    </row>
    <row r="10558" spans="1:1" s="199" customFormat="1" ht="12" hidden="1" customHeight="1">
      <c r="A10558" s="198"/>
    </row>
    <row r="10559" spans="1:1" s="199" customFormat="1" ht="12" hidden="1" customHeight="1">
      <c r="A10559" s="198"/>
    </row>
    <row r="10560" spans="1:1" s="199" customFormat="1" ht="12" hidden="1" customHeight="1">
      <c r="A10560" s="198"/>
    </row>
    <row r="10561" spans="1:1" s="199" customFormat="1" ht="12" hidden="1" customHeight="1">
      <c r="A10561" s="198"/>
    </row>
    <row r="10562" spans="1:1" s="199" customFormat="1" ht="12" hidden="1" customHeight="1">
      <c r="A10562" s="198"/>
    </row>
    <row r="10563" spans="1:1" s="199" customFormat="1" ht="12" hidden="1" customHeight="1">
      <c r="A10563" s="198"/>
    </row>
    <row r="10564" spans="1:1" s="199" customFormat="1" ht="12" hidden="1" customHeight="1">
      <c r="A10564" s="198"/>
    </row>
    <row r="10565" spans="1:1" s="199" customFormat="1" ht="12" hidden="1" customHeight="1">
      <c r="A10565" s="198"/>
    </row>
    <row r="10566" spans="1:1" s="199" customFormat="1" ht="12" hidden="1" customHeight="1">
      <c r="A10566" s="198"/>
    </row>
    <row r="10567" spans="1:1" s="199" customFormat="1" ht="12" hidden="1" customHeight="1">
      <c r="A10567" s="198"/>
    </row>
    <row r="10568" spans="1:1" s="199" customFormat="1" ht="12" hidden="1" customHeight="1">
      <c r="A10568" s="198"/>
    </row>
    <row r="10569" spans="1:1" s="199" customFormat="1" ht="12" hidden="1" customHeight="1">
      <c r="A10569" s="198"/>
    </row>
    <row r="10570" spans="1:1" s="199" customFormat="1" ht="12" hidden="1" customHeight="1">
      <c r="A10570" s="198"/>
    </row>
    <row r="10571" spans="1:1" s="199" customFormat="1" ht="12" hidden="1" customHeight="1">
      <c r="A10571" s="198"/>
    </row>
    <row r="10572" spans="1:1" s="199" customFormat="1" ht="12" hidden="1" customHeight="1">
      <c r="A10572" s="198"/>
    </row>
    <row r="10573" spans="1:1" s="199" customFormat="1" ht="12" hidden="1" customHeight="1">
      <c r="A10573" s="198"/>
    </row>
    <row r="10574" spans="1:1" s="199" customFormat="1" ht="12" hidden="1" customHeight="1">
      <c r="A10574" s="198"/>
    </row>
    <row r="10575" spans="1:1" s="199" customFormat="1" ht="12" hidden="1" customHeight="1">
      <c r="A10575" s="198"/>
    </row>
    <row r="10576" spans="1:1" s="199" customFormat="1" ht="12" hidden="1" customHeight="1">
      <c r="A10576" s="198"/>
    </row>
    <row r="10577" spans="1:1" s="199" customFormat="1" ht="12" hidden="1" customHeight="1">
      <c r="A10577" s="198"/>
    </row>
    <row r="10578" spans="1:1" s="199" customFormat="1" ht="12" hidden="1" customHeight="1">
      <c r="A10578" s="198"/>
    </row>
    <row r="10579" spans="1:1" s="199" customFormat="1" ht="12" hidden="1" customHeight="1">
      <c r="A10579" s="198"/>
    </row>
    <row r="10580" spans="1:1" s="199" customFormat="1" ht="12" hidden="1" customHeight="1">
      <c r="A10580" s="198"/>
    </row>
    <row r="10581" spans="1:1" s="199" customFormat="1" ht="12" hidden="1" customHeight="1">
      <c r="A10581" s="198"/>
    </row>
    <row r="10582" spans="1:1" s="199" customFormat="1" ht="12" hidden="1" customHeight="1">
      <c r="A10582" s="198"/>
    </row>
    <row r="10583" spans="1:1" s="199" customFormat="1" ht="12" hidden="1" customHeight="1">
      <c r="A10583" s="198"/>
    </row>
    <row r="10584" spans="1:1" s="199" customFormat="1" ht="12" hidden="1" customHeight="1">
      <c r="A10584" s="198"/>
    </row>
    <row r="10585" spans="1:1" s="199" customFormat="1" ht="12" hidden="1" customHeight="1">
      <c r="A10585" s="198"/>
    </row>
    <row r="10586" spans="1:1" s="199" customFormat="1" ht="12" hidden="1" customHeight="1">
      <c r="A10586" s="198"/>
    </row>
    <row r="10587" spans="1:1" s="199" customFormat="1" ht="12" hidden="1" customHeight="1">
      <c r="A10587" s="198"/>
    </row>
    <row r="10588" spans="1:1" s="199" customFormat="1" ht="12" hidden="1" customHeight="1">
      <c r="A10588" s="198"/>
    </row>
    <row r="10589" spans="1:1" s="199" customFormat="1" ht="12" hidden="1" customHeight="1">
      <c r="A10589" s="198"/>
    </row>
    <row r="10590" spans="1:1" s="199" customFormat="1" ht="12" hidden="1" customHeight="1">
      <c r="A10590" s="198"/>
    </row>
    <row r="10591" spans="1:1" s="199" customFormat="1" ht="12" hidden="1" customHeight="1">
      <c r="A10591" s="198"/>
    </row>
    <row r="10592" spans="1:1" s="199" customFormat="1" ht="12" hidden="1" customHeight="1">
      <c r="A10592" s="198"/>
    </row>
    <row r="10593" spans="1:1" s="199" customFormat="1" ht="12" hidden="1" customHeight="1">
      <c r="A10593" s="198"/>
    </row>
    <row r="10594" spans="1:1" s="199" customFormat="1" ht="12" hidden="1" customHeight="1">
      <c r="A10594" s="198"/>
    </row>
    <row r="10595" spans="1:1" s="199" customFormat="1" ht="12" hidden="1" customHeight="1">
      <c r="A10595" s="198"/>
    </row>
    <row r="10596" spans="1:1" s="199" customFormat="1" ht="12" hidden="1" customHeight="1">
      <c r="A10596" s="198"/>
    </row>
    <row r="10597" spans="1:1" s="199" customFormat="1" ht="12" hidden="1" customHeight="1">
      <c r="A10597" s="198"/>
    </row>
    <row r="10598" spans="1:1" s="199" customFormat="1" ht="12" hidden="1" customHeight="1">
      <c r="A10598" s="198"/>
    </row>
    <row r="10599" spans="1:1" s="199" customFormat="1" ht="12" hidden="1" customHeight="1">
      <c r="A10599" s="198"/>
    </row>
    <row r="10600" spans="1:1" s="199" customFormat="1" ht="12" hidden="1" customHeight="1">
      <c r="A10600" s="198"/>
    </row>
    <row r="10601" spans="1:1" s="199" customFormat="1" ht="12" hidden="1" customHeight="1">
      <c r="A10601" s="198"/>
    </row>
    <row r="10602" spans="1:1" s="199" customFormat="1" ht="12" hidden="1" customHeight="1">
      <c r="A10602" s="198"/>
    </row>
    <row r="10603" spans="1:1" s="199" customFormat="1" ht="12" hidden="1" customHeight="1">
      <c r="A10603" s="198"/>
    </row>
    <row r="10604" spans="1:1" s="199" customFormat="1" ht="12" hidden="1" customHeight="1">
      <c r="A10604" s="198"/>
    </row>
    <row r="10605" spans="1:1" s="199" customFormat="1" ht="12" hidden="1" customHeight="1">
      <c r="A10605" s="198"/>
    </row>
    <row r="10606" spans="1:1" s="199" customFormat="1" ht="12" hidden="1" customHeight="1">
      <c r="A10606" s="198"/>
    </row>
    <row r="10607" spans="1:1" s="199" customFormat="1" ht="12" hidden="1" customHeight="1">
      <c r="A10607" s="198"/>
    </row>
    <row r="10608" spans="1:1" s="199" customFormat="1" ht="12" hidden="1" customHeight="1">
      <c r="A10608" s="198"/>
    </row>
    <row r="10609" spans="1:1" s="199" customFormat="1" ht="12" hidden="1" customHeight="1">
      <c r="A10609" s="198"/>
    </row>
    <row r="10610" spans="1:1" s="199" customFormat="1" ht="12" hidden="1" customHeight="1">
      <c r="A10610" s="198"/>
    </row>
    <row r="10611" spans="1:1" s="199" customFormat="1" ht="12" hidden="1" customHeight="1">
      <c r="A10611" s="198"/>
    </row>
    <row r="10612" spans="1:1" s="199" customFormat="1" ht="12" hidden="1" customHeight="1">
      <c r="A10612" s="198"/>
    </row>
    <row r="10613" spans="1:1" s="199" customFormat="1" ht="12" hidden="1" customHeight="1">
      <c r="A10613" s="198"/>
    </row>
    <row r="10614" spans="1:1" s="199" customFormat="1" ht="12" hidden="1" customHeight="1">
      <c r="A10614" s="198"/>
    </row>
    <row r="10615" spans="1:1" s="199" customFormat="1" ht="12" hidden="1" customHeight="1">
      <c r="A10615" s="198"/>
    </row>
    <row r="10616" spans="1:1" s="199" customFormat="1" ht="12" hidden="1" customHeight="1">
      <c r="A10616" s="198"/>
    </row>
    <row r="10617" spans="1:1" s="199" customFormat="1" ht="12" hidden="1" customHeight="1">
      <c r="A10617" s="198"/>
    </row>
    <row r="10618" spans="1:1" s="199" customFormat="1" ht="12" hidden="1" customHeight="1">
      <c r="A10618" s="198"/>
    </row>
    <row r="10619" spans="1:1" s="199" customFormat="1" ht="12" hidden="1" customHeight="1">
      <c r="A10619" s="198"/>
    </row>
    <row r="10620" spans="1:1" s="199" customFormat="1" ht="12" hidden="1" customHeight="1">
      <c r="A10620" s="198"/>
    </row>
    <row r="10621" spans="1:1" s="199" customFormat="1" ht="12" hidden="1" customHeight="1">
      <c r="A10621" s="198"/>
    </row>
    <row r="10622" spans="1:1" s="199" customFormat="1" ht="12" hidden="1" customHeight="1">
      <c r="A10622" s="198"/>
    </row>
    <row r="10623" spans="1:1" s="199" customFormat="1" ht="12" hidden="1" customHeight="1">
      <c r="A10623" s="198"/>
    </row>
    <row r="10624" spans="1:1" s="199" customFormat="1" ht="12" hidden="1" customHeight="1">
      <c r="A10624" s="198"/>
    </row>
    <row r="10625" spans="1:1" s="199" customFormat="1" ht="12" hidden="1" customHeight="1">
      <c r="A10625" s="198"/>
    </row>
    <row r="10626" spans="1:1" s="199" customFormat="1" ht="12" hidden="1" customHeight="1">
      <c r="A10626" s="198"/>
    </row>
    <row r="10627" spans="1:1" s="199" customFormat="1" ht="12" hidden="1" customHeight="1">
      <c r="A10627" s="198"/>
    </row>
    <row r="10628" spans="1:1" s="199" customFormat="1" ht="12" hidden="1" customHeight="1">
      <c r="A10628" s="198"/>
    </row>
    <row r="10629" spans="1:1" s="199" customFormat="1" ht="12" hidden="1" customHeight="1">
      <c r="A10629" s="198"/>
    </row>
    <row r="10630" spans="1:1" s="199" customFormat="1" ht="12" hidden="1" customHeight="1">
      <c r="A10630" s="198"/>
    </row>
    <row r="10631" spans="1:1" s="199" customFormat="1" ht="12" hidden="1" customHeight="1">
      <c r="A10631" s="198"/>
    </row>
    <row r="10632" spans="1:1" s="199" customFormat="1" ht="12" hidden="1" customHeight="1">
      <c r="A10632" s="198"/>
    </row>
    <row r="10633" spans="1:1" s="199" customFormat="1" ht="12" hidden="1" customHeight="1">
      <c r="A10633" s="198"/>
    </row>
    <row r="10634" spans="1:1" s="199" customFormat="1" ht="12" hidden="1" customHeight="1">
      <c r="A10634" s="198"/>
    </row>
    <row r="10635" spans="1:1" s="199" customFormat="1" ht="12" hidden="1" customHeight="1">
      <c r="A10635" s="198"/>
    </row>
    <row r="10636" spans="1:1" s="199" customFormat="1" ht="12" hidden="1" customHeight="1">
      <c r="A10636" s="198"/>
    </row>
    <row r="10637" spans="1:1" s="199" customFormat="1" ht="12" hidden="1" customHeight="1">
      <c r="A10637" s="198"/>
    </row>
    <row r="10638" spans="1:1" s="199" customFormat="1" ht="12" hidden="1" customHeight="1">
      <c r="A10638" s="198"/>
    </row>
    <row r="10639" spans="1:1" s="199" customFormat="1" ht="12" hidden="1" customHeight="1">
      <c r="A10639" s="198"/>
    </row>
    <row r="10640" spans="1:1" s="199" customFormat="1" ht="12" hidden="1" customHeight="1">
      <c r="A10640" s="198"/>
    </row>
    <row r="10641" spans="1:1" s="199" customFormat="1" ht="12" hidden="1" customHeight="1">
      <c r="A10641" s="198"/>
    </row>
    <row r="10642" spans="1:1" s="199" customFormat="1" ht="12" hidden="1" customHeight="1">
      <c r="A10642" s="198"/>
    </row>
    <row r="10643" spans="1:1" s="199" customFormat="1" ht="12" hidden="1" customHeight="1">
      <c r="A10643" s="198"/>
    </row>
    <row r="10644" spans="1:1" s="199" customFormat="1" ht="12" hidden="1" customHeight="1">
      <c r="A10644" s="198"/>
    </row>
    <row r="10645" spans="1:1" s="199" customFormat="1" ht="12" hidden="1" customHeight="1">
      <c r="A10645" s="198"/>
    </row>
    <row r="10646" spans="1:1" s="199" customFormat="1" ht="12" hidden="1" customHeight="1">
      <c r="A10646" s="198"/>
    </row>
    <row r="10647" spans="1:1" s="199" customFormat="1" ht="12" hidden="1" customHeight="1">
      <c r="A10647" s="198"/>
    </row>
    <row r="10648" spans="1:1" s="199" customFormat="1" ht="12" hidden="1" customHeight="1">
      <c r="A10648" s="198"/>
    </row>
    <row r="10649" spans="1:1" s="199" customFormat="1" ht="12" hidden="1" customHeight="1">
      <c r="A10649" s="198"/>
    </row>
    <row r="10650" spans="1:1" s="199" customFormat="1" ht="12" hidden="1" customHeight="1">
      <c r="A10650" s="198"/>
    </row>
    <row r="10651" spans="1:1" s="199" customFormat="1" ht="12" hidden="1" customHeight="1">
      <c r="A10651" s="198"/>
    </row>
    <row r="10652" spans="1:1" s="199" customFormat="1" ht="12" hidden="1" customHeight="1">
      <c r="A10652" s="198"/>
    </row>
    <row r="10653" spans="1:1" s="199" customFormat="1" ht="12" hidden="1" customHeight="1">
      <c r="A10653" s="198"/>
    </row>
    <row r="10654" spans="1:1" s="199" customFormat="1" ht="12" hidden="1" customHeight="1">
      <c r="A10654" s="198"/>
    </row>
    <row r="10655" spans="1:1" s="199" customFormat="1" ht="12" hidden="1" customHeight="1">
      <c r="A10655" s="198"/>
    </row>
    <row r="10656" spans="1:1" s="199" customFormat="1" ht="12" hidden="1" customHeight="1">
      <c r="A10656" s="198"/>
    </row>
    <row r="10657" spans="1:1" s="199" customFormat="1" ht="12" hidden="1" customHeight="1">
      <c r="A10657" s="198"/>
    </row>
    <row r="10658" spans="1:1" s="199" customFormat="1" ht="12" hidden="1" customHeight="1">
      <c r="A10658" s="198"/>
    </row>
    <row r="10659" spans="1:1" s="199" customFormat="1" ht="12" hidden="1" customHeight="1">
      <c r="A10659" s="198"/>
    </row>
    <row r="10660" spans="1:1" s="199" customFormat="1" ht="12" hidden="1" customHeight="1">
      <c r="A10660" s="198"/>
    </row>
    <row r="10661" spans="1:1" s="199" customFormat="1" ht="12" hidden="1" customHeight="1">
      <c r="A10661" s="198"/>
    </row>
    <row r="10662" spans="1:1" s="199" customFormat="1" ht="12" hidden="1" customHeight="1">
      <c r="A10662" s="198"/>
    </row>
    <row r="10663" spans="1:1" s="199" customFormat="1" ht="12" hidden="1" customHeight="1">
      <c r="A10663" s="198"/>
    </row>
    <row r="10664" spans="1:1" s="199" customFormat="1" ht="12" hidden="1" customHeight="1">
      <c r="A10664" s="198"/>
    </row>
    <row r="10665" spans="1:1" s="199" customFormat="1" ht="12" hidden="1" customHeight="1">
      <c r="A10665" s="198"/>
    </row>
    <row r="10666" spans="1:1" s="199" customFormat="1" ht="12" hidden="1" customHeight="1">
      <c r="A10666" s="198"/>
    </row>
    <row r="10667" spans="1:1" s="199" customFormat="1" ht="12" hidden="1" customHeight="1">
      <c r="A10667" s="198"/>
    </row>
    <row r="10668" spans="1:1" s="199" customFormat="1" ht="12" hidden="1" customHeight="1">
      <c r="A10668" s="198"/>
    </row>
    <row r="10669" spans="1:1" s="199" customFormat="1" ht="12" hidden="1" customHeight="1">
      <c r="A10669" s="198"/>
    </row>
    <row r="10670" spans="1:1" s="199" customFormat="1" ht="12" hidden="1" customHeight="1">
      <c r="A10670" s="198"/>
    </row>
    <row r="10671" spans="1:1" s="199" customFormat="1" ht="12" hidden="1" customHeight="1">
      <c r="A10671" s="198"/>
    </row>
    <row r="10672" spans="1:1" s="199" customFormat="1" ht="12" hidden="1" customHeight="1">
      <c r="A10672" s="198"/>
    </row>
    <row r="10673" spans="1:1" s="199" customFormat="1" ht="12" hidden="1" customHeight="1">
      <c r="A10673" s="198"/>
    </row>
    <row r="10674" spans="1:1" s="199" customFormat="1" ht="12" hidden="1" customHeight="1">
      <c r="A10674" s="198"/>
    </row>
    <row r="10675" spans="1:1" s="199" customFormat="1" ht="12" hidden="1" customHeight="1">
      <c r="A10675" s="198"/>
    </row>
    <row r="10676" spans="1:1" s="199" customFormat="1" ht="12" hidden="1" customHeight="1">
      <c r="A10676" s="198"/>
    </row>
    <row r="10677" spans="1:1" s="199" customFormat="1" ht="12" hidden="1" customHeight="1">
      <c r="A10677" s="198"/>
    </row>
    <row r="10678" spans="1:1" s="199" customFormat="1" ht="12" hidden="1" customHeight="1">
      <c r="A10678" s="198"/>
    </row>
    <row r="10679" spans="1:1" s="199" customFormat="1" ht="12" hidden="1" customHeight="1">
      <c r="A10679" s="198"/>
    </row>
    <row r="10680" spans="1:1" s="199" customFormat="1" ht="12" hidden="1" customHeight="1">
      <c r="A10680" s="198"/>
    </row>
    <row r="10681" spans="1:1" s="199" customFormat="1" ht="12" hidden="1" customHeight="1">
      <c r="A10681" s="198"/>
    </row>
    <row r="10682" spans="1:1" s="199" customFormat="1" ht="12" hidden="1" customHeight="1">
      <c r="A10682" s="198"/>
    </row>
    <row r="10683" spans="1:1" s="199" customFormat="1" ht="12" hidden="1" customHeight="1">
      <c r="A10683" s="198"/>
    </row>
    <row r="10684" spans="1:1" s="199" customFormat="1" ht="12" hidden="1" customHeight="1">
      <c r="A10684" s="198"/>
    </row>
    <row r="10685" spans="1:1" s="199" customFormat="1" ht="12" hidden="1" customHeight="1">
      <c r="A10685" s="198"/>
    </row>
    <row r="10686" spans="1:1" s="199" customFormat="1" ht="12" hidden="1" customHeight="1">
      <c r="A10686" s="198"/>
    </row>
    <row r="10687" spans="1:1" s="199" customFormat="1" ht="12" hidden="1" customHeight="1">
      <c r="A10687" s="198"/>
    </row>
    <row r="10688" spans="1:1" s="199" customFormat="1" ht="12" hidden="1" customHeight="1">
      <c r="A10688" s="198"/>
    </row>
    <row r="10689" spans="1:1" s="199" customFormat="1" ht="12" hidden="1" customHeight="1">
      <c r="A10689" s="198"/>
    </row>
    <row r="10690" spans="1:1" s="199" customFormat="1" ht="12" hidden="1" customHeight="1">
      <c r="A10690" s="198"/>
    </row>
    <row r="10691" spans="1:1" s="199" customFormat="1" ht="12" hidden="1" customHeight="1">
      <c r="A10691" s="198"/>
    </row>
    <row r="10692" spans="1:1" s="199" customFormat="1" ht="12" hidden="1" customHeight="1">
      <c r="A10692" s="198"/>
    </row>
    <row r="10693" spans="1:1" s="199" customFormat="1" ht="12" hidden="1" customHeight="1">
      <c r="A10693" s="198"/>
    </row>
    <row r="10694" spans="1:1" s="199" customFormat="1" ht="12" hidden="1" customHeight="1">
      <c r="A10694" s="198"/>
    </row>
    <row r="10695" spans="1:1" s="199" customFormat="1" ht="12" hidden="1" customHeight="1">
      <c r="A10695" s="198"/>
    </row>
    <row r="10696" spans="1:1" s="199" customFormat="1" ht="12" hidden="1" customHeight="1">
      <c r="A10696" s="198"/>
    </row>
    <row r="10697" spans="1:1" s="199" customFormat="1" ht="12" hidden="1" customHeight="1">
      <c r="A10697" s="198"/>
    </row>
    <row r="10698" spans="1:1" s="199" customFormat="1" ht="12" hidden="1" customHeight="1">
      <c r="A10698" s="198"/>
    </row>
    <row r="10699" spans="1:1" s="199" customFormat="1" ht="12" hidden="1" customHeight="1">
      <c r="A10699" s="198"/>
    </row>
    <row r="10700" spans="1:1" s="199" customFormat="1" ht="12" hidden="1" customHeight="1">
      <c r="A10700" s="198"/>
    </row>
    <row r="10701" spans="1:1" s="199" customFormat="1" ht="12" hidden="1" customHeight="1">
      <c r="A10701" s="198"/>
    </row>
    <row r="10702" spans="1:1" s="199" customFormat="1" ht="12" hidden="1" customHeight="1">
      <c r="A10702" s="198"/>
    </row>
    <row r="10703" spans="1:1" s="199" customFormat="1" ht="12" hidden="1" customHeight="1">
      <c r="A10703" s="198"/>
    </row>
    <row r="10704" spans="1:1" s="199" customFormat="1" ht="12" hidden="1" customHeight="1">
      <c r="A10704" s="198"/>
    </row>
    <row r="10705" spans="1:1" s="199" customFormat="1" ht="12" hidden="1" customHeight="1">
      <c r="A10705" s="198"/>
    </row>
    <row r="10706" spans="1:1" s="199" customFormat="1" ht="12" hidden="1" customHeight="1">
      <c r="A10706" s="198"/>
    </row>
    <row r="10707" spans="1:1" s="199" customFormat="1" ht="12" hidden="1" customHeight="1">
      <c r="A10707" s="198"/>
    </row>
    <row r="10708" spans="1:1" s="199" customFormat="1" ht="12" hidden="1" customHeight="1">
      <c r="A10708" s="198"/>
    </row>
    <row r="10709" spans="1:1" s="199" customFormat="1" ht="12" hidden="1" customHeight="1">
      <c r="A10709" s="198"/>
    </row>
    <row r="10710" spans="1:1" s="199" customFormat="1" ht="12" hidden="1" customHeight="1">
      <c r="A10710" s="198"/>
    </row>
    <row r="10711" spans="1:1" s="199" customFormat="1" ht="12" hidden="1" customHeight="1">
      <c r="A10711" s="198"/>
    </row>
    <row r="10712" spans="1:1" s="199" customFormat="1" ht="12" hidden="1" customHeight="1">
      <c r="A10712" s="198"/>
    </row>
    <row r="10713" spans="1:1" s="199" customFormat="1" ht="12" hidden="1" customHeight="1">
      <c r="A10713" s="198"/>
    </row>
    <row r="10714" spans="1:1" s="199" customFormat="1" ht="12" hidden="1" customHeight="1">
      <c r="A10714" s="198"/>
    </row>
    <row r="10715" spans="1:1" s="199" customFormat="1" ht="12" hidden="1" customHeight="1">
      <c r="A10715" s="198"/>
    </row>
    <row r="10716" spans="1:1" s="199" customFormat="1" ht="12" hidden="1" customHeight="1">
      <c r="A10716" s="198"/>
    </row>
    <row r="10717" spans="1:1" s="199" customFormat="1" ht="12" hidden="1" customHeight="1">
      <c r="A10717" s="198"/>
    </row>
    <row r="10718" spans="1:1" s="199" customFormat="1" ht="12" hidden="1" customHeight="1">
      <c r="A10718" s="198"/>
    </row>
    <row r="10719" spans="1:1" s="199" customFormat="1" ht="12" hidden="1" customHeight="1">
      <c r="A10719" s="198"/>
    </row>
    <row r="10720" spans="1:1" s="199" customFormat="1" ht="12" hidden="1" customHeight="1">
      <c r="A10720" s="198"/>
    </row>
    <row r="10721" spans="1:1" s="199" customFormat="1" ht="12" hidden="1" customHeight="1">
      <c r="A10721" s="198"/>
    </row>
    <row r="10722" spans="1:1" s="199" customFormat="1" ht="12" hidden="1" customHeight="1">
      <c r="A10722" s="198"/>
    </row>
    <row r="10723" spans="1:1" s="199" customFormat="1" ht="12" hidden="1" customHeight="1">
      <c r="A10723" s="198"/>
    </row>
    <row r="10724" spans="1:1" s="199" customFormat="1" ht="12" hidden="1" customHeight="1">
      <c r="A10724" s="198"/>
    </row>
    <row r="10725" spans="1:1" s="199" customFormat="1" ht="12" hidden="1" customHeight="1">
      <c r="A10725" s="198"/>
    </row>
    <row r="10726" spans="1:1" s="199" customFormat="1" ht="12" hidden="1" customHeight="1">
      <c r="A10726" s="198"/>
    </row>
    <row r="10727" spans="1:1" s="199" customFormat="1" ht="12" hidden="1" customHeight="1">
      <c r="A10727" s="198"/>
    </row>
    <row r="10728" spans="1:1" s="199" customFormat="1" ht="12" hidden="1" customHeight="1">
      <c r="A10728" s="198"/>
    </row>
    <row r="10729" spans="1:1" s="199" customFormat="1" ht="12" hidden="1" customHeight="1">
      <c r="A10729" s="198"/>
    </row>
    <row r="10730" spans="1:1" s="199" customFormat="1" ht="12" hidden="1" customHeight="1">
      <c r="A10730" s="198"/>
    </row>
    <row r="10731" spans="1:1" s="199" customFormat="1" ht="12" hidden="1" customHeight="1">
      <c r="A10731" s="198"/>
    </row>
    <row r="10732" spans="1:1" s="199" customFormat="1" ht="12" hidden="1" customHeight="1">
      <c r="A10732" s="198"/>
    </row>
    <row r="10733" spans="1:1" s="199" customFormat="1" ht="12" hidden="1" customHeight="1">
      <c r="A10733" s="198"/>
    </row>
    <row r="10734" spans="1:1" s="199" customFormat="1" ht="12" hidden="1" customHeight="1">
      <c r="A10734" s="198"/>
    </row>
    <row r="10735" spans="1:1" s="199" customFormat="1" ht="12" hidden="1" customHeight="1">
      <c r="A10735" s="198"/>
    </row>
    <row r="10736" spans="1:1" s="199" customFormat="1" ht="12" hidden="1" customHeight="1">
      <c r="A10736" s="198"/>
    </row>
    <row r="10737" spans="1:1" s="199" customFormat="1" ht="12" hidden="1" customHeight="1">
      <c r="A10737" s="198"/>
    </row>
    <row r="10738" spans="1:1" s="199" customFormat="1" ht="12" hidden="1" customHeight="1">
      <c r="A10738" s="198"/>
    </row>
    <row r="10739" spans="1:1" s="199" customFormat="1" ht="12" hidden="1" customHeight="1">
      <c r="A10739" s="198"/>
    </row>
    <row r="10740" spans="1:1" s="199" customFormat="1" ht="12" hidden="1" customHeight="1">
      <c r="A10740" s="198"/>
    </row>
    <row r="10741" spans="1:1" s="199" customFormat="1" ht="12" hidden="1" customHeight="1">
      <c r="A10741" s="198"/>
    </row>
    <row r="10742" spans="1:1" s="199" customFormat="1" ht="12" hidden="1" customHeight="1">
      <c r="A10742" s="198"/>
    </row>
    <row r="10743" spans="1:1" s="199" customFormat="1" ht="12" hidden="1" customHeight="1">
      <c r="A10743" s="198"/>
    </row>
    <row r="10744" spans="1:1" s="199" customFormat="1" ht="12" hidden="1" customHeight="1">
      <c r="A10744" s="198"/>
    </row>
    <row r="10745" spans="1:1" s="199" customFormat="1" ht="12" hidden="1" customHeight="1">
      <c r="A10745" s="198"/>
    </row>
    <row r="10746" spans="1:1" s="199" customFormat="1" ht="12" hidden="1" customHeight="1">
      <c r="A10746" s="198"/>
    </row>
    <row r="10747" spans="1:1" s="199" customFormat="1" ht="12" hidden="1" customHeight="1">
      <c r="A10747" s="198"/>
    </row>
    <row r="10748" spans="1:1" s="199" customFormat="1" ht="12" hidden="1" customHeight="1">
      <c r="A10748" s="198"/>
    </row>
    <row r="10749" spans="1:1" s="199" customFormat="1" ht="12" hidden="1" customHeight="1">
      <c r="A10749" s="198"/>
    </row>
    <row r="10750" spans="1:1" s="199" customFormat="1" ht="12" hidden="1" customHeight="1">
      <c r="A10750" s="198"/>
    </row>
    <row r="10751" spans="1:1" s="199" customFormat="1" ht="12" hidden="1" customHeight="1">
      <c r="A10751" s="198"/>
    </row>
    <row r="10752" spans="1:1" s="199" customFormat="1" ht="12" hidden="1" customHeight="1">
      <c r="A10752" s="198"/>
    </row>
    <row r="10753" spans="1:1" s="199" customFormat="1" ht="12" hidden="1" customHeight="1">
      <c r="A10753" s="198"/>
    </row>
    <row r="10754" spans="1:1" s="199" customFormat="1" ht="12" hidden="1" customHeight="1">
      <c r="A10754" s="198"/>
    </row>
    <row r="10755" spans="1:1" s="199" customFormat="1" ht="12" hidden="1" customHeight="1">
      <c r="A10755" s="198"/>
    </row>
    <row r="10756" spans="1:1" s="199" customFormat="1" ht="12" hidden="1" customHeight="1">
      <c r="A10756" s="198"/>
    </row>
    <row r="10757" spans="1:1" s="199" customFormat="1" ht="12" hidden="1" customHeight="1">
      <c r="A10757" s="198"/>
    </row>
    <row r="10758" spans="1:1" s="199" customFormat="1" ht="12" hidden="1" customHeight="1">
      <c r="A10758" s="198"/>
    </row>
    <row r="10759" spans="1:1" s="199" customFormat="1" ht="12" hidden="1" customHeight="1">
      <c r="A10759" s="198"/>
    </row>
    <row r="10760" spans="1:1" s="199" customFormat="1" ht="12" hidden="1" customHeight="1">
      <c r="A10760" s="198"/>
    </row>
    <row r="10761" spans="1:1" s="199" customFormat="1" ht="12" hidden="1" customHeight="1">
      <c r="A10761" s="198"/>
    </row>
    <row r="10762" spans="1:1" s="199" customFormat="1" ht="12" hidden="1" customHeight="1">
      <c r="A10762" s="198"/>
    </row>
    <row r="10763" spans="1:1" s="199" customFormat="1" ht="12" hidden="1" customHeight="1">
      <c r="A10763" s="198"/>
    </row>
    <row r="10764" spans="1:1" s="199" customFormat="1" ht="12" hidden="1" customHeight="1">
      <c r="A10764" s="198"/>
    </row>
    <row r="10765" spans="1:1" s="199" customFormat="1" ht="12" hidden="1" customHeight="1">
      <c r="A10765" s="198"/>
    </row>
    <row r="10766" spans="1:1" s="199" customFormat="1" ht="12" hidden="1" customHeight="1">
      <c r="A10766" s="198"/>
    </row>
    <row r="10767" spans="1:1" s="199" customFormat="1" ht="12" hidden="1" customHeight="1">
      <c r="A10767" s="198"/>
    </row>
    <row r="10768" spans="1:1" s="199" customFormat="1" ht="12" hidden="1" customHeight="1">
      <c r="A10768" s="198"/>
    </row>
    <row r="10769" spans="1:1" s="199" customFormat="1" ht="12" hidden="1" customHeight="1">
      <c r="A10769" s="198"/>
    </row>
    <row r="10770" spans="1:1" s="199" customFormat="1" ht="12" hidden="1" customHeight="1">
      <c r="A10770" s="198"/>
    </row>
    <row r="10771" spans="1:1" s="199" customFormat="1" ht="12" hidden="1" customHeight="1">
      <c r="A10771" s="198"/>
    </row>
    <row r="10772" spans="1:1" s="199" customFormat="1" ht="12" hidden="1" customHeight="1">
      <c r="A10772" s="198"/>
    </row>
    <row r="10773" spans="1:1" s="199" customFormat="1" ht="12" hidden="1" customHeight="1">
      <c r="A10773" s="198"/>
    </row>
    <row r="10774" spans="1:1" s="199" customFormat="1" ht="12" hidden="1" customHeight="1">
      <c r="A10774" s="198"/>
    </row>
    <row r="10775" spans="1:1" s="199" customFormat="1" ht="12" hidden="1" customHeight="1">
      <c r="A10775" s="198"/>
    </row>
    <row r="10776" spans="1:1" s="199" customFormat="1" ht="12" hidden="1" customHeight="1">
      <c r="A10776" s="198"/>
    </row>
    <row r="10777" spans="1:1" s="199" customFormat="1" ht="12" hidden="1" customHeight="1">
      <c r="A10777" s="198"/>
    </row>
    <row r="10778" spans="1:1" s="199" customFormat="1" ht="12" hidden="1" customHeight="1">
      <c r="A10778" s="198"/>
    </row>
    <row r="10779" spans="1:1" s="199" customFormat="1" ht="12" hidden="1" customHeight="1">
      <c r="A10779" s="198"/>
    </row>
    <row r="10780" spans="1:1" s="199" customFormat="1" ht="12" hidden="1" customHeight="1">
      <c r="A10780" s="198"/>
    </row>
    <row r="10781" spans="1:1" s="199" customFormat="1" ht="12" hidden="1" customHeight="1">
      <c r="A10781" s="198"/>
    </row>
    <row r="10782" spans="1:1" s="199" customFormat="1" ht="12" hidden="1" customHeight="1">
      <c r="A10782" s="198"/>
    </row>
    <row r="10783" spans="1:1" s="199" customFormat="1" ht="12" hidden="1" customHeight="1">
      <c r="A10783" s="198"/>
    </row>
    <row r="10784" spans="1:1" s="199" customFormat="1" ht="12" hidden="1" customHeight="1">
      <c r="A10784" s="198"/>
    </row>
    <row r="10785" spans="1:1" s="199" customFormat="1" ht="12" hidden="1" customHeight="1">
      <c r="A10785" s="198"/>
    </row>
    <row r="10786" spans="1:1" s="199" customFormat="1" ht="12" hidden="1" customHeight="1">
      <c r="A10786" s="198"/>
    </row>
    <row r="10787" spans="1:1" s="199" customFormat="1" ht="12" hidden="1" customHeight="1">
      <c r="A10787" s="198"/>
    </row>
    <row r="10788" spans="1:1" s="199" customFormat="1" ht="12" hidden="1" customHeight="1">
      <c r="A10788" s="198"/>
    </row>
    <row r="10789" spans="1:1" s="199" customFormat="1" ht="12" hidden="1" customHeight="1">
      <c r="A10789" s="198"/>
    </row>
    <row r="10790" spans="1:1" s="199" customFormat="1" ht="12" hidden="1" customHeight="1">
      <c r="A10790" s="198"/>
    </row>
    <row r="10791" spans="1:1" s="199" customFormat="1" ht="12" hidden="1" customHeight="1">
      <c r="A10791" s="198"/>
    </row>
    <row r="10792" spans="1:1" s="199" customFormat="1" ht="12" hidden="1" customHeight="1">
      <c r="A10792" s="198"/>
    </row>
    <row r="10793" spans="1:1" s="199" customFormat="1" ht="12" hidden="1" customHeight="1">
      <c r="A10793" s="198"/>
    </row>
    <row r="10794" spans="1:1" s="199" customFormat="1" ht="12" hidden="1" customHeight="1">
      <c r="A10794" s="198"/>
    </row>
    <row r="10795" spans="1:1" s="199" customFormat="1" ht="12" hidden="1" customHeight="1">
      <c r="A10795" s="198"/>
    </row>
    <row r="10796" spans="1:1" s="199" customFormat="1" ht="12" hidden="1" customHeight="1">
      <c r="A10796" s="198"/>
    </row>
    <row r="10797" spans="1:1" s="199" customFormat="1" ht="12" hidden="1" customHeight="1">
      <c r="A10797" s="198"/>
    </row>
    <row r="10798" spans="1:1" s="199" customFormat="1" ht="12" hidden="1" customHeight="1">
      <c r="A10798" s="198"/>
    </row>
    <row r="10799" spans="1:1" s="199" customFormat="1" ht="12" hidden="1" customHeight="1">
      <c r="A10799" s="198"/>
    </row>
    <row r="10800" spans="1:1" s="199" customFormat="1" ht="12" hidden="1" customHeight="1">
      <c r="A10800" s="198"/>
    </row>
    <row r="10801" spans="1:1" s="199" customFormat="1" ht="12" hidden="1" customHeight="1">
      <c r="A10801" s="198"/>
    </row>
    <row r="10802" spans="1:1" s="199" customFormat="1" ht="12" hidden="1" customHeight="1">
      <c r="A10802" s="198"/>
    </row>
    <row r="10803" spans="1:1" s="199" customFormat="1" ht="12" hidden="1" customHeight="1">
      <c r="A10803" s="198"/>
    </row>
    <row r="10804" spans="1:1" s="199" customFormat="1" ht="12" hidden="1" customHeight="1">
      <c r="A10804" s="198"/>
    </row>
    <row r="10805" spans="1:1" s="199" customFormat="1" ht="12" hidden="1" customHeight="1">
      <c r="A10805" s="198"/>
    </row>
    <row r="10806" spans="1:1" s="199" customFormat="1" ht="12" hidden="1" customHeight="1">
      <c r="A10806" s="198"/>
    </row>
    <row r="10807" spans="1:1" s="199" customFormat="1" ht="12" hidden="1" customHeight="1">
      <c r="A10807" s="198"/>
    </row>
    <row r="10808" spans="1:1" s="199" customFormat="1" ht="12" hidden="1" customHeight="1">
      <c r="A10808" s="198"/>
    </row>
    <row r="10809" spans="1:1" s="199" customFormat="1" ht="12" hidden="1" customHeight="1">
      <c r="A10809" s="198"/>
    </row>
    <row r="10810" spans="1:1" s="199" customFormat="1" ht="12" hidden="1" customHeight="1">
      <c r="A10810" s="198"/>
    </row>
    <row r="10811" spans="1:1" s="199" customFormat="1" ht="12" hidden="1" customHeight="1">
      <c r="A10811" s="198"/>
    </row>
    <row r="10812" spans="1:1" s="199" customFormat="1" ht="12" hidden="1" customHeight="1">
      <c r="A10812" s="198"/>
    </row>
    <row r="10813" spans="1:1" s="199" customFormat="1" ht="12" hidden="1" customHeight="1">
      <c r="A10813" s="198"/>
    </row>
    <row r="10814" spans="1:1" s="199" customFormat="1" ht="12" hidden="1" customHeight="1">
      <c r="A10814" s="198"/>
    </row>
    <row r="10815" spans="1:1" s="199" customFormat="1" ht="12" hidden="1" customHeight="1">
      <c r="A10815" s="198"/>
    </row>
    <row r="10816" spans="1:1" s="199" customFormat="1" ht="12" hidden="1" customHeight="1">
      <c r="A10816" s="198"/>
    </row>
    <row r="10817" spans="1:1" s="199" customFormat="1" ht="12" hidden="1" customHeight="1">
      <c r="A10817" s="198"/>
    </row>
    <row r="10818" spans="1:1" s="199" customFormat="1" ht="12" hidden="1" customHeight="1">
      <c r="A10818" s="198"/>
    </row>
    <row r="10819" spans="1:1" s="199" customFormat="1" ht="12" hidden="1" customHeight="1">
      <c r="A10819" s="198"/>
    </row>
    <row r="10820" spans="1:1" s="199" customFormat="1" ht="12" hidden="1" customHeight="1">
      <c r="A10820" s="198"/>
    </row>
    <row r="10821" spans="1:1" s="199" customFormat="1" ht="12" hidden="1" customHeight="1">
      <c r="A10821" s="198"/>
    </row>
    <row r="10822" spans="1:1" s="199" customFormat="1" ht="12" hidden="1" customHeight="1">
      <c r="A10822" s="198"/>
    </row>
    <row r="10823" spans="1:1" s="199" customFormat="1" ht="12" hidden="1" customHeight="1">
      <c r="A10823" s="198"/>
    </row>
    <row r="10824" spans="1:1" s="199" customFormat="1" ht="12" hidden="1" customHeight="1">
      <c r="A10824" s="198"/>
    </row>
    <row r="10825" spans="1:1" s="199" customFormat="1" ht="12" hidden="1" customHeight="1">
      <c r="A10825" s="198"/>
    </row>
    <row r="10826" spans="1:1" s="199" customFormat="1" ht="12" hidden="1" customHeight="1">
      <c r="A10826" s="198"/>
    </row>
    <row r="10827" spans="1:1" s="199" customFormat="1" ht="12" hidden="1" customHeight="1">
      <c r="A10827" s="198"/>
    </row>
    <row r="10828" spans="1:1" s="199" customFormat="1" ht="12" hidden="1" customHeight="1">
      <c r="A10828" s="198"/>
    </row>
    <row r="10829" spans="1:1" s="199" customFormat="1" ht="12" hidden="1" customHeight="1">
      <c r="A10829" s="198"/>
    </row>
    <row r="10830" spans="1:1" s="199" customFormat="1" ht="12" hidden="1" customHeight="1">
      <c r="A10830" s="198"/>
    </row>
    <row r="10831" spans="1:1" s="199" customFormat="1" ht="12" hidden="1" customHeight="1">
      <c r="A10831" s="198"/>
    </row>
    <row r="10832" spans="1:1" s="199" customFormat="1" ht="12" hidden="1" customHeight="1">
      <c r="A10832" s="198"/>
    </row>
    <row r="10833" spans="1:1" s="199" customFormat="1" ht="12" hidden="1" customHeight="1">
      <c r="A10833" s="198"/>
    </row>
    <row r="10834" spans="1:1" s="199" customFormat="1" ht="12" hidden="1" customHeight="1">
      <c r="A10834" s="198"/>
    </row>
    <row r="10835" spans="1:1" s="199" customFormat="1" ht="12" hidden="1" customHeight="1">
      <c r="A10835" s="198"/>
    </row>
    <row r="10836" spans="1:1" s="199" customFormat="1" ht="12" hidden="1" customHeight="1">
      <c r="A10836" s="198"/>
    </row>
    <row r="10837" spans="1:1" s="199" customFormat="1" ht="12" hidden="1" customHeight="1">
      <c r="A10837" s="198"/>
    </row>
    <row r="10838" spans="1:1" s="199" customFormat="1" ht="12" hidden="1" customHeight="1">
      <c r="A10838" s="198"/>
    </row>
    <row r="10839" spans="1:1" s="199" customFormat="1" ht="12" hidden="1" customHeight="1">
      <c r="A10839" s="198"/>
    </row>
    <row r="10840" spans="1:1" s="199" customFormat="1" ht="12" hidden="1" customHeight="1">
      <c r="A10840" s="198"/>
    </row>
    <row r="10841" spans="1:1" s="199" customFormat="1" ht="12" hidden="1" customHeight="1">
      <c r="A10841" s="198"/>
    </row>
    <row r="10842" spans="1:1" s="199" customFormat="1" ht="12" hidden="1" customHeight="1">
      <c r="A10842" s="198"/>
    </row>
    <row r="10843" spans="1:1" s="199" customFormat="1" ht="12" hidden="1" customHeight="1">
      <c r="A10843" s="198"/>
    </row>
    <row r="10844" spans="1:1" s="199" customFormat="1" ht="12" hidden="1" customHeight="1">
      <c r="A10844" s="198"/>
    </row>
    <row r="10845" spans="1:1" s="199" customFormat="1" ht="12" hidden="1" customHeight="1">
      <c r="A10845" s="198"/>
    </row>
    <row r="10846" spans="1:1" s="199" customFormat="1" ht="12" hidden="1" customHeight="1">
      <c r="A10846" s="198"/>
    </row>
    <row r="10847" spans="1:1" s="199" customFormat="1" ht="12" hidden="1" customHeight="1">
      <c r="A10847" s="198"/>
    </row>
    <row r="10848" spans="1:1" s="199" customFormat="1" ht="12" hidden="1" customHeight="1">
      <c r="A10848" s="198"/>
    </row>
    <row r="10849" spans="1:1" s="199" customFormat="1" ht="12" hidden="1" customHeight="1">
      <c r="A10849" s="198"/>
    </row>
    <row r="10850" spans="1:1" s="199" customFormat="1" ht="12" hidden="1" customHeight="1">
      <c r="A10850" s="198"/>
    </row>
    <row r="10851" spans="1:1" s="199" customFormat="1" ht="12" hidden="1" customHeight="1">
      <c r="A10851" s="198"/>
    </row>
    <row r="10852" spans="1:1" s="199" customFormat="1" ht="12" hidden="1" customHeight="1">
      <c r="A10852" s="198"/>
    </row>
    <row r="10853" spans="1:1" s="199" customFormat="1" ht="12" hidden="1" customHeight="1">
      <c r="A10853" s="198"/>
    </row>
    <row r="10854" spans="1:1" s="199" customFormat="1" ht="12" hidden="1" customHeight="1">
      <c r="A10854" s="198"/>
    </row>
    <row r="10855" spans="1:1" s="199" customFormat="1" ht="12" hidden="1" customHeight="1">
      <c r="A10855" s="198"/>
    </row>
    <row r="10856" spans="1:1" s="199" customFormat="1" ht="12" hidden="1" customHeight="1">
      <c r="A10856" s="198"/>
    </row>
    <row r="10857" spans="1:1" s="199" customFormat="1" ht="12" hidden="1" customHeight="1">
      <c r="A10857" s="198"/>
    </row>
    <row r="10858" spans="1:1" s="199" customFormat="1" ht="12" hidden="1" customHeight="1">
      <c r="A10858" s="198"/>
    </row>
    <row r="10859" spans="1:1" s="199" customFormat="1" ht="12" hidden="1" customHeight="1">
      <c r="A10859" s="198"/>
    </row>
    <row r="10860" spans="1:1" s="199" customFormat="1" ht="12" hidden="1" customHeight="1">
      <c r="A10860" s="198"/>
    </row>
    <row r="10861" spans="1:1" s="199" customFormat="1" ht="12" hidden="1" customHeight="1">
      <c r="A10861" s="198"/>
    </row>
    <row r="10862" spans="1:1" s="199" customFormat="1" ht="12" hidden="1" customHeight="1">
      <c r="A10862" s="198"/>
    </row>
    <row r="10863" spans="1:1" s="199" customFormat="1" ht="12" hidden="1" customHeight="1">
      <c r="A10863" s="198"/>
    </row>
    <row r="10864" spans="1:1" s="199" customFormat="1" ht="12" hidden="1" customHeight="1">
      <c r="A10864" s="198"/>
    </row>
    <row r="10865" spans="1:1" s="199" customFormat="1" ht="12" hidden="1" customHeight="1">
      <c r="A10865" s="198"/>
    </row>
    <row r="10866" spans="1:1" s="199" customFormat="1" ht="12" hidden="1" customHeight="1">
      <c r="A10866" s="198"/>
    </row>
    <row r="10867" spans="1:1" s="199" customFormat="1" ht="12" hidden="1" customHeight="1">
      <c r="A10867" s="198"/>
    </row>
    <row r="10868" spans="1:1" s="199" customFormat="1" ht="12" hidden="1" customHeight="1">
      <c r="A10868" s="198"/>
    </row>
    <row r="10869" spans="1:1" s="199" customFormat="1" ht="12" hidden="1" customHeight="1">
      <c r="A10869" s="198"/>
    </row>
    <row r="10870" spans="1:1" s="199" customFormat="1" ht="12" hidden="1" customHeight="1">
      <c r="A10870" s="198"/>
    </row>
    <row r="10871" spans="1:1" s="199" customFormat="1" ht="12" hidden="1" customHeight="1">
      <c r="A10871" s="198"/>
    </row>
    <row r="10872" spans="1:1" s="199" customFormat="1" ht="12" hidden="1" customHeight="1">
      <c r="A10872" s="198"/>
    </row>
    <row r="10873" spans="1:1" s="199" customFormat="1" ht="12" hidden="1" customHeight="1">
      <c r="A10873" s="198"/>
    </row>
    <row r="10874" spans="1:1" s="199" customFormat="1" ht="12" hidden="1" customHeight="1">
      <c r="A10874" s="198"/>
    </row>
    <row r="10875" spans="1:1" s="199" customFormat="1" ht="12" hidden="1" customHeight="1">
      <c r="A10875" s="198"/>
    </row>
    <row r="10876" spans="1:1" s="199" customFormat="1" ht="12" hidden="1" customHeight="1">
      <c r="A10876" s="198"/>
    </row>
    <row r="10877" spans="1:1" s="199" customFormat="1" ht="12" hidden="1" customHeight="1">
      <c r="A10877" s="198"/>
    </row>
    <row r="10878" spans="1:1" s="199" customFormat="1" ht="12" hidden="1" customHeight="1">
      <c r="A10878" s="198"/>
    </row>
    <row r="10879" spans="1:1" s="199" customFormat="1" ht="12" hidden="1" customHeight="1">
      <c r="A10879" s="198"/>
    </row>
    <row r="10880" spans="1:1" s="199" customFormat="1" ht="12" hidden="1" customHeight="1">
      <c r="A10880" s="198"/>
    </row>
    <row r="10881" spans="1:1" s="199" customFormat="1" ht="12" hidden="1" customHeight="1">
      <c r="A10881" s="198"/>
    </row>
    <row r="10882" spans="1:1" s="199" customFormat="1" ht="12" hidden="1" customHeight="1">
      <c r="A10882" s="198"/>
    </row>
    <row r="10883" spans="1:1" s="199" customFormat="1" ht="12" hidden="1" customHeight="1">
      <c r="A10883" s="198"/>
    </row>
    <row r="10884" spans="1:1" s="199" customFormat="1" ht="12" hidden="1" customHeight="1">
      <c r="A10884" s="198"/>
    </row>
    <row r="10885" spans="1:1" s="199" customFormat="1" ht="12" hidden="1" customHeight="1">
      <c r="A10885" s="198"/>
    </row>
    <row r="10886" spans="1:1" s="199" customFormat="1" ht="12" hidden="1" customHeight="1">
      <c r="A10886" s="198"/>
    </row>
    <row r="10887" spans="1:1" s="199" customFormat="1" ht="12" hidden="1" customHeight="1">
      <c r="A10887" s="198"/>
    </row>
    <row r="10888" spans="1:1" s="199" customFormat="1" ht="12" hidden="1" customHeight="1">
      <c r="A10888" s="198"/>
    </row>
    <row r="10889" spans="1:1" s="199" customFormat="1" ht="12" hidden="1" customHeight="1">
      <c r="A10889" s="198"/>
    </row>
    <row r="10890" spans="1:1" s="199" customFormat="1" ht="12" hidden="1" customHeight="1">
      <c r="A10890" s="198"/>
    </row>
    <row r="10891" spans="1:1" s="199" customFormat="1" ht="12" hidden="1" customHeight="1">
      <c r="A10891" s="198"/>
    </row>
    <row r="10892" spans="1:1" s="199" customFormat="1" ht="12" hidden="1" customHeight="1">
      <c r="A10892" s="198"/>
    </row>
    <row r="10893" spans="1:1" s="199" customFormat="1" ht="12" hidden="1" customHeight="1">
      <c r="A10893" s="198"/>
    </row>
    <row r="10894" spans="1:1" s="199" customFormat="1" ht="12" hidden="1" customHeight="1">
      <c r="A10894" s="198"/>
    </row>
    <row r="10895" spans="1:1" s="199" customFormat="1" ht="12" hidden="1" customHeight="1">
      <c r="A10895" s="198"/>
    </row>
    <row r="10896" spans="1:1" s="199" customFormat="1" ht="12" hidden="1" customHeight="1">
      <c r="A10896" s="198"/>
    </row>
    <row r="10897" spans="1:1" s="199" customFormat="1" ht="12" hidden="1" customHeight="1">
      <c r="A10897" s="198"/>
    </row>
    <row r="10898" spans="1:1" s="199" customFormat="1" ht="12" hidden="1" customHeight="1">
      <c r="A10898" s="198"/>
    </row>
    <row r="10899" spans="1:1" s="199" customFormat="1" ht="12" hidden="1" customHeight="1">
      <c r="A10899" s="198"/>
    </row>
    <row r="10900" spans="1:1" s="199" customFormat="1" ht="12" hidden="1" customHeight="1">
      <c r="A10900" s="198"/>
    </row>
    <row r="10901" spans="1:1" s="199" customFormat="1" ht="12" hidden="1" customHeight="1">
      <c r="A10901" s="198"/>
    </row>
    <row r="10902" spans="1:1" s="199" customFormat="1" ht="12" hidden="1" customHeight="1">
      <c r="A10902" s="198"/>
    </row>
    <row r="10903" spans="1:1" s="199" customFormat="1" ht="12" hidden="1" customHeight="1">
      <c r="A10903" s="198"/>
    </row>
    <row r="10904" spans="1:1" s="199" customFormat="1" ht="12" hidden="1" customHeight="1">
      <c r="A10904" s="198"/>
    </row>
    <row r="10905" spans="1:1" s="199" customFormat="1" ht="12" hidden="1" customHeight="1">
      <c r="A10905" s="198"/>
    </row>
    <row r="10906" spans="1:1" s="199" customFormat="1" ht="12" hidden="1" customHeight="1">
      <c r="A10906" s="198"/>
    </row>
    <row r="10907" spans="1:1" s="199" customFormat="1" ht="12" hidden="1" customHeight="1">
      <c r="A10907" s="198"/>
    </row>
    <row r="10908" spans="1:1" s="199" customFormat="1" ht="12" hidden="1" customHeight="1">
      <c r="A10908" s="198"/>
    </row>
    <row r="10909" spans="1:1" s="199" customFormat="1" ht="12" hidden="1" customHeight="1">
      <c r="A10909" s="198"/>
    </row>
    <row r="10910" spans="1:1" s="199" customFormat="1" ht="12" hidden="1" customHeight="1">
      <c r="A10910" s="198"/>
    </row>
    <row r="10911" spans="1:1" s="199" customFormat="1" ht="12" hidden="1" customHeight="1">
      <c r="A10911" s="198"/>
    </row>
    <row r="10912" spans="1:1" s="199" customFormat="1" ht="12" hidden="1" customHeight="1">
      <c r="A10912" s="198"/>
    </row>
    <row r="10913" spans="1:1" s="199" customFormat="1" ht="12" hidden="1" customHeight="1">
      <c r="A10913" s="198"/>
    </row>
    <row r="10914" spans="1:1" s="199" customFormat="1" ht="12" hidden="1" customHeight="1">
      <c r="A10914" s="198"/>
    </row>
    <row r="10915" spans="1:1" s="199" customFormat="1" ht="12" hidden="1" customHeight="1">
      <c r="A10915" s="198"/>
    </row>
    <row r="10916" spans="1:1" s="199" customFormat="1" ht="12" hidden="1" customHeight="1">
      <c r="A10916" s="198"/>
    </row>
    <row r="10917" spans="1:1" s="199" customFormat="1" ht="12" hidden="1" customHeight="1">
      <c r="A10917" s="198"/>
    </row>
    <row r="10918" spans="1:1" s="199" customFormat="1" ht="12" hidden="1" customHeight="1">
      <c r="A10918" s="198"/>
    </row>
    <row r="10919" spans="1:1" s="199" customFormat="1" ht="12" hidden="1" customHeight="1">
      <c r="A10919" s="198"/>
    </row>
    <row r="10920" spans="1:1" s="199" customFormat="1" ht="12" hidden="1" customHeight="1">
      <c r="A10920" s="198"/>
    </row>
    <row r="10921" spans="1:1" s="199" customFormat="1" ht="12" hidden="1" customHeight="1">
      <c r="A10921" s="198"/>
    </row>
    <row r="10922" spans="1:1" s="199" customFormat="1" ht="12" hidden="1" customHeight="1">
      <c r="A10922" s="198"/>
    </row>
    <row r="10923" spans="1:1" s="199" customFormat="1" ht="12" hidden="1" customHeight="1">
      <c r="A10923" s="198"/>
    </row>
    <row r="10924" spans="1:1" s="199" customFormat="1" ht="12" hidden="1" customHeight="1">
      <c r="A10924" s="198"/>
    </row>
    <row r="10925" spans="1:1" s="199" customFormat="1" ht="12" hidden="1" customHeight="1">
      <c r="A10925" s="198"/>
    </row>
    <row r="10926" spans="1:1" s="199" customFormat="1" ht="12" hidden="1" customHeight="1">
      <c r="A10926" s="198"/>
    </row>
    <row r="10927" spans="1:1" s="199" customFormat="1" ht="12" hidden="1" customHeight="1">
      <c r="A10927" s="198"/>
    </row>
    <row r="10928" spans="1:1" s="199" customFormat="1" ht="12" hidden="1" customHeight="1">
      <c r="A10928" s="198"/>
    </row>
    <row r="10929" spans="1:1" s="199" customFormat="1" ht="12" hidden="1" customHeight="1">
      <c r="A10929" s="198"/>
    </row>
    <row r="10930" spans="1:1" s="199" customFormat="1" ht="12" hidden="1" customHeight="1">
      <c r="A10930" s="198"/>
    </row>
    <row r="10931" spans="1:1" s="199" customFormat="1" ht="12" hidden="1" customHeight="1">
      <c r="A10931" s="198"/>
    </row>
    <row r="10932" spans="1:1" s="199" customFormat="1" ht="12" hidden="1" customHeight="1">
      <c r="A10932" s="198"/>
    </row>
    <row r="10933" spans="1:1" s="199" customFormat="1" ht="12" hidden="1" customHeight="1">
      <c r="A10933" s="198"/>
    </row>
    <row r="10934" spans="1:1" s="199" customFormat="1" ht="12" hidden="1" customHeight="1">
      <c r="A10934" s="198"/>
    </row>
    <row r="10935" spans="1:1" s="199" customFormat="1" ht="12" hidden="1" customHeight="1">
      <c r="A10935" s="198"/>
    </row>
    <row r="10936" spans="1:1" s="199" customFormat="1" ht="12" hidden="1" customHeight="1">
      <c r="A10936" s="198"/>
    </row>
    <row r="10937" spans="1:1" s="199" customFormat="1" ht="12" hidden="1" customHeight="1">
      <c r="A10937" s="198"/>
    </row>
    <row r="10938" spans="1:1" s="199" customFormat="1" ht="12" hidden="1" customHeight="1">
      <c r="A10938" s="198"/>
    </row>
    <row r="10939" spans="1:1" s="199" customFormat="1" ht="12" hidden="1" customHeight="1">
      <c r="A10939" s="198"/>
    </row>
    <row r="10940" spans="1:1" s="199" customFormat="1" ht="12" hidden="1" customHeight="1">
      <c r="A10940" s="198"/>
    </row>
    <row r="10941" spans="1:1" s="199" customFormat="1" ht="12" hidden="1" customHeight="1">
      <c r="A10941" s="198"/>
    </row>
    <row r="10942" spans="1:1" s="199" customFormat="1" ht="12" hidden="1" customHeight="1">
      <c r="A10942" s="198"/>
    </row>
    <row r="10943" spans="1:1" s="199" customFormat="1" ht="12" hidden="1" customHeight="1">
      <c r="A10943" s="198"/>
    </row>
    <row r="10944" spans="1:1" s="199" customFormat="1" ht="12" hidden="1" customHeight="1">
      <c r="A10944" s="198"/>
    </row>
    <row r="10945" spans="1:1" s="199" customFormat="1" ht="12" hidden="1" customHeight="1">
      <c r="A10945" s="198"/>
    </row>
    <row r="10946" spans="1:1" s="199" customFormat="1" ht="12" hidden="1" customHeight="1">
      <c r="A10946" s="198"/>
    </row>
    <row r="10947" spans="1:1" s="199" customFormat="1" ht="12" hidden="1" customHeight="1">
      <c r="A10947" s="198"/>
    </row>
    <row r="10948" spans="1:1" s="199" customFormat="1" ht="12" hidden="1" customHeight="1">
      <c r="A10948" s="198"/>
    </row>
    <row r="10949" spans="1:1" s="199" customFormat="1" ht="12" hidden="1" customHeight="1">
      <c r="A10949" s="198"/>
    </row>
    <row r="10950" spans="1:1" s="199" customFormat="1" ht="12" hidden="1" customHeight="1">
      <c r="A10950" s="198"/>
    </row>
    <row r="10951" spans="1:1" s="199" customFormat="1" ht="12" hidden="1" customHeight="1">
      <c r="A10951" s="198"/>
    </row>
    <row r="10952" spans="1:1" s="199" customFormat="1" ht="12" hidden="1" customHeight="1">
      <c r="A10952" s="198"/>
    </row>
    <row r="10953" spans="1:1" s="199" customFormat="1" ht="12" hidden="1" customHeight="1">
      <c r="A10953" s="198"/>
    </row>
    <row r="10954" spans="1:1" s="199" customFormat="1" ht="12" hidden="1" customHeight="1">
      <c r="A10954" s="198"/>
    </row>
    <row r="10955" spans="1:1" s="199" customFormat="1" ht="12" hidden="1" customHeight="1">
      <c r="A10955" s="198"/>
    </row>
    <row r="10956" spans="1:1" s="199" customFormat="1" ht="12" hidden="1" customHeight="1">
      <c r="A10956" s="198"/>
    </row>
    <row r="10957" spans="1:1" s="199" customFormat="1" ht="12" hidden="1" customHeight="1">
      <c r="A10957" s="198"/>
    </row>
    <row r="10958" spans="1:1" s="199" customFormat="1" ht="12" hidden="1" customHeight="1">
      <c r="A10958" s="198"/>
    </row>
    <row r="10959" spans="1:1" s="199" customFormat="1" ht="12" hidden="1" customHeight="1">
      <c r="A10959" s="198"/>
    </row>
    <row r="10960" spans="1:1" s="199" customFormat="1" ht="12" hidden="1" customHeight="1">
      <c r="A10960" s="198"/>
    </row>
    <row r="10961" spans="1:1" s="199" customFormat="1" ht="12" hidden="1" customHeight="1">
      <c r="A10961" s="198"/>
    </row>
    <row r="10962" spans="1:1" s="199" customFormat="1" ht="12" hidden="1" customHeight="1">
      <c r="A10962" s="198"/>
    </row>
    <row r="10963" spans="1:1" s="199" customFormat="1" ht="12" hidden="1" customHeight="1">
      <c r="A10963" s="198"/>
    </row>
    <row r="10964" spans="1:1" s="199" customFormat="1" ht="12" hidden="1" customHeight="1">
      <c r="A10964" s="198"/>
    </row>
    <row r="10965" spans="1:1" s="199" customFormat="1" ht="12" hidden="1" customHeight="1">
      <c r="A10965" s="198"/>
    </row>
    <row r="10966" spans="1:1" s="199" customFormat="1" ht="12" hidden="1" customHeight="1">
      <c r="A10966" s="198"/>
    </row>
    <row r="10967" spans="1:1" s="199" customFormat="1" ht="12" hidden="1" customHeight="1">
      <c r="A10967" s="198"/>
    </row>
    <row r="10968" spans="1:1" s="199" customFormat="1" ht="12" hidden="1" customHeight="1">
      <c r="A10968" s="198"/>
    </row>
    <row r="10969" spans="1:1" s="199" customFormat="1" ht="12" hidden="1" customHeight="1">
      <c r="A10969" s="198"/>
    </row>
    <row r="10970" spans="1:1" s="199" customFormat="1" ht="12" hidden="1" customHeight="1">
      <c r="A10970" s="198"/>
    </row>
    <row r="10971" spans="1:1" s="199" customFormat="1" ht="12" hidden="1" customHeight="1">
      <c r="A10971" s="198"/>
    </row>
    <row r="10972" spans="1:1" s="199" customFormat="1" ht="12" hidden="1" customHeight="1">
      <c r="A10972" s="198"/>
    </row>
    <row r="10973" spans="1:1" s="199" customFormat="1" ht="12" hidden="1" customHeight="1">
      <c r="A10973" s="198"/>
    </row>
    <row r="10974" spans="1:1" s="199" customFormat="1" ht="12" hidden="1" customHeight="1">
      <c r="A10974" s="198"/>
    </row>
    <row r="10975" spans="1:1" s="199" customFormat="1" ht="12" hidden="1" customHeight="1">
      <c r="A10975" s="198"/>
    </row>
    <row r="10976" spans="1:1" s="199" customFormat="1" ht="12" hidden="1" customHeight="1">
      <c r="A10976" s="198"/>
    </row>
    <row r="10977" spans="1:1" s="199" customFormat="1" ht="12" hidden="1" customHeight="1">
      <c r="A10977" s="198"/>
    </row>
    <row r="10978" spans="1:1" s="199" customFormat="1" ht="12" hidden="1" customHeight="1">
      <c r="A10978" s="198"/>
    </row>
    <row r="10979" spans="1:1" s="199" customFormat="1" ht="12" hidden="1" customHeight="1">
      <c r="A10979" s="198"/>
    </row>
    <row r="10980" spans="1:1" s="199" customFormat="1" ht="12" hidden="1" customHeight="1">
      <c r="A10980" s="198"/>
    </row>
    <row r="10981" spans="1:1" s="199" customFormat="1" ht="12" hidden="1" customHeight="1">
      <c r="A10981" s="198"/>
    </row>
    <row r="10982" spans="1:1" s="199" customFormat="1" ht="12" hidden="1" customHeight="1">
      <c r="A10982" s="198"/>
    </row>
    <row r="10983" spans="1:1" s="199" customFormat="1" ht="12" hidden="1" customHeight="1">
      <c r="A10983" s="198"/>
    </row>
    <row r="10984" spans="1:1" s="199" customFormat="1" ht="12" hidden="1" customHeight="1">
      <c r="A10984" s="198"/>
    </row>
    <row r="10985" spans="1:1" s="199" customFormat="1" ht="12" hidden="1" customHeight="1">
      <c r="A10985" s="198"/>
    </row>
    <row r="10986" spans="1:1" s="199" customFormat="1" ht="12" hidden="1" customHeight="1">
      <c r="A10986" s="198"/>
    </row>
    <row r="10987" spans="1:1" s="199" customFormat="1" ht="12" hidden="1" customHeight="1">
      <c r="A10987" s="198"/>
    </row>
    <row r="10988" spans="1:1" s="199" customFormat="1" ht="12" hidden="1" customHeight="1">
      <c r="A10988" s="198"/>
    </row>
    <row r="10989" spans="1:1" s="199" customFormat="1" ht="12" hidden="1" customHeight="1">
      <c r="A10989" s="198"/>
    </row>
    <row r="10990" spans="1:1" s="199" customFormat="1" ht="12" hidden="1" customHeight="1">
      <c r="A10990" s="198"/>
    </row>
    <row r="10991" spans="1:1" s="199" customFormat="1" ht="12" hidden="1" customHeight="1">
      <c r="A10991" s="198"/>
    </row>
    <row r="10992" spans="1:1" s="199" customFormat="1" ht="12" hidden="1" customHeight="1">
      <c r="A10992" s="198"/>
    </row>
    <row r="10993" spans="1:1" s="199" customFormat="1" ht="12" hidden="1" customHeight="1">
      <c r="A10993" s="198"/>
    </row>
    <row r="10994" spans="1:1" s="199" customFormat="1" ht="12" hidden="1" customHeight="1">
      <c r="A10994" s="198"/>
    </row>
    <row r="10995" spans="1:1" s="199" customFormat="1" ht="12" hidden="1" customHeight="1">
      <c r="A10995" s="198"/>
    </row>
    <row r="10996" spans="1:1" s="199" customFormat="1" ht="12" hidden="1" customHeight="1">
      <c r="A10996" s="198"/>
    </row>
    <row r="10997" spans="1:1" s="199" customFormat="1" ht="12" hidden="1" customHeight="1">
      <c r="A10997" s="198"/>
    </row>
    <row r="10998" spans="1:1" s="199" customFormat="1" ht="12" hidden="1" customHeight="1">
      <c r="A10998" s="198"/>
    </row>
    <row r="10999" spans="1:1" s="199" customFormat="1" ht="12" hidden="1" customHeight="1">
      <c r="A10999" s="198"/>
    </row>
    <row r="11000" spans="1:1" s="199" customFormat="1" ht="12" hidden="1" customHeight="1">
      <c r="A11000" s="198"/>
    </row>
    <row r="11001" spans="1:1" s="199" customFormat="1" ht="12" hidden="1" customHeight="1">
      <c r="A11001" s="198"/>
    </row>
    <row r="11002" spans="1:1" s="199" customFormat="1" ht="12" hidden="1" customHeight="1">
      <c r="A11002" s="198"/>
    </row>
    <row r="11003" spans="1:1" s="199" customFormat="1" ht="12" hidden="1" customHeight="1">
      <c r="A11003" s="198"/>
    </row>
    <row r="11004" spans="1:1" s="199" customFormat="1" ht="12" hidden="1" customHeight="1">
      <c r="A11004" s="198"/>
    </row>
    <row r="11005" spans="1:1" s="199" customFormat="1" ht="12" hidden="1" customHeight="1">
      <c r="A11005" s="198"/>
    </row>
    <row r="11006" spans="1:1" s="199" customFormat="1" ht="12" hidden="1" customHeight="1">
      <c r="A11006" s="198"/>
    </row>
    <row r="11007" spans="1:1" s="199" customFormat="1" ht="12" hidden="1" customHeight="1">
      <c r="A11007" s="198"/>
    </row>
    <row r="11008" spans="1:1" s="199" customFormat="1" ht="12" hidden="1" customHeight="1">
      <c r="A11008" s="198"/>
    </row>
    <row r="11009" spans="1:1" s="199" customFormat="1" ht="12" hidden="1" customHeight="1">
      <c r="A11009" s="198"/>
    </row>
    <row r="11010" spans="1:1" s="199" customFormat="1" ht="12" hidden="1" customHeight="1">
      <c r="A11010" s="198"/>
    </row>
    <row r="11011" spans="1:1" s="199" customFormat="1" ht="12" hidden="1" customHeight="1">
      <c r="A11011" s="198"/>
    </row>
    <row r="11012" spans="1:1" s="199" customFormat="1" ht="12" hidden="1" customHeight="1">
      <c r="A11012" s="198"/>
    </row>
    <row r="11013" spans="1:1" s="199" customFormat="1" ht="12" hidden="1" customHeight="1">
      <c r="A11013" s="198"/>
    </row>
    <row r="11014" spans="1:1" s="199" customFormat="1" ht="12" hidden="1" customHeight="1">
      <c r="A11014" s="198"/>
    </row>
    <row r="11015" spans="1:1" s="199" customFormat="1" ht="12" hidden="1" customHeight="1">
      <c r="A11015" s="198"/>
    </row>
    <row r="11016" spans="1:1" s="199" customFormat="1" ht="12" hidden="1" customHeight="1">
      <c r="A11016" s="198"/>
    </row>
    <row r="11017" spans="1:1" s="199" customFormat="1" ht="12" hidden="1" customHeight="1">
      <c r="A11017" s="198"/>
    </row>
    <row r="11018" spans="1:1" s="199" customFormat="1" ht="12" hidden="1" customHeight="1">
      <c r="A11018" s="198"/>
    </row>
    <row r="11019" spans="1:1" s="199" customFormat="1" ht="12" hidden="1" customHeight="1">
      <c r="A11019" s="198"/>
    </row>
    <row r="11020" spans="1:1" s="199" customFormat="1" ht="12" hidden="1" customHeight="1">
      <c r="A11020" s="198"/>
    </row>
    <row r="11021" spans="1:1" s="199" customFormat="1" ht="12" hidden="1" customHeight="1">
      <c r="A11021" s="198"/>
    </row>
    <row r="11022" spans="1:1" s="199" customFormat="1" ht="12" hidden="1" customHeight="1">
      <c r="A11022" s="198"/>
    </row>
    <row r="11023" spans="1:1" s="199" customFormat="1" ht="12" hidden="1" customHeight="1">
      <c r="A11023" s="198"/>
    </row>
    <row r="11024" spans="1:1" s="199" customFormat="1" ht="12" hidden="1" customHeight="1">
      <c r="A11024" s="198"/>
    </row>
    <row r="11025" spans="1:1" s="199" customFormat="1" ht="12" hidden="1" customHeight="1">
      <c r="A11025" s="198"/>
    </row>
    <row r="11026" spans="1:1" s="199" customFormat="1" ht="12" hidden="1" customHeight="1">
      <c r="A11026" s="198"/>
    </row>
    <row r="11027" spans="1:1" s="199" customFormat="1" ht="12" hidden="1" customHeight="1">
      <c r="A11027" s="198"/>
    </row>
    <row r="11028" spans="1:1" s="199" customFormat="1" ht="12" hidden="1" customHeight="1">
      <c r="A11028" s="198"/>
    </row>
    <row r="11029" spans="1:1" s="199" customFormat="1" ht="12" hidden="1" customHeight="1">
      <c r="A11029" s="198"/>
    </row>
    <row r="11030" spans="1:1" s="199" customFormat="1" ht="12" hidden="1" customHeight="1">
      <c r="A11030" s="198"/>
    </row>
    <row r="11031" spans="1:1" s="199" customFormat="1" ht="12" hidden="1" customHeight="1">
      <c r="A11031" s="198"/>
    </row>
    <row r="11032" spans="1:1" s="199" customFormat="1" ht="12" hidden="1" customHeight="1">
      <c r="A11032" s="198"/>
    </row>
    <row r="11033" spans="1:1" s="199" customFormat="1" ht="12" hidden="1" customHeight="1">
      <c r="A11033" s="198"/>
    </row>
    <row r="11034" spans="1:1" s="199" customFormat="1" ht="12" hidden="1" customHeight="1">
      <c r="A11034" s="198"/>
    </row>
    <row r="11035" spans="1:1" s="199" customFormat="1" ht="12" hidden="1" customHeight="1">
      <c r="A11035" s="198"/>
    </row>
    <row r="11036" spans="1:1" s="199" customFormat="1" ht="12" hidden="1" customHeight="1">
      <c r="A11036" s="198"/>
    </row>
    <row r="11037" spans="1:1" s="199" customFormat="1" ht="12" hidden="1" customHeight="1">
      <c r="A11037" s="198"/>
    </row>
    <row r="11038" spans="1:1" s="199" customFormat="1" ht="12" hidden="1" customHeight="1">
      <c r="A11038" s="198"/>
    </row>
    <row r="11039" spans="1:1" s="199" customFormat="1" ht="12" hidden="1" customHeight="1">
      <c r="A11039" s="198"/>
    </row>
    <row r="11040" spans="1:1" s="199" customFormat="1" ht="12" hidden="1" customHeight="1">
      <c r="A11040" s="198"/>
    </row>
    <row r="11041" spans="1:1" s="199" customFormat="1" ht="12" hidden="1" customHeight="1">
      <c r="A11041" s="198"/>
    </row>
    <row r="11042" spans="1:1" s="199" customFormat="1" ht="12" hidden="1" customHeight="1">
      <c r="A11042" s="198"/>
    </row>
    <row r="11043" spans="1:1" s="199" customFormat="1" ht="12" hidden="1" customHeight="1">
      <c r="A11043" s="198"/>
    </row>
    <row r="11044" spans="1:1" s="199" customFormat="1" ht="12" hidden="1" customHeight="1">
      <c r="A11044" s="198"/>
    </row>
    <row r="11045" spans="1:1" s="199" customFormat="1" ht="12" hidden="1" customHeight="1">
      <c r="A11045" s="198"/>
    </row>
    <row r="11046" spans="1:1" s="199" customFormat="1" ht="12" hidden="1" customHeight="1">
      <c r="A11046" s="198"/>
    </row>
    <row r="11047" spans="1:1" s="199" customFormat="1" ht="12" hidden="1" customHeight="1">
      <c r="A11047" s="198"/>
    </row>
    <row r="11048" spans="1:1" s="199" customFormat="1" ht="12" hidden="1" customHeight="1">
      <c r="A11048" s="198"/>
    </row>
    <row r="11049" spans="1:1" s="199" customFormat="1" ht="12" hidden="1" customHeight="1">
      <c r="A11049" s="198"/>
    </row>
    <row r="11050" spans="1:1" s="199" customFormat="1" ht="12" hidden="1" customHeight="1">
      <c r="A11050" s="198"/>
    </row>
    <row r="11051" spans="1:1" s="199" customFormat="1" ht="12" hidden="1" customHeight="1">
      <c r="A11051" s="198"/>
    </row>
    <row r="11052" spans="1:1" s="199" customFormat="1" ht="12" hidden="1" customHeight="1">
      <c r="A11052" s="198"/>
    </row>
    <row r="11053" spans="1:1" s="199" customFormat="1" ht="12" hidden="1" customHeight="1">
      <c r="A11053" s="198"/>
    </row>
    <row r="11054" spans="1:1" s="199" customFormat="1" ht="12" hidden="1" customHeight="1">
      <c r="A11054" s="198"/>
    </row>
    <row r="11055" spans="1:1" s="199" customFormat="1" ht="12" hidden="1" customHeight="1">
      <c r="A11055" s="198"/>
    </row>
    <row r="11056" spans="1:1" s="199" customFormat="1" ht="12" hidden="1" customHeight="1">
      <c r="A11056" s="198"/>
    </row>
    <row r="11057" spans="1:1" s="199" customFormat="1" ht="12" hidden="1" customHeight="1">
      <c r="A11057" s="198"/>
    </row>
    <row r="11058" spans="1:1" s="199" customFormat="1" ht="12" hidden="1" customHeight="1">
      <c r="A11058" s="198"/>
    </row>
    <row r="11059" spans="1:1" s="199" customFormat="1" ht="12" hidden="1" customHeight="1">
      <c r="A11059" s="198"/>
    </row>
    <row r="11060" spans="1:1" s="199" customFormat="1" ht="12" hidden="1" customHeight="1">
      <c r="A11060" s="198"/>
    </row>
    <row r="11061" spans="1:1" s="199" customFormat="1" ht="12" hidden="1" customHeight="1">
      <c r="A11061" s="198"/>
    </row>
    <row r="11062" spans="1:1" s="199" customFormat="1" ht="12" hidden="1" customHeight="1">
      <c r="A11062" s="198"/>
    </row>
    <row r="11063" spans="1:1" s="199" customFormat="1" ht="12" hidden="1" customHeight="1">
      <c r="A11063" s="198"/>
    </row>
    <row r="11064" spans="1:1" s="199" customFormat="1" ht="12" hidden="1" customHeight="1">
      <c r="A11064" s="198"/>
    </row>
    <row r="11065" spans="1:1" s="199" customFormat="1" ht="12" hidden="1" customHeight="1">
      <c r="A11065" s="198"/>
    </row>
    <row r="11066" spans="1:1" s="199" customFormat="1" ht="12" hidden="1" customHeight="1">
      <c r="A11066" s="198"/>
    </row>
    <row r="11067" spans="1:1" s="199" customFormat="1" ht="12" hidden="1" customHeight="1">
      <c r="A11067" s="198"/>
    </row>
    <row r="11068" spans="1:1" s="199" customFormat="1" ht="12" hidden="1" customHeight="1">
      <c r="A11068" s="198"/>
    </row>
    <row r="11069" spans="1:1" s="199" customFormat="1" ht="12" hidden="1" customHeight="1">
      <c r="A11069" s="198"/>
    </row>
    <row r="11070" spans="1:1" s="199" customFormat="1" ht="12" hidden="1" customHeight="1">
      <c r="A11070" s="198"/>
    </row>
    <row r="11071" spans="1:1" s="199" customFormat="1" ht="12" hidden="1" customHeight="1">
      <c r="A11071" s="198"/>
    </row>
    <row r="11072" spans="1:1" s="199" customFormat="1" ht="12" hidden="1" customHeight="1">
      <c r="A11072" s="198"/>
    </row>
    <row r="11073" spans="1:1" s="199" customFormat="1" ht="12" hidden="1" customHeight="1">
      <c r="A11073" s="198"/>
    </row>
    <row r="11074" spans="1:1" s="199" customFormat="1" ht="12" hidden="1" customHeight="1">
      <c r="A11074" s="198"/>
    </row>
    <row r="11075" spans="1:1" s="199" customFormat="1" ht="12" hidden="1" customHeight="1">
      <c r="A11075" s="198"/>
    </row>
    <row r="11076" spans="1:1" s="199" customFormat="1" ht="12" hidden="1" customHeight="1">
      <c r="A11076" s="198"/>
    </row>
    <row r="11077" spans="1:1" s="199" customFormat="1" ht="12" hidden="1" customHeight="1">
      <c r="A11077" s="198"/>
    </row>
    <row r="11078" spans="1:1" s="199" customFormat="1" ht="12" hidden="1" customHeight="1">
      <c r="A11078" s="198"/>
    </row>
    <row r="11079" spans="1:1" s="199" customFormat="1" ht="12" hidden="1" customHeight="1">
      <c r="A11079" s="198"/>
    </row>
    <row r="11080" spans="1:1" s="199" customFormat="1" ht="12" hidden="1" customHeight="1">
      <c r="A11080" s="198"/>
    </row>
    <row r="11081" spans="1:1" s="199" customFormat="1" ht="12" hidden="1" customHeight="1">
      <c r="A11081" s="198"/>
    </row>
    <row r="11082" spans="1:1" s="199" customFormat="1" ht="12" hidden="1" customHeight="1">
      <c r="A11082" s="198"/>
    </row>
    <row r="11083" spans="1:1" s="199" customFormat="1" ht="12" hidden="1" customHeight="1">
      <c r="A11083" s="198"/>
    </row>
    <row r="11084" spans="1:1" s="199" customFormat="1" ht="12" hidden="1" customHeight="1">
      <c r="A11084" s="198"/>
    </row>
    <row r="11085" spans="1:1" s="199" customFormat="1" ht="12" hidden="1" customHeight="1">
      <c r="A11085" s="198"/>
    </row>
    <row r="11086" spans="1:1" s="199" customFormat="1" ht="12" hidden="1" customHeight="1">
      <c r="A11086" s="198"/>
    </row>
    <row r="11087" spans="1:1" s="199" customFormat="1" ht="12" hidden="1" customHeight="1">
      <c r="A11087" s="198"/>
    </row>
    <row r="11088" spans="1:1" s="199" customFormat="1" ht="12" hidden="1" customHeight="1">
      <c r="A11088" s="198"/>
    </row>
    <row r="11089" spans="1:1" s="199" customFormat="1" ht="12" hidden="1" customHeight="1">
      <c r="A11089" s="198"/>
    </row>
    <row r="11090" spans="1:1" s="199" customFormat="1" ht="12" hidden="1" customHeight="1">
      <c r="A11090" s="198"/>
    </row>
    <row r="11091" spans="1:1" s="199" customFormat="1" ht="12" hidden="1" customHeight="1">
      <c r="A11091" s="198"/>
    </row>
    <row r="11092" spans="1:1" s="199" customFormat="1" ht="12" hidden="1" customHeight="1">
      <c r="A11092" s="198"/>
    </row>
    <row r="11093" spans="1:1" s="199" customFormat="1" ht="12" hidden="1" customHeight="1">
      <c r="A11093" s="198"/>
    </row>
    <row r="11094" spans="1:1" s="199" customFormat="1" ht="12" hidden="1" customHeight="1">
      <c r="A11094" s="198"/>
    </row>
    <row r="11095" spans="1:1" s="199" customFormat="1" ht="12" hidden="1" customHeight="1">
      <c r="A11095" s="198"/>
    </row>
    <row r="11096" spans="1:1" s="199" customFormat="1" ht="12" hidden="1" customHeight="1">
      <c r="A11096" s="198"/>
    </row>
    <row r="11097" spans="1:1" s="199" customFormat="1" ht="12" hidden="1" customHeight="1">
      <c r="A11097" s="198"/>
    </row>
    <row r="11098" spans="1:1" s="199" customFormat="1" ht="12" hidden="1" customHeight="1">
      <c r="A11098" s="198"/>
    </row>
    <row r="11099" spans="1:1" s="199" customFormat="1" ht="12" hidden="1" customHeight="1">
      <c r="A11099" s="198"/>
    </row>
    <row r="11100" spans="1:1" s="199" customFormat="1" ht="12" hidden="1" customHeight="1">
      <c r="A11100" s="198"/>
    </row>
    <row r="11101" spans="1:1" s="199" customFormat="1" ht="12" hidden="1" customHeight="1">
      <c r="A11101" s="198"/>
    </row>
    <row r="11102" spans="1:1" s="199" customFormat="1" ht="12" hidden="1" customHeight="1">
      <c r="A11102" s="198"/>
    </row>
    <row r="11103" spans="1:1" s="199" customFormat="1" ht="12" hidden="1" customHeight="1">
      <c r="A11103" s="198"/>
    </row>
    <row r="11104" spans="1:1" s="199" customFormat="1" ht="12" hidden="1" customHeight="1">
      <c r="A11104" s="198"/>
    </row>
    <row r="11105" spans="1:1" s="199" customFormat="1" ht="12" hidden="1" customHeight="1">
      <c r="A11105" s="198"/>
    </row>
    <row r="11106" spans="1:1" s="199" customFormat="1" ht="12" hidden="1" customHeight="1">
      <c r="A11106" s="198"/>
    </row>
    <row r="11107" spans="1:1" s="199" customFormat="1" ht="12" hidden="1" customHeight="1">
      <c r="A11107" s="198"/>
    </row>
    <row r="11108" spans="1:1" s="199" customFormat="1" ht="12" hidden="1" customHeight="1">
      <c r="A11108" s="198"/>
    </row>
    <row r="11109" spans="1:1" s="199" customFormat="1" ht="12" hidden="1" customHeight="1">
      <c r="A11109" s="198"/>
    </row>
    <row r="11110" spans="1:1" s="199" customFormat="1" ht="12" hidden="1" customHeight="1">
      <c r="A11110" s="198"/>
    </row>
    <row r="11111" spans="1:1" s="199" customFormat="1" ht="12" hidden="1" customHeight="1">
      <c r="A11111" s="198"/>
    </row>
    <row r="11112" spans="1:1" s="199" customFormat="1" ht="12" hidden="1" customHeight="1">
      <c r="A11112" s="198"/>
    </row>
    <row r="11113" spans="1:1" s="199" customFormat="1" ht="12" hidden="1" customHeight="1">
      <c r="A11113" s="198"/>
    </row>
    <row r="11114" spans="1:1" s="199" customFormat="1" ht="12" hidden="1" customHeight="1">
      <c r="A11114" s="198"/>
    </row>
    <row r="11115" spans="1:1" s="199" customFormat="1" ht="12" hidden="1" customHeight="1">
      <c r="A11115" s="198"/>
    </row>
    <row r="11116" spans="1:1" s="199" customFormat="1" ht="12" hidden="1" customHeight="1">
      <c r="A11116" s="198"/>
    </row>
    <row r="11117" spans="1:1" s="199" customFormat="1" ht="12" hidden="1" customHeight="1">
      <c r="A11117" s="198"/>
    </row>
    <row r="11118" spans="1:1" s="199" customFormat="1" ht="12" hidden="1" customHeight="1">
      <c r="A11118" s="198"/>
    </row>
    <row r="11119" spans="1:1" s="199" customFormat="1" ht="12" hidden="1" customHeight="1">
      <c r="A11119" s="198"/>
    </row>
    <row r="11120" spans="1:1" s="199" customFormat="1" ht="12" hidden="1" customHeight="1">
      <c r="A11120" s="198"/>
    </row>
    <row r="11121" spans="1:1" s="199" customFormat="1" ht="12" hidden="1" customHeight="1">
      <c r="A11121" s="198"/>
    </row>
    <row r="11122" spans="1:1" s="199" customFormat="1" ht="12" hidden="1" customHeight="1">
      <c r="A11122" s="198"/>
    </row>
    <row r="11123" spans="1:1" s="199" customFormat="1" ht="12" hidden="1" customHeight="1">
      <c r="A11123" s="198"/>
    </row>
    <row r="11124" spans="1:1" s="199" customFormat="1" ht="12" hidden="1" customHeight="1">
      <c r="A11124" s="198"/>
    </row>
    <row r="11125" spans="1:1" s="199" customFormat="1" ht="12" hidden="1" customHeight="1">
      <c r="A11125" s="198"/>
    </row>
    <row r="11126" spans="1:1" s="199" customFormat="1" ht="12" hidden="1" customHeight="1">
      <c r="A11126" s="198"/>
    </row>
    <row r="11127" spans="1:1" s="199" customFormat="1" ht="12" hidden="1" customHeight="1">
      <c r="A11127" s="198"/>
    </row>
    <row r="11128" spans="1:1" s="199" customFormat="1" ht="12" hidden="1" customHeight="1">
      <c r="A11128" s="198"/>
    </row>
    <row r="11129" spans="1:1" s="199" customFormat="1" ht="12" hidden="1" customHeight="1">
      <c r="A11129" s="198"/>
    </row>
    <row r="11130" spans="1:1" s="199" customFormat="1" ht="12" hidden="1" customHeight="1">
      <c r="A11130" s="198"/>
    </row>
    <row r="11131" spans="1:1" s="199" customFormat="1" ht="12" hidden="1" customHeight="1">
      <c r="A11131" s="198"/>
    </row>
    <row r="11132" spans="1:1" s="199" customFormat="1" ht="12" hidden="1" customHeight="1">
      <c r="A11132" s="198"/>
    </row>
    <row r="11133" spans="1:1" s="199" customFormat="1" ht="12" hidden="1" customHeight="1">
      <c r="A11133" s="198"/>
    </row>
    <row r="11134" spans="1:1" s="199" customFormat="1" ht="12" hidden="1" customHeight="1">
      <c r="A11134" s="198"/>
    </row>
    <row r="11135" spans="1:1" s="199" customFormat="1" ht="12" hidden="1" customHeight="1">
      <c r="A11135" s="198"/>
    </row>
    <row r="11136" spans="1:1" s="199" customFormat="1" ht="12" hidden="1" customHeight="1">
      <c r="A11136" s="198"/>
    </row>
    <row r="11137" spans="1:1" s="199" customFormat="1" ht="12" hidden="1" customHeight="1">
      <c r="A11137" s="198"/>
    </row>
    <row r="11138" spans="1:1" s="199" customFormat="1" ht="12" hidden="1" customHeight="1">
      <c r="A11138" s="198"/>
    </row>
    <row r="11139" spans="1:1" s="199" customFormat="1" ht="12" hidden="1" customHeight="1">
      <c r="A11139" s="198"/>
    </row>
    <row r="11140" spans="1:1" s="199" customFormat="1" ht="12" hidden="1" customHeight="1">
      <c r="A11140" s="198"/>
    </row>
    <row r="11141" spans="1:1" s="199" customFormat="1" ht="12" hidden="1" customHeight="1">
      <c r="A11141" s="198"/>
    </row>
    <row r="11142" spans="1:1" s="199" customFormat="1" ht="12" hidden="1" customHeight="1">
      <c r="A11142" s="198"/>
    </row>
    <row r="11143" spans="1:1" s="199" customFormat="1" ht="12" hidden="1" customHeight="1">
      <c r="A11143" s="198"/>
    </row>
    <row r="11144" spans="1:1" s="199" customFormat="1" ht="12" hidden="1" customHeight="1">
      <c r="A11144" s="198"/>
    </row>
    <row r="11145" spans="1:1" s="199" customFormat="1" ht="12" hidden="1" customHeight="1">
      <c r="A11145" s="198"/>
    </row>
    <row r="11146" spans="1:1" s="199" customFormat="1" ht="12" hidden="1" customHeight="1">
      <c r="A11146" s="198"/>
    </row>
    <row r="11147" spans="1:1" s="199" customFormat="1" ht="12" hidden="1" customHeight="1">
      <c r="A11147" s="198"/>
    </row>
    <row r="11148" spans="1:1" s="199" customFormat="1" ht="12" hidden="1" customHeight="1">
      <c r="A11148" s="198"/>
    </row>
    <row r="11149" spans="1:1" s="199" customFormat="1" ht="12" hidden="1" customHeight="1">
      <c r="A11149" s="198"/>
    </row>
    <row r="11150" spans="1:1" s="199" customFormat="1" ht="12" hidden="1" customHeight="1">
      <c r="A11150" s="198"/>
    </row>
    <row r="11151" spans="1:1" s="199" customFormat="1" ht="12" hidden="1" customHeight="1">
      <c r="A11151" s="198"/>
    </row>
    <row r="11152" spans="1:1" s="199" customFormat="1" ht="12" hidden="1" customHeight="1">
      <c r="A11152" s="198"/>
    </row>
    <row r="11153" spans="1:1" s="199" customFormat="1" ht="12" hidden="1" customHeight="1">
      <c r="A11153" s="198"/>
    </row>
    <row r="11154" spans="1:1" s="199" customFormat="1" ht="12" hidden="1" customHeight="1">
      <c r="A11154" s="198"/>
    </row>
    <row r="11155" spans="1:1" s="199" customFormat="1" ht="12" hidden="1" customHeight="1">
      <c r="A11155" s="198"/>
    </row>
    <row r="11156" spans="1:1" s="199" customFormat="1" ht="12" hidden="1" customHeight="1">
      <c r="A11156" s="198"/>
    </row>
    <row r="11157" spans="1:1" s="199" customFormat="1" ht="12" hidden="1" customHeight="1">
      <c r="A11157" s="198"/>
    </row>
    <row r="11158" spans="1:1" s="199" customFormat="1" ht="12" hidden="1" customHeight="1">
      <c r="A11158" s="198"/>
    </row>
    <row r="11159" spans="1:1" s="199" customFormat="1" ht="12" hidden="1" customHeight="1">
      <c r="A11159" s="198"/>
    </row>
    <row r="11160" spans="1:1" s="199" customFormat="1" ht="12" hidden="1" customHeight="1">
      <c r="A11160" s="198"/>
    </row>
    <row r="11161" spans="1:1" s="199" customFormat="1" ht="12" hidden="1" customHeight="1">
      <c r="A11161" s="198"/>
    </row>
    <row r="11162" spans="1:1" s="199" customFormat="1" ht="12" hidden="1" customHeight="1">
      <c r="A11162" s="198"/>
    </row>
    <row r="11163" spans="1:1" s="199" customFormat="1" ht="12" hidden="1" customHeight="1">
      <c r="A11163" s="198"/>
    </row>
    <row r="11164" spans="1:1" s="199" customFormat="1" ht="12" hidden="1" customHeight="1">
      <c r="A11164" s="198"/>
    </row>
    <row r="11165" spans="1:1" s="199" customFormat="1" ht="12" hidden="1" customHeight="1">
      <c r="A11165" s="198"/>
    </row>
    <row r="11166" spans="1:1" s="199" customFormat="1" ht="12" hidden="1" customHeight="1">
      <c r="A11166" s="198"/>
    </row>
    <row r="11167" spans="1:1" s="199" customFormat="1" ht="12" hidden="1" customHeight="1">
      <c r="A11167" s="198"/>
    </row>
    <row r="11168" spans="1:1" s="199" customFormat="1" ht="12" hidden="1" customHeight="1">
      <c r="A11168" s="198"/>
    </row>
    <row r="11169" spans="1:1" s="199" customFormat="1" ht="12" hidden="1" customHeight="1">
      <c r="A11169" s="198"/>
    </row>
    <row r="11170" spans="1:1" s="199" customFormat="1" ht="12" hidden="1" customHeight="1">
      <c r="A11170" s="198"/>
    </row>
    <row r="11171" spans="1:1" s="199" customFormat="1" ht="12" hidden="1" customHeight="1">
      <c r="A11171" s="198"/>
    </row>
    <row r="11172" spans="1:1" s="199" customFormat="1" ht="12" hidden="1" customHeight="1">
      <c r="A11172" s="198"/>
    </row>
    <row r="11173" spans="1:1" s="199" customFormat="1" ht="12" hidden="1" customHeight="1">
      <c r="A11173" s="198"/>
    </row>
    <row r="11174" spans="1:1" s="199" customFormat="1" ht="12" hidden="1" customHeight="1">
      <c r="A11174" s="198"/>
    </row>
    <row r="11175" spans="1:1" s="199" customFormat="1" ht="12" hidden="1" customHeight="1">
      <c r="A11175" s="198"/>
    </row>
    <row r="11176" spans="1:1" s="199" customFormat="1" ht="12" hidden="1" customHeight="1">
      <c r="A11176" s="198"/>
    </row>
    <row r="11177" spans="1:1" s="199" customFormat="1" ht="12" hidden="1" customHeight="1">
      <c r="A11177" s="198"/>
    </row>
    <row r="11178" spans="1:1" s="199" customFormat="1" ht="12" hidden="1" customHeight="1">
      <c r="A11178" s="198"/>
    </row>
    <row r="11179" spans="1:1" s="199" customFormat="1" ht="12" hidden="1" customHeight="1">
      <c r="A11179" s="198"/>
    </row>
    <row r="11180" spans="1:1" s="199" customFormat="1" ht="12" hidden="1" customHeight="1">
      <c r="A11180" s="198"/>
    </row>
    <row r="11181" spans="1:1" s="199" customFormat="1" ht="12" hidden="1" customHeight="1">
      <c r="A11181" s="198"/>
    </row>
    <row r="11182" spans="1:1" s="199" customFormat="1" ht="12" hidden="1" customHeight="1">
      <c r="A11182" s="198"/>
    </row>
    <row r="11183" spans="1:1" s="199" customFormat="1" ht="12" hidden="1" customHeight="1">
      <c r="A11183" s="198"/>
    </row>
    <row r="11184" spans="1:1" s="199" customFormat="1" ht="12" hidden="1" customHeight="1">
      <c r="A11184" s="198"/>
    </row>
    <row r="11185" spans="1:1" s="199" customFormat="1" ht="12" hidden="1" customHeight="1">
      <c r="A11185" s="198"/>
    </row>
    <row r="11186" spans="1:1" s="199" customFormat="1" ht="12" hidden="1" customHeight="1">
      <c r="A11186" s="198"/>
    </row>
    <row r="11187" spans="1:1" s="199" customFormat="1" ht="12" hidden="1" customHeight="1">
      <c r="A11187" s="198"/>
    </row>
    <row r="11188" spans="1:1" s="199" customFormat="1" ht="12" hidden="1" customHeight="1">
      <c r="A11188" s="198"/>
    </row>
    <row r="11189" spans="1:1" s="199" customFormat="1" ht="12" hidden="1" customHeight="1">
      <c r="A11189" s="198"/>
    </row>
    <row r="11190" spans="1:1" s="199" customFormat="1" ht="12" hidden="1" customHeight="1">
      <c r="A11190" s="198"/>
    </row>
    <row r="11191" spans="1:1" s="199" customFormat="1" ht="12" hidden="1" customHeight="1">
      <c r="A11191" s="198"/>
    </row>
    <row r="11192" spans="1:1" s="199" customFormat="1" ht="12" hidden="1" customHeight="1">
      <c r="A11192" s="198"/>
    </row>
    <row r="11193" spans="1:1" s="199" customFormat="1" ht="12" hidden="1" customHeight="1">
      <c r="A11193" s="198"/>
    </row>
    <row r="11194" spans="1:1" s="199" customFormat="1" ht="12" hidden="1" customHeight="1">
      <c r="A11194" s="198"/>
    </row>
    <row r="11195" spans="1:1" s="199" customFormat="1" ht="12" hidden="1" customHeight="1">
      <c r="A11195" s="198"/>
    </row>
    <row r="11196" spans="1:1" s="199" customFormat="1" ht="12" hidden="1" customHeight="1">
      <c r="A11196" s="198"/>
    </row>
    <row r="11197" spans="1:1" s="199" customFormat="1" ht="12" hidden="1" customHeight="1">
      <c r="A11197" s="198"/>
    </row>
    <row r="11198" spans="1:1" s="199" customFormat="1" ht="12" hidden="1" customHeight="1">
      <c r="A11198" s="198"/>
    </row>
    <row r="11199" spans="1:1" s="199" customFormat="1" ht="12" hidden="1" customHeight="1">
      <c r="A11199" s="198"/>
    </row>
    <row r="11200" spans="1:1" s="199" customFormat="1" ht="12" hidden="1" customHeight="1">
      <c r="A11200" s="198"/>
    </row>
    <row r="11201" spans="1:1" s="199" customFormat="1" ht="12" hidden="1" customHeight="1">
      <c r="A11201" s="198"/>
    </row>
    <row r="11202" spans="1:1" s="199" customFormat="1" ht="12" hidden="1" customHeight="1">
      <c r="A11202" s="198"/>
    </row>
    <row r="11203" spans="1:1" s="199" customFormat="1" ht="12" hidden="1" customHeight="1">
      <c r="A11203" s="198"/>
    </row>
    <row r="11204" spans="1:1" s="199" customFormat="1" ht="12" hidden="1" customHeight="1">
      <c r="A11204" s="198"/>
    </row>
    <row r="11205" spans="1:1" s="199" customFormat="1" ht="12" hidden="1" customHeight="1">
      <c r="A11205" s="198"/>
    </row>
    <row r="11206" spans="1:1" s="199" customFormat="1" ht="12" hidden="1" customHeight="1">
      <c r="A11206" s="198"/>
    </row>
    <row r="11207" spans="1:1" s="199" customFormat="1" ht="12" hidden="1" customHeight="1">
      <c r="A11207" s="198"/>
    </row>
    <row r="11208" spans="1:1" s="199" customFormat="1" ht="12" hidden="1" customHeight="1">
      <c r="A11208" s="198"/>
    </row>
    <row r="11209" spans="1:1" s="199" customFormat="1" ht="12" hidden="1" customHeight="1">
      <c r="A11209" s="198"/>
    </row>
    <row r="11210" spans="1:1" s="199" customFormat="1" ht="12" hidden="1" customHeight="1">
      <c r="A11210" s="198"/>
    </row>
    <row r="11211" spans="1:1" s="199" customFormat="1" ht="12" hidden="1" customHeight="1">
      <c r="A11211" s="198"/>
    </row>
    <row r="11212" spans="1:1" s="199" customFormat="1" ht="12" hidden="1" customHeight="1">
      <c r="A11212" s="198"/>
    </row>
    <row r="11213" spans="1:1" s="199" customFormat="1" ht="12" hidden="1" customHeight="1">
      <c r="A11213" s="198"/>
    </row>
    <row r="11214" spans="1:1" s="199" customFormat="1" ht="12" hidden="1" customHeight="1">
      <c r="A11214" s="198"/>
    </row>
    <row r="11215" spans="1:1" s="199" customFormat="1" ht="12" hidden="1" customHeight="1">
      <c r="A11215" s="198"/>
    </row>
    <row r="11216" spans="1:1" s="199" customFormat="1" ht="12" hidden="1" customHeight="1">
      <c r="A11216" s="198"/>
    </row>
    <row r="11217" spans="1:1" s="199" customFormat="1" ht="12" hidden="1" customHeight="1">
      <c r="A11217" s="198"/>
    </row>
    <row r="11218" spans="1:1" s="199" customFormat="1" ht="12" hidden="1" customHeight="1">
      <c r="A11218" s="198"/>
    </row>
    <row r="11219" spans="1:1" s="199" customFormat="1" ht="12" hidden="1" customHeight="1">
      <c r="A11219" s="198"/>
    </row>
    <row r="11220" spans="1:1" s="199" customFormat="1" ht="12" hidden="1" customHeight="1">
      <c r="A11220" s="198"/>
    </row>
    <row r="11221" spans="1:1" s="199" customFormat="1" ht="12" hidden="1" customHeight="1">
      <c r="A11221" s="198"/>
    </row>
    <row r="11222" spans="1:1" s="199" customFormat="1" ht="12" hidden="1" customHeight="1">
      <c r="A11222" s="198"/>
    </row>
    <row r="11223" spans="1:1" s="199" customFormat="1" ht="12" hidden="1" customHeight="1">
      <c r="A11223" s="198"/>
    </row>
    <row r="11224" spans="1:1" s="199" customFormat="1" ht="12" hidden="1" customHeight="1">
      <c r="A11224" s="198"/>
    </row>
    <row r="11225" spans="1:1" s="199" customFormat="1" ht="12" hidden="1" customHeight="1">
      <c r="A11225" s="198"/>
    </row>
    <row r="11226" spans="1:1" s="199" customFormat="1" ht="12" hidden="1" customHeight="1">
      <c r="A11226" s="198"/>
    </row>
    <row r="11227" spans="1:1" s="199" customFormat="1" ht="12" hidden="1" customHeight="1">
      <c r="A11227" s="198"/>
    </row>
    <row r="11228" spans="1:1" s="199" customFormat="1" ht="12" hidden="1" customHeight="1">
      <c r="A11228" s="198"/>
    </row>
    <row r="11229" spans="1:1" s="199" customFormat="1" ht="12" hidden="1" customHeight="1">
      <c r="A11229" s="198"/>
    </row>
    <row r="11230" spans="1:1" s="199" customFormat="1" ht="12" hidden="1" customHeight="1">
      <c r="A11230" s="198"/>
    </row>
    <row r="11231" spans="1:1" s="199" customFormat="1" ht="12" hidden="1" customHeight="1">
      <c r="A11231" s="198"/>
    </row>
    <row r="11232" spans="1:1" s="199" customFormat="1" ht="12" hidden="1" customHeight="1">
      <c r="A11232" s="198"/>
    </row>
    <row r="11233" spans="1:1" s="199" customFormat="1" ht="12" hidden="1" customHeight="1">
      <c r="A11233" s="198"/>
    </row>
    <row r="11234" spans="1:1" s="199" customFormat="1" ht="12" hidden="1" customHeight="1">
      <c r="A11234" s="198"/>
    </row>
    <row r="11235" spans="1:1" s="199" customFormat="1" ht="12" hidden="1" customHeight="1">
      <c r="A11235" s="198"/>
    </row>
    <row r="11236" spans="1:1" s="199" customFormat="1" ht="12" hidden="1" customHeight="1">
      <c r="A11236" s="198"/>
    </row>
    <row r="11237" spans="1:1" s="199" customFormat="1" ht="12" hidden="1" customHeight="1">
      <c r="A11237" s="198"/>
    </row>
    <row r="11238" spans="1:1" s="199" customFormat="1" ht="12" hidden="1" customHeight="1">
      <c r="A11238" s="198"/>
    </row>
    <row r="11239" spans="1:1" s="199" customFormat="1" ht="12" hidden="1" customHeight="1">
      <c r="A11239" s="198"/>
    </row>
    <row r="11240" spans="1:1" s="199" customFormat="1" ht="12" hidden="1" customHeight="1">
      <c r="A11240" s="198"/>
    </row>
    <row r="11241" spans="1:1" s="199" customFormat="1" ht="12" hidden="1" customHeight="1">
      <c r="A11241" s="198"/>
    </row>
    <row r="11242" spans="1:1" s="199" customFormat="1" ht="12" hidden="1" customHeight="1">
      <c r="A11242" s="198"/>
    </row>
    <row r="11243" spans="1:1" s="199" customFormat="1" ht="12" hidden="1" customHeight="1">
      <c r="A11243" s="198"/>
    </row>
    <row r="11244" spans="1:1" s="199" customFormat="1" ht="12" hidden="1" customHeight="1">
      <c r="A11244" s="198"/>
    </row>
    <row r="11245" spans="1:1" s="199" customFormat="1" ht="12" hidden="1" customHeight="1">
      <c r="A11245" s="198"/>
    </row>
    <row r="11246" spans="1:1" s="199" customFormat="1" ht="12" hidden="1" customHeight="1">
      <c r="A11246" s="198"/>
    </row>
    <row r="11247" spans="1:1" s="199" customFormat="1" ht="12" hidden="1" customHeight="1">
      <c r="A11247" s="198"/>
    </row>
    <row r="11248" spans="1:1" s="199" customFormat="1" ht="12" hidden="1" customHeight="1">
      <c r="A11248" s="198"/>
    </row>
    <row r="11249" spans="1:1" s="199" customFormat="1" ht="12" hidden="1" customHeight="1">
      <c r="A11249" s="198"/>
    </row>
    <row r="11250" spans="1:1" s="199" customFormat="1" ht="12" hidden="1" customHeight="1">
      <c r="A11250" s="198"/>
    </row>
    <row r="11251" spans="1:1" s="199" customFormat="1" ht="12" hidden="1" customHeight="1">
      <c r="A11251" s="198"/>
    </row>
    <row r="11252" spans="1:1" s="199" customFormat="1" ht="12" hidden="1" customHeight="1">
      <c r="A11252" s="198"/>
    </row>
    <row r="11253" spans="1:1" s="199" customFormat="1" ht="12" hidden="1" customHeight="1">
      <c r="A11253" s="198"/>
    </row>
    <row r="11254" spans="1:1" s="199" customFormat="1" ht="12" hidden="1" customHeight="1">
      <c r="A11254" s="198"/>
    </row>
    <row r="11255" spans="1:1" s="199" customFormat="1" ht="12" hidden="1" customHeight="1">
      <c r="A11255" s="198"/>
    </row>
    <row r="11256" spans="1:1" s="199" customFormat="1" ht="12" hidden="1" customHeight="1">
      <c r="A11256" s="198"/>
    </row>
    <row r="11257" spans="1:1" s="199" customFormat="1" ht="12" hidden="1" customHeight="1">
      <c r="A11257" s="198"/>
    </row>
    <row r="11258" spans="1:1" s="199" customFormat="1" ht="12" hidden="1" customHeight="1">
      <c r="A11258" s="198"/>
    </row>
    <row r="11259" spans="1:1" s="199" customFormat="1" ht="12" hidden="1" customHeight="1">
      <c r="A11259" s="198"/>
    </row>
    <row r="11260" spans="1:1" s="199" customFormat="1" ht="12" hidden="1" customHeight="1">
      <c r="A11260" s="198"/>
    </row>
    <row r="11261" spans="1:1" s="199" customFormat="1" ht="12" hidden="1" customHeight="1">
      <c r="A11261" s="198"/>
    </row>
    <row r="11262" spans="1:1" s="199" customFormat="1" ht="12" hidden="1" customHeight="1">
      <c r="A11262" s="198"/>
    </row>
    <row r="11263" spans="1:1" s="199" customFormat="1" ht="12" hidden="1" customHeight="1">
      <c r="A11263" s="198"/>
    </row>
    <row r="11264" spans="1:1" s="199" customFormat="1" ht="12" hidden="1" customHeight="1">
      <c r="A11264" s="198"/>
    </row>
    <row r="11265" spans="1:1" s="199" customFormat="1" ht="12" hidden="1" customHeight="1">
      <c r="A11265" s="198"/>
    </row>
    <row r="11266" spans="1:1" s="199" customFormat="1" ht="12" hidden="1" customHeight="1">
      <c r="A11266" s="198"/>
    </row>
    <row r="11267" spans="1:1" s="199" customFormat="1" ht="12" hidden="1" customHeight="1">
      <c r="A11267" s="198"/>
    </row>
    <row r="11268" spans="1:1" s="199" customFormat="1" ht="12" hidden="1" customHeight="1">
      <c r="A11268" s="198"/>
    </row>
    <row r="11269" spans="1:1" s="199" customFormat="1" ht="12" hidden="1" customHeight="1">
      <c r="A11269" s="198"/>
    </row>
    <row r="11270" spans="1:1" s="199" customFormat="1" ht="12" hidden="1" customHeight="1">
      <c r="A11270" s="198"/>
    </row>
    <row r="11271" spans="1:1" s="199" customFormat="1" ht="12" hidden="1" customHeight="1">
      <c r="A11271" s="198"/>
    </row>
    <row r="11272" spans="1:1" s="199" customFormat="1" ht="12" hidden="1" customHeight="1">
      <c r="A11272" s="198"/>
    </row>
    <row r="11273" spans="1:1" s="199" customFormat="1" ht="12" hidden="1" customHeight="1">
      <c r="A11273" s="198"/>
    </row>
    <row r="11274" spans="1:1" s="199" customFormat="1" ht="12" hidden="1" customHeight="1">
      <c r="A11274" s="198"/>
    </row>
    <row r="11275" spans="1:1" s="199" customFormat="1" ht="12" hidden="1" customHeight="1">
      <c r="A11275" s="198"/>
    </row>
    <row r="11276" spans="1:1" s="199" customFormat="1" ht="12" hidden="1" customHeight="1">
      <c r="A11276" s="198"/>
    </row>
    <row r="11277" spans="1:1" s="199" customFormat="1" ht="12" hidden="1" customHeight="1">
      <c r="A11277" s="198"/>
    </row>
    <row r="11278" spans="1:1" s="199" customFormat="1" ht="12" hidden="1" customHeight="1">
      <c r="A11278" s="198"/>
    </row>
    <row r="11279" spans="1:1" s="199" customFormat="1" ht="12" hidden="1" customHeight="1">
      <c r="A11279" s="198"/>
    </row>
    <row r="11280" spans="1:1" s="199" customFormat="1" ht="12" hidden="1" customHeight="1">
      <c r="A11280" s="198"/>
    </row>
    <row r="11281" spans="1:1" s="199" customFormat="1" ht="12" hidden="1" customHeight="1">
      <c r="A11281" s="198"/>
    </row>
    <row r="11282" spans="1:1" s="199" customFormat="1" ht="12" hidden="1" customHeight="1">
      <c r="A11282" s="198"/>
    </row>
    <row r="11283" spans="1:1" s="199" customFormat="1" ht="12" hidden="1" customHeight="1">
      <c r="A11283" s="198"/>
    </row>
    <row r="11284" spans="1:1" s="199" customFormat="1" ht="12" hidden="1" customHeight="1">
      <c r="A11284" s="198"/>
    </row>
    <row r="11285" spans="1:1" s="199" customFormat="1" ht="12" hidden="1" customHeight="1">
      <c r="A11285" s="198"/>
    </row>
    <row r="11286" spans="1:1" s="199" customFormat="1" ht="12" hidden="1" customHeight="1">
      <c r="A11286" s="198"/>
    </row>
    <row r="11287" spans="1:1" s="199" customFormat="1" ht="12" hidden="1" customHeight="1">
      <c r="A11287" s="198"/>
    </row>
    <row r="11288" spans="1:1" s="199" customFormat="1" ht="12" hidden="1" customHeight="1">
      <c r="A11288" s="198"/>
    </row>
    <row r="11289" spans="1:1" s="199" customFormat="1" ht="12" hidden="1" customHeight="1">
      <c r="A11289" s="198"/>
    </row>
    <row r="11290" spans="1:1" s="199" customFormat="1" ht="12" hidden="1" customHeight="1">
      <c r="A11290" s="198"/>
    </row>
    <row r="11291" spans="1:1" s="199" customFormat="1" ht="12" hidden="1" customHeight="1">
      <c r="A11291" s="198"/>
    </row>
    <row r="11292" spans="1:1" s="199" customFormat="1" ht="12" hidden="1" customHeight="1">
      <c r="A11292" s="198"/>
    </row>
    <row r="11293" spans="1:1" s="199" customFormat="1" ht="12" hidden="1" customHeight="1">
      <c r="A11293" s="198"/>
    </row>
    <row r="11294" spans="1:1" s="199" customFormat="1" ht="12" hidden="1" customHeight="1">
      <c r="A11294" s="198"/>
    </row>
    <row r="11295" spans="1:1" s="199" customFormat="1" ht="12" hidden="1" customHeight="1">
      <c r="A11295" s="198"/>
    </row>
    <row r="11296" spans="1:1" s="199" customFormat="1" ht="12" hidden="1" customHeight="1">
      <c r="A11296" s="198"/>
    </row>
    <row r="11297" spans="1:1" s="199" customFormat="1" ht="12" hidden="1" customHeight="1">
      <c r="A11297" s="198"/>
    </row>
    <row r="11298" spans="1:1" s="199" customFormat="1" ht="12" hidden="1" customHeight="1">
      <c r="A11298" s="198"/>
    </row>
    <row r="11299" spans="1:1" s="199" customFormat="1" ht="12" hidden="1" customHeight="1">
      <c r="A11299" s="198"/>
    </row>
    <row r="11300" spans="1:1" s="199" customFormat="1" ht="12" hidden="1" customHeight="1">
      <c r="A11300" s="198"/>
    </row>
    <row r="11301" spans="1:1" s="199" customFormat="1" ht="12" hidden="1" customHeight="1">
      <c r="A11301" s="198"/>
    </row>
    <row r="11302" spans="1:1" s="199" customFormat="1" ht="12" hidden="1" customHeight="1">
      <c r="A11302" s="198"/>
    </row>
    <row r="11303" spans="1:1" s="199" customFormat="1" ht="12" hidden="1" customHeight="1">
      <c r="A11303" s="198"/>
    </row>
    <row r="11304" spans="1:1" s="199" customFormat="1" ht="12" hidden="1" customHeight="1">
      <c r="A11304" s="198"/>
    </row>
    <row r="11305" spans="1:1" s="199" customFormat="1" ht="12" hidden="1" customHeight="1">
      <c r="A11305" s="198"/>
    </row>
    <row r="11306" spans="1:1" s="199" customFormat="1" ht="12" hidden="1" customHeight="1">
      <c r="A11306" s="198"/>
    </row>
    <row r="11307" spans="1:1" s="199" customFormat="1" ht="12" hidden="1" customHeight="1">
      <c r="A11307" s="198"/>
    </row>
    <row r="11308" spans="1:1" s="199" customFormat="1" ht="12" hidden="1" customHeight="1">
      <c r="A11308" s="198"/>
    </row>
    <row r="11309" spans="1:1" s="199" customFormat="1" ht="12" hidden="1" customHeight="1">
      <c r="A11309" s="198"/>
    </row>
    <row r="11310" spans="1:1" s="199" customFormat="1" ht="12" hidden="1" customHeight="1">
      <c r="A11310" s="198"/>
    </row>
    <row r="11311" spans="1:1" s="199" customFormat="1" ht="12" hidden="1" customHeight="1">
      <c r="A11311" s="198"/>
    </row>
    <row r="11312" spans="1:1" s="199" customFormat="1" ht="12" hidden="1" customHeight="1">
      <c r="A11312" s="198"/>
    </row>
    <row r="11313" spans="1:1" s="199" customFormat="1" ht="12" hidden="1" customHeight="1">
      <c r="A11313" s="198"/>
    </row>
    <row r="11314" spans="1:1" s="199" customFormat="1" ht="12" hidden="1" customHeight="1">
      <c r="A11314" s="198"/>
    </row>
    <row r="11315" spans="1:1" s="199" customFormat="1" ht="12" hidden="1" customHeight="1">
      <c r="A11315" s="198"/>
    </row>
    <row r="11316" spans="1:1" s="199" customFormat="1" ht="12" hidden="1" customHeight="1">
      <c r="A11316" s="198"/>
    </row>
    <row r="11317" spans="1:1" s="199" customFormat="1" ht="12" hidden="1" customHeight="1">
      <c r="A11317" s="198"/>
    </row>
    <row r="11318" spans="1:1" s="199" customFormat="1" ht="12" hidden="1" customHeight="1">
      <c r="A11318" s="198"/>
    </row>
    <row r="11319" spans="1:1" s="199" customFormat="1" ht="12" hidden="1" customHeight="1">
      <c r="A11319" s="198"/>
    </row>
    <row r="11320" spans="1:1" s="199" customFormat="1" ht="12" hidden="1" customHeight="1">
      <c r="A11320" s="198"/>
    </row>
    <row r="11321" spans="1:1" s="199" customFormat="1" ht="12" hidden="1" customHeight="1">
      <c r="A11321" s="198"/>
    </row>
    <row r="11322" spans="1:1" s="199" customFormat="1" ht="12" hidden="1" customHeight="1">
      <c r="A11322" s="198"/>
    </row>
    <row r="11323" spans="1:1" s="199" customFormat="1" ht="12" hidden="1" customHeight="1">
      <c r="A11323" s="198"/>
    </row>
    <row r="11324" spans="1:1" s="199" customFormat="1" ht="12" hidden="1" customHeight="1">
      <c r="A11324" s="198"/>
    </row>
    <row r="11325" spans="1:1" s="199" customFormat="1" ht="12" hidden="1" customHeight="1">
      <c r="A11325" s="198"/>
    </row>
    <row r="11326" spans="1:1" s="199" customFormat="1" ht="12" hidden="1" customHeight="1">
      <c r="A11326" s="198"/>
    </row>
    <row r="11327" spans="1:1" s="199" customFormat="1" ht="12" hidden="1" customHeight="1">
      <c r="A11327" s="198"/>
    </row>
    <row r="11328" spans="1:1" s="199" customFormat="1" ht="12" hidden="1" customHeight="1">
      <c r="A11328" s="198"/>
    </row>
    <row r="11329" spans="1:1" s="199" customFormat="1" ht="12" hidden="1" customHeight="1">
      <c r="A11329" s="198"/>
    </row>
    <row r="11330" spans="1:1" s="199" customFormat="1" ht="12" hidden="1" customHeight="1">
      <c r="A11330" s="198"/>
    </row>
    <row r="11331" spans="1:1" s="199" customFormat="1" ht="12" hidden="1" customHeight="1">
      <c r="A11331" s="198"/>
    </row>
    <row r="11332" spans="1:1" s="199" customFormat="1" ht="12" hidden="1" customHeight="1">
      <c r="A11332" s="198"/>
    </row>
    <row r="11333" spans="1:1" s="199" customFormat="1" ht="12" hidden="1" customHeight="1">
      <c r="A11333" s="198"/>
    </row>
    <row r="11334" spans="1:1" s="199" customFormat="1" ht="12" hidden="1" customHeight="1">
      <c r="A11334" s="198"/>
    </row>
    <row r="11335" spans="1:1" s="199" customFormat="1" ht="12" hidden="1" customHeight="1">
      <c r="A11335" s="198"/>
    </row>
    <row r="11336" spans="1:1" s="199" customFormat="1" ht="12" hidden="1" customHeight="1">
      <c r="A11336" s="198"/>
    </row>
    <row r="11337" spans="1:1" s="199" customFormat="1" ht="12" hidden="1" customHeight="1">
      <c r="A11337" s="198"/>
    </row>
    <row r="11338" spans="1:1" s="199" customFormat="1" ht="12" hidden="1" customHeight="1">
      <c r="A11338" s="198"/>
    </row>
    <row r="11339" spans="1:1" s="199" customFormat="1" ht="12" hidden="1" customHeight="1">
      <c r="A11339" s="198"/>
    </row>
    <row r="11340" spans="1:1" s="199" customFormat="1" ht="12" hidden="1" customHeight="1">
      <c r="A11340" s="198"/>
    </row>
    <row r="11341" spans="1:1" s="199" customFormat="1" ht="12" hidden="1" customHeight="1">
      <c r="A11341" s="198"/>
    </row>
    <row r="11342" spans="1:1" s="199" customFormat="1" ht="12" hidden="1" customHeight="1">
      <c r="A11342" s="198"/>
    </row>
    <row r="11343" spans="1:1" s="199" customFormat="1" ht="12" hidden="1" customHeight="1">
      <c r="A11343" s="198"/>
    </row>
    <row r="11344" spans="1:1" s="199" customFormat="1" ht="12" hidden="1" customHeight="1">
      <c r="A11344" s="198"/>
    </row>
    <row r="11345" spans="1:1" s="199" customFormat="1" ht="12" hidden="1" customHeight="1">
      <c r="A11345" s="198"/>
    </row>
    <row r="11346" spans="1:1" s="199" customFormat="1" ht="12" hidden="1" customHeight="1">
      <c r="A11346" s="198"/>
    </row>
    <row r="11347" spans="1:1" s="199" customFormat="1" ht="12" hidden="1" customHeight="1">
      <c r="A11347" s="198"/>
    </row>
    <row r="11348" spans="1:1" s="199" customFormat="1" ht="12" hidden="1" customHeight="1">
      <c r="A11348" s="198"/>
    </row>
    <row r="11349" spans="1:1" s="199" customFormat="1" ht="12" hidden="1" customHeight="1">
      <c r="A11349" s="198"/>
    </row>
    <row r="11350" spans="1:1" s="199" customFormat="1" ht="12" hidden="1" customHeight="1">
      <c r="A11350" s="198"/>
    </row>
    <row r="11351" spans="1:1" s="199" customFormat="1" ht="12" hidden="1" customHeight="1">
      <c r="A11351" s="198"/>
    </row>
    <row r="11352" spans="1:1" s="199" customFormat="1" ht="12" hidden="1" customHeight="1">
      <c r="A11352" s="198"/>
    </row>
    <row r="11353" spans="1:1" s="199" customFormat="1" ht="12" hidden="1" customHeight="1">
      <c r="A11353" s="198"/>
    </row>
    <row r="11354" spans="1:1" s="199" customFormat="1" ht="12" hidden="1" customHeight="1">
      <c r="A11354" s="198"/>
    </row>
    <row r="11355" spans="1:1" s="199" customFormat="1" ht="12" hidden="1" customHeight="1">
      <c r="A11355" s="198"/>
    </row>
    <row r="11356" spans="1:1" s="199" customFormat="1" ht="12" hidden="1" customHeight="1">
      <c r="A11356" s="198"/>
    </row>
    <row r="11357" spans="1:1" s="199" customFormat="1" ht="12" hidden="1" customHeight="1">
      <c r="A11357" s="198"/>
    </row>
    <row r="11358" spans="1:1" s="199" customFormat="1" ht="12" hidden="1" customHeight="1">
      <c r="A11358" s="198"/>
    </row>
    <row r="11359" spans="1:1" s="199" customFormat="1" ht="12" hidden="1" customHeight="1">
      <c r="A11359" s="198"/>
    </row>
    <row r="11360" spans="1:1" s="199" customFormat="1" ht="12" hidden="1" customHeight="1">
      <c r="A11360" s="198"/>
    </row>
    <row r="11361" spans="1:1" s="199" customFormat="1" ht="12" hidden="1" customHeight="1">
      <c r="A11361" s="198"/>
    </row>
    <row r="11362" spans="1:1" s="199" customFormat="1" ht="12" hidden="1" customHeight="1">
      <c r="A11362" s="198"/>
    </row>
    <row r="11363" spans="1:1" s="199" customFormat="1" ht="12" hidden="1" customHeight="1">
      <c r="A11363" s="198"/>
    </row>
    <row r="11364" spans="1:1" s="199" customFormat="1" ht="12" hidden="1" customHeight="1">
      <c r="A11364" s="198"/>
    </row>
    <row r="11365" spans="1:1" s="199" customFormat="1" ht="12" hidden="1" customHeight="1">
      <c r="A11365" s="198"/>
    </row>
    <row r="11366" spans="1:1" s="199" customFormat="1" ht="12" hidden="1" customHeight="1">
      <c r="A11366" s="198"/>
    </row>
    <row r="11367" spans="1:1" s="199" customFormat="1" ht="12" hidden="1" customHeight="1">
      <c r="A11367" s="198"/>
    </row>
    <row r="11368" spans="1:1" s="199" customFormat="1" ht="12" hidden="1" customHeight="1">
      <c r="A11368" s="198"/>
    </row>
    <row r="11369" spans="1:1" s="199" customFormat="1" ht="12" hidden="1" customHeight="1">
      <c r="A11369" s="198"/>
    </row>
    <row r="11370" spans="1:1" s="199" customFormat="1" ht="12" hidden="1" customHeight="1">
      <c r="A11370" s="198"/>
    </row>
    <row r="11371" spans="1:1" s="199" customFormat="1" ht="12" hidden="1" customHeight="1">
      <c r="A11371" s="198"/>
    </row>
    <row r="11372" spans="1:1" s="199" customFormat="1" ht="12" hidden="1" customHeight="1">
      <c r="A11372" s="198"/>
    </row>
    <row r="11373" spans="1:1" s="199" customFormat="1" ht="12" hidden="1" customHeight="1">
      <c r="A11373" s="198"/>
    </row>
    <row r="11374" spans="1:1" s="199" customFormat="1" ht="12" hidden="1" customHeight="1">
      <c r="A11374" s="198"/>
    </row>
    <row r="11375" spans="1:1" s="199" customFormat="1" ht="12" hidden="1" customHeight="1">
      <c r="A11375" s="198"/>
    </row>
    <row r="11376" spans="1:1" s="199" customFormat="1" ht="12" hidden="1" customHeight="1">
      <c r="A11376" s="198"/>
    </row>
    <row r="11377" spans="1:1" s="199" customFormat="1" ht="12" hidden="1" customHeight="1">
      <c r="A11377" s="198"/>
    </row>
    <row r="11378" spans="1:1" s="199" customFormat="1" ht="12" hidden="1" customHeight="1">
      <c r="A11378" s="198"/>
    </row>
    <row r="11379" spans="1:1" s="199" customFormat="1" ht="12" hidden="1" customHeight="1">
      <c r="A11379" s="198"/>
    </row>
    <row r="11380" spans="1:1" s="199" customFormat="1" ht="12" hidden="1" customHeight="1">
      <c r="A11380" s="198"/>
    </row>
    <row r="11381" spans="1:1" s="199" customFormat="1" ht="12" hidden="1" customHeight="1">
      <c r="A11381" s="198"/>
    </row>
    <row r="11382" spans="1:1" s="199" customFormat="1" ht="12" hidden="1" customHeight="1">
      <c r="A11382" s="198"/>
    </row>
    <row r="11383" spans="1:1" s="199" customFormat="1" ht="12" hidden="1" customHeight="1">
      <c r="A11383" s="198"/>
    </row>
    <row r="11384" spans="1:1" s="199" customFormat="1" ht="12" hidden="1" customHeight="1">
      <c r="A11384" s="198"/>
    </row>
    <row r="11385" spans="1:1" s="199" customFormat="1" ht="12" hidden="1" customHeight="1">
      <c r="A11385" s="198"/>
    </row>
    <row r="11386" spans="1:1" s="199" customFormat="1" ht="12" hidden="1" customHeight="1">
      <c r="A11386" s="198"/>
    </row>
    <row r="11387" spans="1:1" s="199" customFormat="1" ht="12" hidden="1" customHeight="1">
      <c r="A11387" s="198"/>
    </row>
    <row r="11388" spans="1:1" s="199" customFormat="1" ht="12" hidden="1" customHeight="1">
      <c r="A11388" s="198"/>
    </row>
    <row r="11389" spans="1:1" s="199" customFormat="1" ht="12" hidden="1" customHeight="1">
      <c r="A11389" s="198"/>
    </row>
    <row r="11390" spans="1:1" s="199" customFormat="1" ht="12" hidden="1" customHeight="1">
      <c r="A11390" s="198"/>
    </row>
    <row r="11391" spans="1:1" s="199" customFormat="1" ht="12" hidden="1" customHeight="1">
      <c r="A11391" s="198"/>
    </row>
    <row r="11392" spans="1:1" s="199" customFormat="1" ht="12" hidden="1" customHeight="1">
      <c r="A11392" s="198"/>
    </row>
    <row r="11393" spans="1:1" s="199" customFormat="1" ht="12" hidden="1" customHeight="1">
      <c r="A11393" s="198"/>
    </row>
    <row r="11394" spans="1:1" s="199" customFormat="1" ht="12" hidden="1" customHeight="1">
      <c r="A11394" s="198"/>
    </row>
    <row r="11395" spans="1:1" s="199" customFormat="1" ht="12" hidden="1" customHeight="1">
      <c r="A11395" s="198"/>
    </row>
    <row r="11396" spans="1:1" s="199" customFormat="1" ht="12" hidden="1" customHeight="1">
      <c r="A11396" s="198"/>
    </row>
    <row r="11397" spans="1:1" s="199" customFormat="1" ht="12" hidden="1" customHeight="1">
      <c r="A11397" s="198"/>
    </row>
    <row r="11398" spans="1:1" s="199" customFormat="1" ht="12" hidden="1" customHeight="1">
      <c r="A11398" s="198"/>
    </row>
    <row r="11399" spans="1:1" s="199" customFormat="1" ht="12" hidden="1" customHeight="1">
      <c r="A11399" s="198"/>
    </row>
    <row r="11400" spans="1:1" s="199" customFormat="1" ht="12" hidden="1" customHeight="1">
      <c r="A11400" s="198"/>
    </row>
    <row r="11401" spans="1:1" s="199" customFormat="1" ht="12" hidden="1" customHeight="1">
      <c r="A11401" s="198"/>
    </row>
    <row r="11402" spans="1:1" s="199" customFormat="1" ht="12" hidden="1" customHeight="1">
      <c r="A11402" s="198"/>
    </row>
    <row r="11403" spans="1:1" s="199" customFormat="1" ht="12" hidden="1" customHeight="1">
      <c r="A11403" s="198"/>
    </row>
    <row r="11404" spans="1:1" s="199" customFormat="1" ht="12" hidden="1" customHeight="1">
      <c r="A11404" s="198"/>
    </row>
    <row r="11405" spans="1:1" s="199" customFormat="1" ht="12" hidden="1" customHeight="1">
      <c r="A11405" s="198"/>
    </row>
    <row r="11406" spans="1:1" s="199" customFormat="1" ht="12" hidden="1" customHeight="1">
      <c r="A11406" s="198"/>
    </row>
    <row r="11407" spans="1:1" s="199" customFormat="1" ht="12" hidden="1" customHeight="1">
      <c r="A11407" s="198"/>
    </row>
    <row r="11408" spans="1:1" s="199" customFormat="1" ht="12" hidden="1" customHeight="1">
      <c r="A11408" s="198"/>
    </row>
    <row r="11409" spans="1:1" s="199" customFormat="1" ht="12" hidden="1" customHeight="1">
      <c r="A11409" s="198"/>
    </row>
    <row r="11410" spans="1:1" s="199" customFormat="1" ht="12" hidden="1" customHeight="1">
      <c r="A11410" s="198"/>
    </row>
    <row r="11411" spans="1:1" s="199" customFormat="1" ht="12" hidden="1" customHeight="1">
      <c r="A11411" s="198"/>
    </row>
    <row r="11412" spans="1:1" s="199" customFormat="1" ht="12" hidden="1" customHeight="1">
      <c r="A11412" s="198"/>
    </row>
    <row r="11413" spans="1:1" s="199" customFormat="1" ht="12" hidden="1" customHeight="1">
      <c r="A11413" s="198"/>
    </row>
    <row r="11414" spans="1:1" s="199" customFormat="1" ht="12" hidden="1" customHeight="1">
      <c r="A11414" s="198"/>
    </row>
    <row r="11415" spans="1:1" s="199" customFormat="1" ht="12" hidden="1" customHeight="1">
      <c r="A11415" s="198"/>
    </row>
    <row r="11416" spans="1:1" s="199" customFormat="1" ht="12" hidden="1" customHeight="1">
      <c r="A11416" s="198"/>
    </row>
    <row r="11417" spans="1:1" s="199" customFormat="1" ht="12" hidden="1" customHeight="1">
      <c r="A11417" s="198"/>
    </row>
    <row r="11418" spans="1:1" s="199" customFormat="1" ht="12" hidden="1" customHeight="1">
      <c r="A11418" s="198"/>
    </row>
    <row r="11419" spans="1:1" s="199" customFormat="1" ht="12" hidden="1" customHeight="1">
      <c r="A11419" s="198"/>
    </row>
    <row r="11420" spans="1:1" s="199" customFormat="1" ht="12" hidden="1" customHeight="1">
      <c r="A11420" s="198"/>
    </row>
    <row r="11421" spans="1:1" s="199" customFormat="1" ht="12" hidden="1" customHeight="1">
      <c r="A11421" s="198"/>
    </row>
    <row r="11422" spans="1:1" s="199" customFormat="1" ht="12" hidden="1" customHeight="1">
      <c r="A11422" s="198"/>
    </row>
    <row r="11423" spans="1:1" s="199" customFormat="1" ht="12" hidden="1" customHeight="1">
      <c r="A11423" s="198"/>
    </row>
    <row r="11424" spans="1:1" s="199" customFormat="1" ht="12" hidden="1" customHeight="1">
      <c r="A11424" s="198"/>
    </row>
    <row r="11425" spans="1:1" s="199" customFormat="1" ht="12" hidden="1" customHeight="1">
      <c r="A11425" s="198"/>
    </row>
    <row r="11426" spans="1:1" s="199" customFormat="1" ht="12" hidden="1" customHeight="1">
      <c r="A11426" s="198"/>
    </row>
    <row r="11427" spans="1:1" s="199" customFormat="1" ht="12" hidden="1" customHeight="1">
      <c r="A11427" s="198"/>
    </row>
    <row r="11428" spans="1:1" s="199" customFormat="1" ht="12" hidden="1" customHeight="1">
      <c r="A11428" s="198"/>
    </row>
    <row r="11429" spans="1:1" s="199" customFormat="1" ht="12" hidden="1" customHeight="1">
      <c r="A11429" s="198"/>
    </row>
    <row r="11430" spans="1:1" s="199" customFormat="1" ht="12" hidden="1" customHeight="1">
      <c r="A11430" s="198"/>
    </row>
    <row r="11431" spans="1:1" s="199" customFormat="1" ht="12" hidden="1" customHeight="1">
      <c r="A11431" s="198"/>
    </row>
    <row r="11432" spans="1:1" s="199" customFormat="1" ht="12" hidden="1" customHeight="1">
      <c r="A11432" s="198"/>
    </row>
    <row r="11433" spans="1:1" s="199" customFormat="1" ht="12" hidden="1" customHeight="1">
      <c r="A11433" s="198"/>
    </row>
    <row r="11434" spans="1:1" s="199" customFormat="1" ht="12" hidden="1" customHeight="1">
      <c r="A11434" s="198"/>
    </row>
    <row r="11435" spans="1:1" s="199" customFormat="1" ht="12" hidden="1" customHeight="1">
      <c r="A11435" s="198"/>
    </row>
    <row r="11436" spans="1:1" s="199" customFormat="1" ht="12" hidden="1" customHeight="1">
      <c r="A11436" s="198"/>
    </row>
    <row r="11437" spans="1:1" s="199" customFormat="1" ht="12" hidden="1" customHeight="1">
      <c r="A11437" s="198"/>
    </row>
    <row r="11438" spans="1:1" s="199" customFormat="1" ht="12" hidden="1" customHeight="1">
      <c r="A11438" s="198"/>
    </row>
    <row r="11439" spans="1:1" s="199" customFormat="1" ht="12" hidden="1" customHeight="1">
      <c r="A11439" s="198"/>
    </row>
    <row r="11440" spans="1:1" s="199" customFormat="1" ht="12" hidden="1" customHeight="1">
      <c r="A11440" s="198"/>
    </row>
    <row r="11441" spans="1:1" s="199" customFormat="1" ht="12" hidden="1" customHeight="1">
      <c r="A11441" s="198"/>
    </row>
    <row r="11442" spans="1:1" s="199" customFormat="1" ht="12" hidden="1" customHeight="1">
      <c r="A11442" s="198"/>
    </row>
    <row r="11443" spans="1:1" s="199" customFormat="1" ht="12" hidden="1" customHeight="1">
      <c r="A11443" s="198"/>
    </row>
    <row r="11444" spans="1:1" s="199" customFormat="1" ht="12" hidden="1" customHeight="1">
      <c r="A11444" s="198"/>
    </row>
    <row r="11445" spans="1:1" s="199" customFormat="1" ht="12" hidden="1" customHeight="1">
      <c r="A11445" s="198"/>
    </row>
    <row r="11446" spans="1:1" s="199" customFormat="1" ht="12" hidden="1" customHeight="1">
      <c r="A11446" s="198"/>
    </row>
    <row r="11447" spans="1:1" s="199" customFormat="1" ht="12" hidden="1" customHeight="1">
      <c r="A11447" s="198"/>
    </row>
    <row r="11448" spans="1:1" s="199" customFormat="1" ht="12" hidden="1" customHeight="1">
      <c r="A11448" s="198"/>
    </row>
    <row r="11449" spans="1:1" s="199" customFormat="1" ht="12" hidden="1" customHeight="1">
      <c r="A11449" s="198"/>
    </row>
    <row r="11450" spans="1:1" s="199" customFormat="1" ht="12" hidden="1" customHeight="1">
      <c r="A11450" s="198"/>
    </row>
    <row r="11451" spans="1:1" s="199" customFormat="1" ht="12" hidden="1" customHeight="1">
      <c r="A11451" s="198"/>
    </row>
    <row r="11452" spans="1:1" s="199" customFormat="1" ht="12" hidden="1" customHeight="1">
      <c r="A11452" s="198"/>
    </row>
    <row r="11453" spans="1:1" s="199" customFormat="1" ht="12" hidden="1" customHeight="1">
      <c r="A11453" s="198"/>
    </row>
    <row r="11454" spans="1:1" s="199" customFormat="1" ht="12" hidden="1" customHeight="1">
      <c r="A11454" s="198"/>
    </row>
    <row r="11455" spans="1:1" s="199" customFormat="1" ht="12" hidden="1" customHeight="1">
      <c r="A11455" s="198"/>
    </row>
    <row r="11456" spans="1:1" s="199" customFormat="1" ht="12" hidden="1" customHeight="1">
      <c r="A11456" s="198"/>
    </row>
    <row r="11457" spans="1:1" s="199" customFormat="1" ht="12" hidden="1" customHeight="1">
      <c r="A11457" s="198"/>
    </row>
    <row r="11458" spans="1:1" s="199" customFormat="1" ht="12" hidden="1" customHeight="1">
      <c r="A11458" s="198"/>
    </row>
    <row r="11459" spans="1:1" s="199" customFormat="1" ht="12" hidden="1" customHeight="1">
      <c r="A11459" s="198"/>
    </row>
    <row r="11460" spans="1:1" s="199" customFormat="1" ht="12" hidden="1" customHeight="1">
      <c r="A11460" s="198"/>
    </row>
    <row r="11461" spans="1:1" s="199" customFormat="1" ht="12" hidden="1" customHeight="1">
      <c r="A11461" s="198"/>
    </row>
    <row r="11462" spans="1:1" s="199" customFormat="1" ht="12" hidden="1" customHeight="1">
      <c r="A11462" s="198"/>
    </row>
    <row r="11463" spans="1:1" s="199" customFormat="1" ht="12" hidden="1" customHeight="1">
      <c r="A11463" s="198"/>
    </row>
    <row r="11464" spans="1:1" s="199" customFormat="1" ht="12" hidden="1" customHeight="1">
      <c r="A11464" s="198"/>
    </row>
    <row r="11465" spans="1:1" s="199" customFormat="1" ht="12" hidden="1" customHeight="1">
      <c r="A11465" s="198"/>
    </row>
    <row r="11466" spans="1:1" s="199" customFormat="1" ht="12" hidden="1" customHeight="1">
      <c r="A11466" s="198"/>
    </row>
    <row r="11467" spans="1:1" s="199" customFormat="1" ht="12" hidden="1" customHeight="1">
      <c r="A11467" s="198"/>
    </row>
    <row r="11468" spans="1:1" s="199" customFormat="1" ht="12" hidden="1" customHeight="1">
      <c r="A11468" s="198"/>
    </row>
    <row r="11469" spans="1:1" s="199" customFormat="1" ht="12" hidden="1" customHeight="1">
      <c r="A11469" s="198"/>
    </row>
    <row r="11470" spans="1:1" s="199" customFormat="1" ht="12" hidden="1" customHeight="1">
      <c r="A11470" s="198"/>
    </row>
    <row r="11471" spans="1:1" s="199" customFormat="1" ht="12" hidden="1" customHeight="1">
      <c r="A11471" s="198"/>
    </row>
    <row r="11472" spans="1:1" s="199" customFormat="1" ht="12" hidden="1" customHeight="1">
      <c r="A11472" s="198"/>
    </row>
    <row r="11473" spans="1:1" s="199" customFormat="1" ht="12" hidden="1" customHeight="1">
      <c r="A11473" s="198"/>
    </row>
    <row r="11474" spans="1:1" s="199" customFormat="1" ht="12" hidden="1" customHeight="1">
      <c r="A11474" s="198"/>
    </row>
    <row r="11475" spans="1:1" s="199" customFormat="1" ht="12" hidden="1" customHeight="1">
      <c r="A11475" s="198"/>
    </row>
    <row r="11476" spans="1:1" s="199" customFormat="1" ht="12" hidden="1" customHeight="1">
      <c r="A11476" s="198"/>
    </row>
    <row r="11477" spans="1:1" s="199" customFormat="1" ht="12" hidden="1" customHeight="1">
      <c r="A11477" s="198"/>
    </row>
    <row r="11478" spans="1:1" s="199" customFormat="1" ht="12" hidden="1" customHeight="1">
      <c r="A11478" s="198"/>
    </row>
    <row r="11479" spans="1:1" s="199" customFormat="1" ht="12" hidden="1" customHeight="1">
      <c r="A11479" s="198"/>
    </row>
    <row r="11480" spans="1:1" s="199" customFormat="1" ht="12" hidden="1" customHeight="1">
      <c r="A11480" s="198"/>
    </row>
    <row r="11481" spans="1:1" s="199" customFormat="1" ht="12" hidden="1" customHeight="1">
      <c r="A11481" s="198"/>
    </row>
    <row r="11482" spans="1:1" s="199" customFormat="1" ht="12" hidden="1" customHeight="1">
      <c r="A11482" s="198"/>
    </row>
    <row r="11483" spans="1:1" s="199" customFormat="1" ht="12" hidden="1" customHeight="1">
      <c r="A11483" s="198"/>
    </row>
    <row r="11484" spans="1:1" s="199" customFormat="1" ht="12" hidden="1" customHeight="1">
      <c r="A11484" s="198"/>
    </row>
    <row r="11485" spans="1:1" s="199" customFormat="1" ht="12" hidden="1" customHeight="1">
      <c r="A11485" s="198"/>
    </row>
    <row r="11486" spans="1:1" s="199" customFormat="1" ht="12" hidden="1" customHeight="1">
      <c r="A11486" s="198"/>
    </row>
    <row r="11487" spans="1:1" s="199" customFormat="1" ht="12" hidden="1" customHeight="1">
      <c r="A11487" s="198"/>
    </row>
    <row r="11488" spans="1:1" s="199" customFormat="1" ht="12" hidden="1" customHeight="1">
      <c r="A11488" s="198"/>
    </row>
    <row r="11489" spans="1:1" s="199" customFormat="1" ht="12" hidden="1" customHeight="1">
      <c r="A11489" s="198"/>
    </row>
    <row r="11490" spans="1:1" s="199" customFormat="1" ht="12" hidden="1" customHeight="1">
      <c r="A11490" s="198"/>
    </row>
    <row r="11491" spans="1:1" s="199" customFormat="1" ht="12" hidden="1" customHeight="1">
      <c r="A11491" s="198"/>
    </row>
    <row r="11492" spans="1:1" s="199" customFormat="1" ht="12" hidden="1" customHeight="1">
      <c r="A11492" s="198"/>
    </row>
    <row r="11493" spans="1:1" s="199" customFormat="1" ht="12" hidden="1" customHeight="1">
      <c r="A11493" s="198"/>
    </row>
    <row r="11494" spans="1:1" s="199" customFormat="1" ht="12" hidden="1" customHeight="1">
      <c r="A11494" s="198"/>
    </row>
    <row r="11495" spans="1:1" s="199" customFormat="1" ht="12" hidden="1" customHeight="1">
      <c r="A11495" s="198"/>
    </row>
    <row r="11496" spans="1:1" s="199" customFormat="1" ht="12" hidden="1" customHeight="1">
      <c r="A11496" s="198"/>
    </row>
    <row r="11497" spans="1:1" s="199" customFormat="1" ht="12" hidden="1" customHeight="1">
      <c r="A11497" s="198"/>
    </row>
    <row r="11498" spans="1:1" s="199" customFormat="1" ht="12" hidden="1" customHeight="1">
      <c r="A11498" s="198"/>
    </row>
    <row r="11499" spans="1:1" s="199" customFormat="1" ht="12" hidden="1" customHeight="1">
      <c r="A11499" s="198"/>
    </row>
    <row r="11500" spans="1:1" s="199" customFormat="1" ht="12" hidden="1" customHeight="1">
      <c r="A11500" s="198"/>
    </row>
    <row r="11501" spans="1:1" s="199" customFormat="1" ht="12" hidden="1" customHeight="1">
      <c r="A11501" s="198"/>
    </row>
    <row r="11502" spans="1:1" s="199" customFormat="1" ht="12" hidden="1" customHeight="1">
      <c r="A11502" s="198"/>
    </row>
    <row r="11503" spans="1:1" s="199" customFormat="1" ht="12" hidden="1" customHeight="1">
      <c r="A11503" s="198"/>
    </row>
    <row r="11504" spans="1:1" s="199" customFormat="1" ht="12" hidden="1" customHeight="1">
      <c r="A11504" s="198"/>
    </row>
    <row r="11505" spans="1:1" s="199" customFormat="1" ht="12" hidden="1" customHeight="1">
      <c r="A11505" s="198"/>
    </row>
    <row r="11506" spans="1:1" s="199" customFormat="1" ht="12" hidden="1" customHeight="1">
      <c r="A11506" s="198"/>
    </row>
    <row r="11507" spans="1:1" s="199" customFormat="1" ht="12" hidden="1" customHeight="1">
      <c r="A11507" s="198"/>
    </row>
    <row r="11508" spans="1:1" s="199" customFormat="1" ht="12" hidden="1" customHeight="1">
      <c r="A11508" s="198"/>
    </row>
    <row r="11509" spans="1:1" s="199" customFormat="1" ht="12" hidden="1" customHeight="1">
      <c r="A11509" s="198"/>
    </row>
    <row r="11510" spans="1:1" s="199" customFormat="1" ht="12" hidden="1" customHeight="1">
      <c r="A11510" s="198"/>
    </row>
    <row r="11511" spans="1:1" s="199" customFormat="1" ht="12" hidden="1" customHeight="1">
      <c r="A11511" s="198"/>
    </row>
    <row r="11512" spans="1:1" s="199" customFormat="1" ht="12" hidden="1" customHeight="1">
      <c r="A11512" s="198"/>
    </row>
    <row r="11513" spans="1:1" s="199" customFormat="1" ht="12" hidden="1" customHeight="1">
      <c r="A11513" s="198"/>
    </row>
    <row r="11514" spans="1:1" s="199" customFormat="1" ht="12" hidden="1" customHeight="1">
      <c r="A11514" s="198"/>
    </row>
    <row r="11515" spans="1:1" s="199" customFormat="1" ht="12" hidden="1" customHeight="1">
      <c r="A11515" s="198"/>
    </row>
    <row r="11516" spans="1:1" s="199" customFormat="1" ht="12" hidden="1" customHeight="1">
      <c r="A11516" s="198"/>
    </row>
    <row r="11517" spans="1:1" s="199" customFormat="1" ht="12" hidden="1" customHeight="1">
      <c r="A11517" s="198"/>
    </row>
    <row r="11518" spans="1:1" s="199" customFormat="1" ht="12" hidden="1" customHeight="1">
      <c r="A11518" s="198"/>
    </row>
    <row r="11519" spans="1:1" s="199" customFormat="1" ht="12" hidden="1" customHeight="1">
      <c r="A11519" s="198"/>
    </row>
    <row r="11520" spans="1:1" s="199" customFormat="1" ht="12" hidden="1" customHeight="1">
      <c r="A11520" s="198"/>
    </row>
    <row r="11521" spans="1:1" s="199" customFormat="1" ht="12" hidden="1" customHeight="1">
      <c r="A11521" s="198"/>
    </row>
    <row r="11522" spans="1:1" s="199" customFormat="1" ht="12" hidden="1" customHeight="1">
      <c r="A11522" s="198"/>
    </row>
    <row r="11523" spans="1:1" s="199" customFormat="1" ht="12" hidden="1" customHeight="1">
      <c r="A11523" s="198"/>
    </row>
    <row r="11524" spans="1:1" s="199" customFormat="1" ht="12" hidden="1" customHeight="1">
      <c r="A11524" s="198"/>
    </row>
    <row r="11525" spans="1:1" s="199" customFormat="1" ht="12" hidden="1" customHeight="1">
      <c r="A11525" s="198"/>
    </row>
    <row r="11526" spans="1:1" s="199" customFormat="1" ht="12" hidden="1" customHeight="1">
      <c r="A11526" s="198"/>
    </row>
    <row r="11527" spans="1:1" s="199" customFormat="1" ht="12" hidden="1" customHeight="1">
      <c r="A11527" s="198"/>
    </row>
    <row r="11528" spans="1:1" s="199" customFormat="1" ht="12" hidden="1" customHeight="1">
      <c r="A11528" s="198"/>
    </row>
    <row r="11529" spans="1:1" s="199" customFormat="1" ht="12" hidden="1" customHeight="1">
      <c r="A11529" s="198"/>
    </row>
    <row r="11530" spans="1:1" s="199" customFormat="1" ht="12" hidden="1" customHeight="1">
      <c r="A11530" s="198"/>
    </row>
    <row r="11531" spans="1:1" s="199" customFormat="1" ht="12" hidden="1" customHeight="1">
      <c r="A11531" s="198"/>
    </row>
    <row r="11532" spans="1:1" s="199" customFormat="1" ht="12" hidden="1" customHeight="1">
      <c r="A11532" s="198"/>
    </row>
    <row r="11533" spans="1:1" s="199" customFormat="1" ht="12" hidden="1" customHeight="1">
      <c r="A11533" s="198"/>
    </row>
    <row r="11534" spans="1:1" s="199" customFormat="1" ht="12" hidden="1" customHeight="1">
      <c r="A11534" s="198"/>
    </row>
    <row r="11535" spans="1:1" s="199" customFormat="1" ht="12" hidden="1" customHeight="1">
      <c r="A11535" s="198"/>
    </row>
    <row r="11536" spans="1:1" s="199" customFormat="1" ht="12" hidden="1" customHeight="1">
      <c r="A11536" s="198"/>
    </row>
    <row r="11537" spans="1:1" s="199" customFormat="1" ht="12" hidden="1" customHeight="1">
      <c r="A11537" s="198"/>
    </row>
    <row r="11538" spans="1:1" s="199" customFormat="1" ht="12" hidden="1" customHeight="1">
      <c r="A11538" s="198"/>
    </row>
    <row r="11539" spans="1:1" s="199" customFormat="1" ht="12" hidden="1" customHeight="1">
      <c r="A11539" s="198"/>
    </row>
    <row r="11540" spans="1:1" s="199" customFormat="1" ht="12" hidden="1" customHeight="1">
      <c r="A11540" s="198"/>
    </row>
    <row r="11541" spans="1:1" s="199" customFormat="1" ht="12" hidden="1" customHeight="1">
      <c r="A11541" s="198"/>
    </row>
    <row r="11542" spans="1:1" s="199" customFormat="1" ht="12" hidden="1" customHeight="1">
      <c r="A11542" s="198"/>
    </row>
    <row r="11543" spans="1:1" s="199" customFormat="1" ht="12" hidden="1" customHeight="1">
      <c r="A11543" s="198"/>
    </row>
    <row r="11544" spans="1:1" s="199" customFormat="1" ht="12" hidden="1" customHeight="1">
      <c r="A11544" s="198"/>
    </row>
    <row r="11545" spans="1:1" s="199" customFormat="1" ht="12" hidden="1" customHeight="1">
      <c r="A11545" s="198"/>
    </row>
    <row r="11546" spans="1:1" s="199" customFormat="1" ht="12" hidden="1" customHeight="1">
      <c r="A11546" s="198"/>
    </row>
    <row r="11547" spans="1:1" s="199" customFormat="1" ht="12" hidden="1" customHeight="1">
      <c r="A11547" s="198"/>
    </row>
    <row r="11548" spans="1:1" s="199" customFormat="1" ht="12" hidden="1" customHeight="1">
      <c r="A11548" s="198"/>
    </row>
    <row r="11549" spans="1:1" s="199" customFormat="1" ht="12" hidden="1" customHeight="1">
      <c r="A11549" s="198"/>
    </row>
    <row r="11550" spans="1:1" s="199" customFormat="1" ht="12" hidden="1" customHeight="1">
      <c r="A11550" s="198"/>
    </row>
    <row r="11551" spans="1:1" s="199" customFormat="1" ht="12" hidden="1" customHeight="1">
      <c r="A11551" s="198"/>
    </row>
    <row r="11552" spans="1:1" s="199" customFormat="1" ht="12" hidden="1" customHeight="1">
      <c r="A11552" s="198"/>
    </row>
    <row r="11553" spans="1:1" s="199" customFormat="1" ht="12" hidden="1" customHeight="1">
      <c r="A11553" s="198"/>
    </row>
    <row r="11554" spans="1:1" s="199" customFormat="1" ht="12" hidden="1" customHeight="1">
      <c r="A11554" s="198"/>
    </row>
    <row r="11555" spans="1:1" s="199" customFormat="1" ht="12" hidden="1" customHeight="1">
      <c r="A11555" s="198"/>
    </row>
    <row r="11556" spans="1:1" s="199" customFormat="1" ht="12" hidden="1" customHeight="1">
      <c r="A11556" s="198"/>
    </row>
    <row r="11557" spans="1:1" s="199" customFormat="1" ht="12" hidden="1" customHeight="1">
      <c r="A11557" s="198"/>
    </row>
    <row r="11558" spans="1:1" s="199" customFormat="1" ht="12" hidden="1" customHeight="1">
      <c r="A11558" s="198"/>
    </row>
    <row r="11559" spans="1:1" s="199" customFormat="1" ht="12" hidden="1" customHeight="1">
      <c r="A11559" s="198"/>
    </row>
    <row r="11560" spans="1:1" s="199" customFormat="1" ht="12" hidden="1" customHeight="1">
      <c r="A11560" s="198"/>
    </row>
    <row r="11561" spans="1:1" s="199" customFormat="1" ht="12" hidden="1" customHeight="1">
      <c r="A11561" s="198"/>
    </row>
    <row r="11562" spans="1:1" s="199" customFormat="1" ht="12" hidden="1" customHeight="1">
      <c r="A11562" s="198"/>
    </row>
    <row r="11563" spans="1:1" s="199" customFormat="1" ht="12" hidden="1" customHeight="1">
      <c r="A11563" s="198"/>
    </row>
    <row r="11564" spans="1:1" s="199" customFormat="1" ht="12" hidden="1" customHeight="1">
      <c r="A11564" s="198"/>
    </row>
    <row r="11565" spans="1:1" s="199" customFormat="1" ht="12" hidden="1" customHeight="1">
      <c r="A11565" s="198"/>
    </row>
    <row r="11566" spans="1:1" s="199" customFormat="1" ht="12" hidden="1" customHeight="1">
      <c r="A11566" s="198"/>
    </row>
    <row r="11567" spans="1:1" s="199" customFormat="1" ht="12" hidden="1" customHeight="1">
      <c r="A11567" s="198"/>
    </row>
    <row r="11568" spans="1:1" s="199" customFormat="1" ht="12" hidden="1" customHeight="1">
      <c r="A11568" s="198"/>
    </row>
    <row r="11569" spans="1:1" s="199" customFormat="1" ht="12" hidden="1" customHeight="1">
      <c r="A11569" s="198"/>
    </row>
    <row r="11570" spans="1:1" s="199" customFormat="1" ht="12" hidden="1" customHeight="1">
      <c r="A11570" s="198"/>
    </row>
    <row r="11571" spans="1:1" s="199" customFormat="1" ht="12" hidden="1" customHeight="1">
      <c r="A11571" s="198"/>
    </row>
    <row r="11572" spans="1:1" s="199" customFormat="1" ht="12" hidden="1" customHeight="1">
      <c r="A11572" s="198"/>
    </row>
    <row r="11573" spans="1:1" s="199" customFormat="1" ht="12" hidden="1" customHeight="1">
      <c r="A11573" s="198"/>
    </row>
    <row r="11574" spans="1:1" s="199" customFormat="1" ht="12" hidden="1" customHeight="1">
      <c r="A11574" s="198"/>
    </row>
    <row r="11575" spans="1:1" s="199" customFormat="1" ht="12" hidden="1" customHeight="1">
      <c r="A11575" s="198"/>
    </row>
    <row r="11576" spans="1:1" s="199" customFormat="1" ht="12" hidden="1" customHeight="1">
      <c r="A11576" s="198"/>
    </row>
    <row r="11577" spans="1:1" s="199" customFormat="1" ht="12" hidden="1" customHeight="1">
      <c r="A11577" s="198"/>
    </row>
    <row r="11578" spans="1:1" s="199" customFormat="1" ht="12" hidden="1" customHeight="1">
      <c r="A11578" s="198"/>
    </row>
    <row r="11579" spans="1:1" s="199" customFormat="1" ht="12" hidden="1" customHeight="1">
      <c r="A11579" s="198"/>
    </row>
    <row r="11580" spans="1:1" s="199" customFormat="1" ht="12" hidden="1" customHeight="1">
      <c r="A11580" s="198"/>
    </row>
    <row r="11581" spans="1:1" s="199" customFormat="1" ht="12" hidden="1" customHeight="1">
      <c r="A11581" s="198"/>
    </row>
    <row r="11582" spans="1:1" s="199" customFormat="1" ht="12" hidden="1" customHeight="1">
      <c r="A11582" s="198"/>
    </row>
    <row r="11583" spans="1:1" s="199" customFormat="1" ht="12" hidden="1" customHeight="1">
      <c r="A11583" s="198"/>
    </row>
    <row r="11584" spans="1:1" s="199" customFormat="1" ht="12" hidden="1" customHeight="1">
      <c r="A11584" s="198"/>
    </row>
    <row r="11585" spans="1:1" s="199" customFormat="1" ht="12" hidden="1" customHeight="1">
      <c r="A11585" s="198"/>
    </row>
    <row r="11586" spans="1:1" s="199" customFormat="1" ht="12" hidden="1" customHeight="1">
      <c r="A11586" s="198"/>
    </row>
    <row r="11587" spans="1:1" s="199" customFormat="1" ht="12" hidden="1" customHeight="1">
      <c r="A11587" s="198"/>
    </row>
    <row r="11588" spans="1:1" s="199" customFormat="1" ht="12" hidden="1" customHeight="1">
      <c r="A11588" s="198"/>
    </row>
    <row r="11589" spans="1:1" s="199" customFormat="1" ht="12" hidden="1" customHeight="1">
      <c r="A11589" s="198"/>
    </row>
    <row r="11590" spans="1:1" s="199" customFormat="1" ht="12" hidden="1" customHeight="1">
      <c r="A11590" s="198"/>
    </row>
    <row r="11591" spans="1:1" s="199" customFormat="1" ht="12" hidden="1" customHeight="1">
      <c r="A11591" s="198"/>
    </row>
    <row r="11592" spans="1:1" s="199" customFormat="1" ht="12" hidden="1" customHeight="1">
      <c r="A11592" s="198"/>
    </row>
    <row r="11593" spans="1:1" s="199" customFormat="1" ht="12" hidden="1" customHeight="1">
      <c r="A11593" s="198"/>
    </row>
    <row r="11594" spans="1:1" s="199" customFormat="1" ht="12" hidden="1" customHeight="1">
      <c r="A11594" s="198"/>
    </row>
    <row r="11595" spans="1:1" s="199" customFormat="1" ht="12" hidden="1" customHeight="1">
      <c r="A11595" s="198"/>
    </row>
    <row r="11596" spans="1:1" s="199" customFormat="1" ht="12" hidden="1" customHeight="1">
      <c r="A11596" s="198"/>
    </row>
    <row r="11597" spans="1:1" s="199" customFormat="1" ht="12" hidden="1" customHeight="1">
      <c r="A11597" s="198"/>
    </row>
    <row r="11598" spans="1:1" s="199" customFormat="1" ht="12" hidden="1" customHeight="1">
      <c r="A11598" s="198"/>
    </row>
    <row r="11599" spans="1:1" s="199" customFormat="1" ht="12" hidden="1" customHeight="1">
      <c r="A11599" s="198"/>
    </row>
    <row r="11600" spans="1:1" s="199" customFormat="1" ht="12" hidden="1" customHeight="1">
      <c r="A11600" s="198"/>
    </row>
    <row r="11601" spans="1:1" s="199" customFormat="1" ht="12" hidden="1" customHeight="1">
      <c r="A11601" s="198"/>
    </row>
    <row r="11602" spans="1:1" s="199" customFormat="1" ht="12" hidden="1" customHeight="1">
      <c r="A11602" s="198"/>
    </row>
    <row r="11603" spans="1:1" s="199" customFormat="1" ht="12" hidden="1" customHeight="1">
      <c r="A11603" s="198"/>
    </row>
    <row r="11604" spans="1:1" s="199" customFormat="1" ht="12" hidden="1" customHeight="1">
      <c r="A11604" s="198"/>
    </row>
    <row r="11605" spans="1:1" s="199" customFormat="1" ht="12" hidden="1" customHeight="1">
      <c r="A11605" s="198"/>
    </row>
    <row r="11606" spans="1:1" s="199" customFormat="1" ht="12" hidden="1" customHeight="1">
      <c r="A11606" s="198"/>
    </row>
    <row r="11607" spans="1:1" s="199" customFormat="1" ht="12" hidden="1" customHeight="1">
      <c r="A11607" s="198"/>
    </row>
    <row r="11608" spans="1:1" s="199" customFormat="1" ht="12" hidden="1" customHeight="1">
      <c r="A11608" s="198"/>
    </row>
    <row r="11609" spans="1:1" s="199" customFormat="1" ht="12" hidden="1" customHeight="1">
      <c r="A11609" s="198"/>
    </row>
    <row r="11610" spans="1:1" s="199" customFormat="1" ht="12" hidden="1" customHeight="1">
      <c r="A11610" s="198"/>
    </row>
    <row r="11611" spans="1:1" s="199" customFormat="1" ht="12" hidden="1" customHeight="1">
      <c r="A11611" s="198"/>
    </row>
    <row r="11612" spans="1:1" s="199" customFormat="1" ht="12" hidden="1" customHeight="1">
      <c r="A11612" s="198"/>
    </row>
    <row r="11613" spans="1:1" s="199" customFormat="1" ht="12" hidden="1" customHeight="1">
      <c r="A11613" s="198"/>
    </row>
    <row r="11614" spans="1:1" s="199" customFormat="1" ht="12" hidden="1" customHeight="1">
      <c r="A11614" s="198"/>
    </row>
    <row r="11615" spans="1:1" s="199" customFormat="1" ht="12" hidden="1" customHeight="1">
      <c r="A11615" s="198"/>
    </row>
    <row r="11616" spans="1:1" s="199" customFormat="1" ht="12" hidden="1" customHeight="1">
      <c r="A11616" s="198"/>
    </row>
    <row r="11617" spans="1:1" s="199" customFormat="1" ht="12" hidden="1" customHeight="1">
      <c r="A11617" s="198"/>
    </row>
    <row r="11618" spans="1:1" s="199" customFormat="1" ht="12" hidden="1" customHeight="1">
      <c r="A11618" s="198"/>
    </row>
    <row r="11619" spans="1:1" s="199" customFormat="1" ht="12" hidden="1" customHeight="1">
      <c r="A11619" s="198"/>
    </row>
    <row r="11620" spans="1:1" s="199" customFormat="1" ht="12" hidden="1" customHeight="1">
      <c r="A11620" s="198"/>
    </row>
    <row r="11621" spans="1:1" s="199" customFormat="1" ht="12" hidden="1" customHeight="1">
      <c r="A11621" s="198"/>
    </row>
    <row r="11622" spans="1:1" s="199" customFormat="1" ht="12" hidden="1" customHeight="1">
      <c r="A11622" s="198"/>
    </row>
    <row r="11623" spans="1:1" s="199" customFormat="1" ht="12" hidden="1" customHeight="1">
      <c r="A11623" s="198"/>
    </row>
    <row r="11624" spans="1:1" s="199" customFormat="1" ht="12" hidden="1" customHeight="1">
      <c r="A11624" s="198"/>
    </row>
    <row r="11625" spans="1:1" s="199" customFormat="1" ht="12" hidden="1" customHeight="1">
      <c r="A11625" s="198"/>
    </row>
    <row r="11626" spans="1:1" s="199" customFormat="1" ht="12" hidden="1" customHeight="1">
      <c r="A11626" s="198"/>
    </row>
    <row r="11627" spans="1:1" s="199" customFormat="1" ht="12" hidden="1" customHeight="1">
      <c r="A11627" s="198"/>
    </row>
    <row r="11628" spans="1:1" s="199" customFormat="1" ht="12" hidden="1" customHeight="1">
      <c r="A11628" s="198"/>
    </row>
    <row r="11629" spans="1:1" s="199" customFormat="1" ht="12" hidden="1" customHeight="1">
      <c r="A11629" s="198"/>
    </row>
    <row r="11630" spans="1:1" s="199" customFormat="1" ht="12" hidden="1" customHeight="1">
      <c r="A11630" s="198"/>
    </row>
    <row r="11631" spans="1:1" s="199" customFormat="1" ht="12" hidden="1" customHeight="1">
      <c r="A11631" s="198"/>
    </row>
    <row r="11632" spans="1:1" s="199" customFormat="1" ht="12" hidden="1" customHeight="1">
      <c r="A11632" s="198"/>
    </row>
    <row r="11633" spans="1:1" s="199" customFormat="1" ht="12" hidden="1" customHeight="1">
      <c r="A11633" s="198"/>
    </row>
    <row r="11634" spans="1:1" s="199" customFormat="1" ht="12" hidden="1" customHeight="1">
      <c r="A11634" s="198"/>
    </row>
    <row r="11635" spans="1:1" s="199" customFormat="1" ht="12" hidden="1" customHeight="1">
      <c r="A11635" s="198"/>
    </row>
    <row r="11636" spans="1:1" s="199" customFormat="1" ht="12" hidden="1" customHeight="1">
      <c r="A11636" s="198"/>
    </row>
    <row r="11637" spans="1:1" s="199" customFormat="1" ht="12" hidden="1" customHeight="1">
      <c r="A11637" s="198"/>
    </row>
    <row r="11638" spans="1:1" s="199" customFormat="1" ht="12" hidden="1" customHeight="1">
      <c r="A11638" s="198"/>
    </row>
    <row r="11639" spans="1:1" s="199" customFormat="1" ht="12" hidden="1" customHeight="1">
      <c r="A11639" s="198"/>
    </row>
    <row r="11640" spans="1:1" s="199" customFormat="1" ht="12" hidden="1" customHeight="1">
      <c r="A11640" s="198"/>
    </row>
    <row r="11641" spans="1:1" s="199" customFormat="1" ht="12" hidden="1" customHeight="1">
      <c r="A11641" s="198"/>
    </row>
    <row r="11642" spans="1:1" s="199" customFormat="1" ht="12" hidden="1" customHeight="1">
      <c r="A11642" s="198"/>
    </row>
    <row r="11643" spans="1:1" s="199" customFormat="1" ht="12" hidden="1" customHeight="1">
      <c r="A11643" s="198"/>
    </row>
    <row r="11644" spans="1:1" s="199" customFormat="1" ht="12" hidden="1" customHeight="1">
      <c r="A11644" s="198"/>
    </row>
    <row r="11645" spans="1:1" s="199" customFormat="1" ht="12" hidden="1" customHeight="1">
      <c r="A11645" s="198"/>
    </row>
    <row r="11646" spans="1:1" s="199" customFormat="1" ht="12" hidden="1" customHeight="1">
      <c r="A11646" s="198"/>
    </row>
    <row r="11647" spans="1:1" s="199" customFormat="1" ht="12" hidden="1" customHeight="1">
      <c r="A11647" s="198"/>
    </row>
    <row r="11648" spans="1:1" s="199" customFormat="1" ht="12" hidden="1" customHeight="1">
      <c r="A11648" s="198"/>
    </row>
    <row r="11649" spans="1:1" s="199" customFormat="1" ht="12" hidden="1" customHeight="1">
      <c r="A11649" s="198"/>
    </row>
    <row r="11650" spans="1:1" s="199" customFormat="1" ht="12" hidden="1" customHeight="1">
      <c r="A11650" s="198"/>
    </row>
    <row r="11651" spans="1:1" s="199" customFormat="1" ht="12" hidden="1" customHeight="1">
      <c r="A11651" s="198"/>
    </row>
    <row r="11652" spans="1:1" s="199" customFormat="1" ht="12" hidden="1" customHeight="1">
      <c r="A11652" s="198"/>
    </row>
    <row r="11653" spans="1:1" s="199" customFormat="1" ht="12" hidden="1" customHeight="1">
      <c r="A11653" s="198"/>
    </row>
    <row r="11654" spans="1:1" s="199" customFormat="1" ht="12" hidden="1" customHeight="1">
      <c r="A11654" s="198"/>
    </row>
    <row r="11655" spans="1:1" s="199" customFormat="1" ht="12" hidden="1" customHeight="1">
      <c r="A11655" s="198"/>
    </row>
    <row r="11656" spans="1:1" s="199" customFormat="1" ht="12" hidden="1" customHeight="1">
      <c r="A11656" s="198"/>
    </row>
    <row r="11657" spans="1:1" s="199" customFormat="1" ht="12" hidden="1" customHeight="1">
      <c r="A11657" s="198"/>
    </row>
    <row r="11658" spans="1:1" s="199" customFormat="1" ht="12" hidden="1" customHeight="1">
      <c r="A11658" s="198"/>
    </row>
    <row r="11659" spans="1:1" s="199" customFormat="1" ht="12" hidden="1" customHeight="1">
      <c r="A11659" s="198"/>
    </row>
    <row r="11660" spans="1:1" s="199" customFormat="1" ht="12" hidden="1" customHeight="1">
      <c r="A11660" s="198"/>
    </row>
    <row r="11661" spans="1:1" s="199" customFormat="1" ht="12" hidden="1" customHeight="1">
      <c r="A11661" s="198"/>
    </row>
    <row r="11662" spans="1:1" s="199" customFormat="1" ht="12" hidden="1" customHeight="1">
      <c r="A11662" s="198"/>
    </row>
    <row r="11663" spans="1:1" s="199" customFormat="1" ht="12" hidden="1" customHeight="1">
      <c r="A11663" s="198"/>
    </row>
    <row r="11664" spans="1:1" s="199" customFormat="1" ht="12" hidden="1" customHeight="1">
      <c r="A11664" s="198"/>
    </row>
    <row r="11665" spans="1:1" s="199" customFormat="1" ht="12" hidden="1" customHeight="1">
      <c r="A11665" s="198"/>
    </row>
    <row r="11666" spans="1:1" s="199" customFormat="1" ht="12" hidden="1" customHeight="1">
      <c r="A11666" s="198"/>
    </row>
    <row r="11667" spans="1:1" s="199" customFormat="1" ht="12" hidden="1" customHeight="1">
      <c r="A11667" s="198"/>
    </row>
    <row r="11668" spans="1:1" s="199" customFormat="1" ht="12" hidden="1" customHeight="1">
      <c r="A11668" s="198"/>
    </row>
    <row r="11669" spans="1:1" s="199" customFormat="1" ht="12" hidden="1" customHeight="1">
      <c r="A11669" s="198"/>
    </row>
    <row r="11670" spans="1:1" s="199" customFormat="1" ht="12" hidden="1" customHeight="1">
      <c r="A11670" s="198"/>
    </row>
    <row r="11671" spans="1:1" s="199" customFormat="1" ht="12" hidden="1" customHeight="1">
      <c r="A11671" s="198"/>
    </row>
    <row r="11672" spans="1:1" s="199" customFormat="1" ht="12" hidden="1" customHeight="1">
      <c r="A11672" s="198"/>
    </row>
    <row r="11673" spans="1:1" s="199" customFormat="1" ht="12" hidden="1" customHeight="1">
      <c r="A11673" s="198"/>
    </row>
    <row r="11674" spans="1:1" s="199" customFormat="1" ht="12" hidden="1" customHeight="1">
      <c r="A11674" s="198"/>
    </row>
    <row r="11675" spans="1:1" s="199" customFormat="1" ht="12" hidden="1" customHeight="1">
      <c r="A11675" s="198"/>
    </row>
    <row r="11676" spans="1:1" s="199" customFormat="1" ht="12" hidden="1" customHeight="1">
      <c r="A11676" s="198"/>
    </row>
    <row r="11677" spans="1:1" s="199" customFormat="1" ht="12" hidden="1" customHeight="1">
      <c r="A11677" s="198"/>
    </row>
    <row r="11678" spans="1:1" s="199" customFormat="1" ht="12" hidden="1" customHeight="1">
      <c r="A11678" s="198"/>
    </row>
    <row r="11679" spans="1:1" s="199" customFormat="1" ht="12" hidden="1" customHeight="1">
      <c r="A11679" s="198"/>
    </row>
    <row r="11680" spans="1:1" s="199" customFormat="1" ht="12" hidden="1" customHeight="1">
      <c r="A11680" s="198"/>
    </row>
    <row r="11681" spans="1:1" s="199" customFormat="1" ht="12" hidden="1" customHeight="1">
      <c r="A11681" s="198"/>
    </row>
    <row r="11682" spans="1:1" s="199" customFormat="1" ht="12" hidden="1" customHeight="1">
      <c r="A11682" s="198"/>
    </row>
    <row r="11683" spans="1:1" s="199" customFormat="1" ht="12" hidden="1" customHeight="1">
      <c r="A11683" s="198"/>
    </row>
    <row r="11684" spans="1:1" s="199" customFormat="1" ht="12" hidden="1" customHeight="1">
      <c r="A11684" s="198"/>
    </row>
    <row r="11685" spans="1:1" s="199" customFormat="1" ht="12" hidden="1" customHeight="1">
      <c r="A11685" s="198"/>
    </row>
    <row r="11686" spans="1:1" s="199" customFormat="1" ht="12" hidden="1" customHeight="1">
      <c r="A11686" s="198"/>
    </row>
    <row r="11687" spans="1:1" s="199" customFormat="1" ht="12" hidden="1" customHeight="1">
      <c r="A11687" s="198"/>
    </row>
    <row r="11688" spans="1:1" s="199" customFormat="1" ht="12" hidden="1" customHeight="1">
      <c r="A11688" s="198"/>
    </row>
    <row r="11689" spans="1:1" s="199" customFormat="1" ht="12" hidden="1" customHeight="1">
      <c r="A11689" s="198"/>
    </row>
    <row r="11690" spans="1:1" s="199" customFormat="1" ht="12" hidden="1" customHeight="1">
      <c r="A11690" s="198"/>
    </row>
    <row r="11691" spans="1:1" s="199" customFormat="1" ht="12" hidden="1" customHeight="1">
      <c r="A11691" s="198"/>
    </row>
    <row r="11692" spans="1:1" s="199" customFormat="1" ht="12" hidden="1" customHeight="1">
      <c r="A11692" s="198"/>
    </row>
    <row r="11693" spans="1:1" s="199" customFormat="1" ht="12" hidden="1" customHeight="1">
      <c r="A11693" s="198"/>
    </row>
    <row r="11694" spans="1:1" s="199" customFormat="1" ht="12" hidden="1" customHeight="1">
      <c r="A11694" s="198"/>
    </row>
    <row r="11695" spans="1:1" s="199" customFormat="1" ht="12" hidden="1" customHeight="1">
      <c r="A11695" s="198"/>
    </row>
    <row r="11696" spans="1:1" s="199" customFormat="1" ht="12" hidden="1" customHeight="1">
      <c r="A11696" s="198"/>
    </row>
    <row r="11697" spans="1:1" s="199" customFormat="1" ht="12" hidden="1" customHeight="1">
      <c r="A11697" s="198"/>
    </row>
    <row r="11698" spans="1:1" s="199" customFormat="1" ht="12" hidden="1" customHeight="1">
      <c r="A11698" s="198"/>
    </row>
    <row r="11699" spans="1:1" s="199" customFormat="1" ht="12" hidden="1" customHeight="1">
      <c r="A11699" s="198"/>
    </row>
    <row r="11700" spans="1:1" s="199" customFormat="1" ht="12" hidden="1" customHeight="1">
      <c r="A11700" s="198"/>
    </row>
    <row r="11701" spans="1:1" s="199" customFormat="1" ht="12" hidden="1" customHeight="1">
      <c r="A11701" s="198"/>
    </row>
    <row r="11702" spans="1:1" s="199" customFormat="1" ht="12" hidden="1" customHeight="1">
      <c r="A11702" s="198"/>
    </row>
    <row r="11703" spans="1:1" s="199" customFormat="1" ht="12" hidden="1" customHeight="1">
      <c r="A11703" s="198"/>
    </row>
    <row r="11704" spans="1:1" s="199" customFormat="1" ht="12" hidden="1" customHeight="1">
      <c r="A11704" s="198"/>
    </row>
    <row r="11705" spans="1:1" s="199" customFormat="1" ht="12" hidden="1" customHeight="1">
      <c r="A11705" s="198"/>
    </row>
    <row r="11706" spans="1:1" s="199" customFormat="1" ht="12" hidden="1" customHeight="1">
      <c r="A11706" s="198"/>
    </row>
    <row r="11707" spans="1:1" s="199" customFormat="1" ht="12" hidden="1" customHeight="1">
      <c r="A11707" s="198"/>
    </row>
    <row r="11708" spans="1:1" s="199" customFormat="1" ht="12" hidden="1" customHeight="1">
      <c r="A11708" s="198"/>
    </row>
    <row r="11709" spans="1:1" s="199" customFormat="1" ht="12" hidden="1" customHeight="1">
      <c r="A11709" s="198"/>
    </row>
    <row r="11710" spans="1:1" s="199" customFormat="1" ht="12" hidden="1" customHeight="1">
      <c r="A11710" s="198"/>
    </row>
    <row r="11711" spans="1:1" s="199" customFormat="1" ht="12" hidden="1" customHeight="1">
      <c r="A11711" s="198"/>
    </row>
    <row r="11712" spans="1:1" s="199" customFormat="1" ht="12" hidden="1" customHeight="1">
      <c r="A11712" s="198"/>
    </row>
    <row r="11713" spans="1:1" s="199" customFormat="1" ht="12" hidden="1" customHeight="1">
      <c r="A11713" s="198"/>
    </row>
    <row r="11714" spans="1:1" s="199" customFormat="1" ht="12" hidden="1" customHeight="1">
      <c r="A11714" s="198"/>
    </row>
    <row r="11715" spans="1:1" s="199" customFormat="1" ht="12" hidden="1" customHeight="1">
      <c r="A11715" s="198"/>
    </row>
    <row r="11716" spans="1:1" s="199" customFormat="1" ht="12" hidden="1" customHeight="1">
      <c r="A11716" s="198"/>
    </row>
    <row r="11717" spans="1:1" s="199" customFormat="1" ht="12" hidden="1" customHeight="1">
      <c r="A11717" s="198"/>
    </row>
    <row r="11718" spans="1:1" s="199" customFormat="1" ht="12" hidden="1" customHeight="1">
      <c r="A11718" s="198"/>
    </row>
    <row r="11719" spans="1:1" s="199" customFormat="1" ht="12" hidden="1" customHeight="1">
      <c r="A11719" s="198"/>
    </row>
    <row r="11720" spans="1:1" s="199" customFormat="1" ht="12" hidden="1" customHeight="1">
      <c r="A11720" s="198"/>
    </row>
    <row r="11721" spans="1:1" s="199" customFormat="1" ht="12" hidden="1" customHeight="1">
      <c r="A11721" s="198"/>
    </row>
    <row r="11722" spans="1:1" s="199" customFormat="1" ht="12" hidden="1" customHeight="1">
      <c r="A11722" s="198"/>
    </row>
    <row r="11723" spans="1:1" s="199" customFormat="1" ht="12" hidden="1" customHeight="1">
      <c r="A11723" s="198"/>
    </row>
    <row r="11724" spans="1:1" s="199" customFormat="1" ht="12" hidden="1" customHeight="1">
      <c r="A11724" s="198"/>
    </row>
    <row r="11725" spans="1:1" s="199" customFormat="1" ht="12" hidden="1" customHeight="1">
      <c r="A11725" s="198"/>
    </row>
    <row r="11726" spans="1:1" s="199" customFormat="1" ht="12" hidden="1" customHeight="1">
      <c r="A11726" s="198"/>
    </row>
    <row r="11727" spans="1:1" s="199" customFormat="1" ht="12" hidden="1" customHeight="1">
      <c r="A11727" s="198"/>
    </row>
    <row r="11728" spans="1:1" s="199" customFormat="1" ht="12" hidden="1" customHeight="1">
      <c r="A11728" s="198"/>
    </row>
    <row r="11729" spans="1:1" s="199" customFormat="1" ht="12" hidden="1" customHeight="1">
      <c r="A11729" s="198"/>
    </row>
    <row r="11730" spans="1:1" s="199" customFormat="1" ht="12" hidden="1" customHeight="1">
      <c r="A11730" s="198"/>
    </row>
    <row r="11731" spans="1:1" s="199" customFormat="1" ht="12" hidden="1" customHeight="1">
      <c r="A11731" s="198"/>
    </row>
    <row r="11732" spans="1:1" s="199" customFormat="1" ht="12" hidden="1" customHeight="1">
      <c r="A11732" s="198"/>
    </row>
    <row r="11733" spans="1:1" s="199" customFormat="1" ht="12" hidden="1" customHeight="1">
      <c r="A11733" s="198"/>
    </row>
    <row r="11734" spans="1:1" s="199" customFormat="1" ht="12" hidden="1" customHeight="1">
      <c r="A11734" s="198"/>
    </row>
    <row r="11735" spans="1:1" s="199" customFormat="1" ht="12" hidden="1" customHeight="1">
      <c r="A11735" s="198"/>
    </row>
    <row r="11736" spans="1:1" s="199" customFormat="1" ht="12" hidden="1" customHeight="1">
      <c r="A11736" s="198"/>
    </row>
    <row r="11737" spans="1:1" s="199" customFormat="1" ht="12" hidden="1" customHeight="1">
      <c r="A11737" s="198"/>
    </row>
    <row r="11738" spans="1:1" s="199" customFormat="1" ht="12" hidden="1" customHeight="1">
      <c r="A11738" s="198"/>
    </row>
    <row r="11739" spans="1:1" s="199" customFormat="1" ht="12" hidden="1" customHeight="1">
      <c r="A11739" s="198"/>
    </row>
    <row r="11740" spans="1:1" s="199" customFormat="1" ht="12" hidden="1" customHeight="1">
      <c r="A11740" s="198"/>
    </row>
    <row r="11741" spans="1:1" s="199" customFormat="1" ht="12" hidden="1" customHeight="1">
      <c r="A11741" s="198"/>
    </row>
    <row r="11742" spans="1:1" s="199" customFormat="1" ht="12" hidden="1" customHeight="1">
      <c r="A11742" s="198"/>
    </row>
    <row r="11743" spans="1:1" s="199" customFormat="1" ht="12" hidden="1" customHeight="1">
      <c r="A11743" s="198"/>
    </row>
    <row r="11744" spans="1:1" s="199" customFormat="1" ht="12" hidden="1" customHeight="1">
      <c r="A11744" s="198"/>
    </row>
    <row r="11745" spans="1:1" s="199" customFormat="1" ht="12" hidden="1" customHeight="1">
      <c r="A11745" s="198"/>
    </row>
    <row r="11746" spans="1:1" s="199" customFormat="1" ht="12" hidden="1" customHeight="1">
      <c r="A11746" s="198"/>
    </row>
    <row r="11747" spans="1:1" s="199" customFormat="1" ht="12" hidden="1" customHeight="1">
      <c r="A11747" s="198"/>
    </row>
    <row r="11748" spans="1:1" s="199" customFormat="1" ht="12" hidden="1" customHeight="1">
      <c r="A11748" s="198"/>
    </row>
    <row r="11749" spans="1:1" s="199" customFormat="1" ht="12" hidden="1" customHeight="1">
      <c r="A11749" s="198"/>
    </row>
    <row r="11750" spans="1:1" s="199" customFormat="1" ht="12" hidden="1" customHeight="1">
      <c r="A11750" s="198"/>
    </row>
    <row r="11751" spans="1:1" s="199" customFormat="1" ht="12" hidden="1" customHeight="1">
      <c r="A11751" s="198"/>
    </row>
    <row r="11752" spans="1:1" s="199" customFormat="1" ht="12" hidden="1" customHeight="1">
      <c r="A11752" s="198"/>
    </row>
    <row r="11753" spans="1:1" s="199" customFormat="1" ht="12" hidden="1" customHeight="1">
      <c r="A11753" s="198"/>
    </row>
    <row r="11754" spans="1:1" s="199" customFormat="1" ht="12" hidden="1" customHeight="1">
      <c r="A11754" s="198"/>
    </row>
    <row r="11755" spans="1:1" s="199" customFormat="1" ht="12" hidden="1" customHeight="1">
      <c r="A11755" s="198"/>
    </row>
    <row r="11756" spans="1:1" s="199" customFormat="1" ht="12" hidden="1" customHeight="1">
      <c r="A11756" s="198"/>
    </row>
    <row r="11757" spans="1:1" s="199" customFormat="1" ht="12" hidden="1" customHeight="1">
      <c r="A11757" s="198"/>
    </row>
    <row r="11758" spans="1:1" s="199" customFormat="1" ht="12" hidden="1" customHeight="1">
      <c r="A11758" s="198"/>
    </row>
    <row r="11759" spans="1:1" s="199" customFormat="1" ht="12" hidden="1" customHeight="1">
      <c r="A11759" s="198"/>
    </row>
    <row r="11760" spans="1:1" s="199" customFormat="1" ht="12" hidden="1" customHeight="1">
      <c r="A11760" s="198"/>
    </row>
    <row r="11761" spans="1:1" s="199" customFormat="1" ht="12" hidden="1" customHeight="1">
      <c r="A11761" s="198"/>
    </row>
    <row r="11762" spans="1:1" s="199" customFormat="1" ht="12" hidden="1" customHeight="1">
      <c r="A11762" s="198"/>
    </row>
    <row r="11763" spans="1:1" s="199" customFormat="1" ht="12" hidden="1" customHeight="1">
      <c r="A11763" s="198"/>
    </row>
    <row r="11764" spans="1:1" s="199" customFormat="1" ht="12" hidden="1" customHeight="1">
      <c r="A11764" s="198"/>
    </row>
    <row r="11765" spans="1:1" s="199" customFormat="1" ht="12" hidden="1" customHeight="1">
      <c r="A11765" s="198"/>
    </row>
    <row r="11766" spans="1:1" s="199" customFormat="1" ht="12" hidden="1" customHeight="1">
      <c r="A11766" s="198"/>
    </row>
    <row r="11767" spans="1:1" s="199" customFormat="1" ht="12" hidden="1" customHeight="1">
      <c r="A11767" s="198"/>
    </row>
    <row r="11768" spans="1:1" s="199" customFormat="1" ht="12" hidden="1" customHeight="1">
      <c r="A11768" s="198"/>
    </row>
    <row r="11769" spans="1:1" s="199" customFormat="1" ht="12" hidden="1" customHeight="1">
      <c r="A11769" s="198"/>
    </row>
    <row r="11770" spans="1:1" s="199" customFormat="1" ht="12" hidden="1" customHeight="1">
      <c r="A11770" s="198"/>
    </row>
    <row r="11771" spans="1:1" s="199" customFormat="1" ht="12" hidden="1" customHeight="1">
      <c r="A11771" s="198"/>
    </row>
    <row r="11772" spans="1:1" s="199" customFormat="1" ht="12" hidden="1" customHeight="1">
      <c r="A11772" s="198"/>
    </row>
    <row r="11773" spans="1:1" s="199" customFormat="1" ht="12" hidden="1" customHeight="1">
      <c r="A11773" s="198"/>
    </row>
    <row r="11774" spans="1:1" s="199" customFormat="1" ht="12" hidden="1" customHeight="1">
      <c r="A11774" s="198"/>
    </row>
    <row r="11775" spans="1:1" s="199" customFormat="1" ht="12" hidden="1" customHeight="1">
      <c r="A11775" s="198"/>
    </row>
    <row r="11776" spans="1:1" s="199" customFormat="1" ht="12" hidden="1" customHeight="1">
      <c r="A11776" s="198"/>
    </row>
    <row r="11777" spans="1:1" s="199" customFormat="1" ht="12" hidden="1" customHeight="1">
      <c r="A11777" s="198"/>
    </row>
    <row r="11778" spans="1:1" s="199" customFormat="1" ht="12" hidden="1" customHeight="1">
      <c r="A11778" s="198"/>
    </row>
    <row r="11779" spans="1:1" s="199" customFormat="1" ht="12" hidden="1" customHeight="1">
      <c r="A11779" s="198"/>
    </row>
    <row r="11780" spans="1:1" s="199" customFormat="1" ht="12" hidden="1" customHeight="1">
      <c r="A11780" s="198"/>
    </row>
    <row r="11781" spans="1:1" s="199" customFormat="1" ht="12" hidden="1" customHeight="1">
      <c r="A11781" s="198"/>
    </row>
    <row r="11782" spans="1:1" s="199" customFormat="1" ht="12" hidden="1" customHeight="1">
      <c r="A11782" s="198"/>
    </row>
    <row r="11783" spans="1:1" s="199" customFormat="1" ht="12" hidden="1" customHeight="1">
      <c r="A11783" s="198"/>
    </row>
    <row r="11784" spans="1:1" s="199" customFormat="1" ht="12" hidden="1" customHeight="1">
      <c r="A11784" s="198"/>
    </row>
    <row r="11785" spans="1:1" s="199" customFormat="1" ht="12" hidden="1" customHeight="1">
      <c r="A11785" s="198"/>
    </row>
    <row r="11786" spans="1:1" s="199" customFormat="1" ht="12" hidden="1" customHeight="1">
      <c r="A11786" s="198"/>
    </row>
    <row r="11787" spans="1:1" s="199" customFormat="1" ht="12" hidden="1" customHeight="1">
      <c r="A11787" s="198"/>
    </row>
    <row r="11788" spans="1:1" s="199" customFormat="1" ht="12" hidden="1" customHeight="1">
      <c r="A11788" s="198"/>
    </row>
    <row r="11789" spans="1:1" s="199" customFormat="1" ht="12" hidden="1" customHeight="1">
      <c r="A11789" s="198"/>
    </row>
    <row r="11790" spans="1:1" s="199" customFormat="1" ht="12" hidden="1" customHeight="1">
      <c r="A11790" s="198"/>
    </row>
    <row r="11791" spans="1:1" s="199" customFormat="1" ht="12" hidden="1" customHeight="1">
      <c r="A11791" s="198"/>
    </row>
    <row r="11792" spans="1:1" s="199" customFormat="1" ht="12" hidden="1" customHeight="1">
      <c r="A11792" s="198"/>
    </row>
    <row r="11793" spans="1:1" s="199" customFormat="1" ht="12" hidden="1" customHeight="1">
      <c r="A11793" s="198"/>
    </row>
    <row r="11794" spans="1:1" s="199" customFormat="1" ht="12" hidden="1" customHeight="1">
      <c r="A11794" s="198"/>
    </row>
    <row r="11795" spans="1:1" s="199" customFormat="1" ht="12" hidden="1" customHeight="1">
      <c r="A11795" s="198"/>
    </row>
    <row r="11796" spans="1:1" s="199" customFormat="1" ht="12" hidden="1" customHeight="1">
      <c r="A11796" s="198"/>
    </row>
    <row r="11797" spans="1:1" s="199" customFormat="1" ht="12" hidden="1" customHeight="1">
      <c r="A11797" s="198"/>
    </row>
    <row r="11798" spans="1:1" s="199" customFormat="1" ht="12" hidden="1" customHeight="1">
      <c r="A11798" s="198"/>
    </row>
    <row r="11799" spans="1:1" s="199" customFormat="1" ht="12" hidden="1" customHeight="1">
      <c r="A11799" s="198"/>
    </row>
    <row r="11800" spans="1:1" s="199" customFormat="1" ht="12" hidden="1" customHeight="1">
      <c r="A11800" s="198"/>
    </row>
    <row r="11801" spans="1:1" s="199" customFormat="1" ht="12" hidden="1" customHeight="1">
      <c r="A11801" s="198"/>
    </row>
    <row r="11802" spans="1:1" s="199" customFormat="1" ht="12" hidden="1" customHeight="1">
      <c r="A11802" s="198"/>
    </row>
    <row r="11803" spans="1:1" s="199" customFormat="1" ht="12" hidden="1" customHeight="1">
      <c r="A11803" s="198"/>
    </row>
    <row r="11804" spans="1:1" s="199" customFormat="1" ht="12" hidden="1" customHeight="1">
      <c r="A11804" s="198"/>
    </row>
    <row r="11805" spans="1:1" s="199" customFormat="1" ht="12" hidden="1" customHeight="1">
      <c r="A11805" s="198"/>
    </row>
    <row r="11806" spans="1:1" s="199" customFormat="1" ht="12" hidden="1" customHeight="1">
      <c r="A11806" s="198"/>
    </row>
    <row r="11807" spans="1:1" s="199" customFormat="1" ht="12" hidden="1" customHeight="1">
      <c r="A11807" s="198"/>
    </row>
    <row r="11808" spans="1:1" s="199" customFormat="1" ht="12" hidden="1" customHeight="1">
      <c r="A11808" s="198"/>
    </row>
    <row r="11809" spans="1:1" s="199" customFormat="1" ht="12" hidden="1" customHeight="1">
      <c r="A11809" s="198"/>
    </row>
    <row r="11810" spans="1:1" s="199" customFormat="1" ht="12" hidden="1" customHeight="1">
      <c r="A11810" s="198"/>
    </row>
    <row r="11811" spans="1:1" s="199" customFormat="1" ht="12" hidden="1" customHeight="1">
      <c r="A11811" s="198"/>
    </row>
    <row r="11812" spans="1:1" s="199" customFormat="1" ht="12" hidden="1" customHeight="1">
      <c r="A11812" s="198"/>
    </row>
    <row r="11813" spans="1:1" s="199" customFormat="1" ht="12" hidden="1" customHeight="1">
      <c r="A11813" s="198"/>
    </row>
    <row r="11814" spans="1:1" s="199" customFormat="1" ht="12" hidden="1" customHeight="1">
      <c r="A11814" s="198"/>
    </row>
    <row r="11815" spans="1:1" s="199" customFormat="1" ht="12" hidden="1" customHeight="1">
      <c r="A11815" s="198"/>
    </row>
    <row r="11816" spans="1:1" s="199" customFormat="1" ht="12" hidden="1" customHeight="1">
      <c r="A11816" s="198"/>
    </row>
    <row r="11817" spans="1:1" s="199" customFormat="1" ht="12" hidden="1" customHeight="1">
      <c r="A11817" s="198"/>
    </row>
    <row r="11818" spans="1:1" s="199" customFormat="1" ht="12" hidden="1" customHeight="1">
      <c r="A11818" s="198"/>
    </row>
    <row r="11819" spans="1:1" s="199" customFormat="1" ht="12" hidden="1" customHeight="1">
      <c r="A11819" s="198"/>
    </row>
    <row r="11820" spans="1:1" s="199" customFormat="1" ht="12" hidden="1" customHeight="1">
      <c r="A11820" s="198"/>
    </row>
    <row r="11821" spans="1:1" s="199" customFormat="1" ht="12" hidden="1" customHeight="1">
      <c r="A11821" s="198"/>
    </row>
    <row r="11822" spans="1:1" s="199" customFormat="1" ht="12" hidden="1" customHeight="1">
      <c r="A11822" s="198"/>
    </row>
    <row r="11823" spans="1:1" s="199" customFormat="1" ht="12" hidden="1" customHeight="1">
      <c r="A11823" s="198"/>
    </row>
    <row r="11824" spans="1:1" s="199" customFormat="1" ht="12" hidden="1" customHeight="1">
      <c r="A11824" s="198"/>
    </row>
    <row r="11825" spans="1:1" s="199" customFormat="1" ht="12" hidden="1" customHeight="1">
      <c r="A11825" s="198"/>
    </row>
    <row r="11826" spans="1:1" s="199" customFormat="1" ht="12" hidden="1" customHeight="1">
      <c r="A11826" s="198"/>
    </row>
    <row r="11827" spans="1:1" s="199" customFormat="1" ht="12" hidden="1" customHeight="1">
      <c r="A11827" s="198"/>
    </row>
    <row r="11828" spans="1:1" s="199" customFormat="1" ht="12" hidden="1" customHeight="1">
      <c r="A11828" s="198"/>
    </row>
    <row r="11829" spans="1:1" s="199" customFormat="1" ht="12" hidden="1" customHeight="1">
      <c r="A11829" s="198"/>
    </row>
    <row r="11830" spans="1:1" s="199" customFormat="1" ht="12" hidden="1" customHeight="1">
      <c r="A11830" s="198"/>
    </row>
    <row r="11831" spans="1:1" s="199" customFormat="1" ht="12" hidden="1" customHeight="1">
      <c r="A11831" s="198"/>
    </row>
    <row r="11832" spans="1:1" s="199" customFormat="1" ht="12" hidden="1" customHeight="1">
      <c r="A11832" s="198"/>
    </row>
    <row r="11833" spans="1:1" s="199" customFormat="1" ht="12" hidden="1" customHeight="1">
      <c r="A11833" s="198"/>
    </row>
    <row r="11834" spans="1:1" s="199" customFormat="1" ht="12" hidden="1" customHeight="1">
      <c r="A11834" s="198"/>
    </row>
    <row r="11835" spans="1:1" s="199" customFormat="1" ht="12" hidden="1" customHeight="1">
      <c r="A11835" s="198"/>
    </row>
    <row r="11836" spans="1:1" s="199" customFormat="1" ht="12" hidden="1" customHeight="1">
      <c r="A11836" s="198"/>
    </row>
    <row r="11837" spans="1:1" s="199" customFormat="1" ht="12" hidden="1" customHeight="1">
      <c r="A11837" s="198"/>
    </row>
    <row r="11838" spans="1:1" s="199" customFormat="1" ht="12" hidden="1" customHeight="1">
      <c r="A11838" s="198"/>
    </row>
    <row r="11839" spans="1:1" s="199" customFormat="1" ht="12" hidden="1" customHeight="1">
      <c r="A11839" s="198"/>
    </row>
    <row r="11840" spans="1:1" s="199" customFormat="1" ht="12" hidden="1" customHeight="1">
      <c r="A11840" s="198"/>
    </row>
    <row r="11841" spans="1:1" s="199" customFormat="1" ht="12" hidden="1" customHeight="1">
      <c r="A11841" s="198"/>
    </row>
    <row r="11842" spans="1:1" s="199" customFormat="1" ht="12" hidden="1" customHeight="1">
      <c r="A11842" s="198"/>
    </row>
    <row r="11843" spans="1:1" s="199" customFormat="1" ht="12" hidden="1" customHeight="1">
      <c r="A11843" s="198"/>
    </row>
    <row r="11844" spans="1:1" s="199" customFormat="1" ht="12" hidden="1" customHeight="1">
      <c r="A11844" s="198"/>
    </row>
    <row r="11845" spans="1:1" s="199" customFormat="1" ht="12" hidden="1" customHeight="1">
      <c r="A11845" s="198"/>
    </row>
    <row r="11846" spans="1:1" s="199" customFormat="1" ht="12" hidden="1" customHeight="1">
      <c r="A11846" s="198"/>
    </row>
    <row r="11847" spans="1:1" s="199" customFormat="1" ht="12" hidden="1" customHeight="1">
      <c r="A11847" s="198"/>
    </row>
    <row r="11848" spans="1:1" s="199" customFormat="1" ht="12" hidden="1" customHeight="1">
      <c r="A11848" s="198"/>
    </row>
    <row r="11849" spans="1:1" s="199" customFormat="1" ht="12" hidden="1" customHeight="1">
      <c r="A11849" s="198"/>
    </row>
    <row r="11850" spans="1:1" s="199" customFormat="1" ht="12" hidden="1" customHeight="1">
      <c r="A11850" s="198"/>
    </row>
    <row r="11851" spans="1:1" s="199" customFormat="1" ht="12" hidden="1" customHeight="1">
      <c r="A11851" s="198"/>
    </row>
    <row r="11852" spans="1:1" s="199" customFormat="1" ht="12" hidden="1" customHeight="1">
      <c r="A11852" s="198"/>
    </row>
    <row r="11853" spans="1:1" s="199" customFormat="1" ht="12" hidden="1" customHeight="1">
      <c r="A11853" s="198"/>
    </row>
    <row r="11854" spans="1:1" s="199" customFormat="1" ht="12" hidden="1" customHeight="1">
      <c r="A11854" s="198"/>
    </row>
    <row r="11855" spans="1:1" s="199" customFormat="1" ht="12" hidden="1" customHeight="1">
      <c r="A11855" s="198"/>
    </row>
    <row r="11856" spans="1:1" s="199" customFormat="1" ht="12" hidden="1" customHeight="1">
      <c r="A11856" s="198"/>
    </row>
    <row r="11857" spans="1:1" s="199" customFormat="1" ht="12" hidden="1" customHeight="1">
      <c r="A11857" s="198"/>
    </row>
    <row r="11858" spans="1:1" s="199" customFormat="1" ht="12" hidden="1" customHeight="1">
      <c r="A11858" s="198"/>
    </row>
    <row r="11859" spans="1:1" s="199" customFormat="1" ht="12" hidden="1" customHeight="1">
      <c r="A11859" s="198"/>
    </row>
    <row r="11860" spans="1:1" s="199" customFormat="1" ht="12" hidden="1" customHeight="1">
      <c r="A11860" s="198"/>
    </row>
    <row r="11861" spans="1:1" s="199" customFormat="1" ht="12" hidden="1" customHeight="1">
      <c r="A11861" s="198"/>
    </row>
    <row r="11862" spans="1:1" s="199" customFormat="1" ht="12" hidden="1" customHeight="1">
      <c r="A11862" s="198"/>
    </row>
    <row r="11863" spans="1:1" s="199" customFormat="1" ht="12" hidden="1" customHeight="1">
      <c r="A11863" s="198"/>
    </row>
    <row r="11864" spans="1:1" s="199" customFormat="1" ht="12" hidden="1" customHeight="1">
      <c r="A11864" s="198"/>
    </row>
    <row r="11865" spans="1:1" s="199" customFormat="1" ht="12" hidden="1" customHeight="1">
      <c r="A11865" s="198"/>
    </row>
    <row r="11866" spans="1:1" s="199" customFormat="1" ht="12" hidden="1" customHeight="1">
      <c r="A11866" s="198"/>
    </row>
    <row r="11867" spans="1:1" s="199" customFormat="1" ht="12" hidden="1" customHeight="1">
      <c r="A11867" s="198"/>
    </row>
    <row r="11868" spans="1:1" s="199" customFormat="1" ht="12" hidden="1" customHeight="1">
      <c r="A11868" s="198"/>
    </row>
    <row r="11869" spans="1:1" s="199" customFormat="1" ht="12" hidden="1" customHeight="1">
      <c r="A11869" s="198"/>
    </row>
    <row r="11870" spans="1:1" s="199" customFormat="1" ht="12" hidden="1" customHeight="1">
      <c r="A11870" s="198"/>
    </row>
    <row r="11871" spans="1:1" s="199" customFormat="1" ht="12" hidden="1" customHeight="1">
      <c r="A11871" s="198"/>
    </row>
    <row r="11872" spans="1:1" s="199" customFormat="1" ht="12" hidden="1" customHeight="1">
      <c r="A11872" s="198"/>
    </row>
    <row r="11873" spans="1:1" s="199" customFormat="1" ht="12" hidden="1" customHeight="1">
      <c r="A11873" s="198"/>
    </row>
    <row r="11874" spans="1:1" s="199" customFormat="1" ht="12" hidden="1" customHeight="1">
      <c r="A11874" s="198"/>
    </row>
    <row r="11875" spans="1:1" s="199" customFormat="1" ht="12" hidden="1" customHeight="1">
      <c r="A11875" s="198"/>
    </row>
    <row r="11876" spans="1:1" s="199" customFormat="1" ht="12" hidden="1" customHeight="1">
      <c r="A11876" s="198"/>
    </row>
    <row r="11877" spans="1:1" s="199" customFormat="1" ht="12" hidden="1" customHeight="1">
      <c r="A11877" s="198"/>
    </row>
    <row r="11878" spans="1:1" s="199" customFormat="1" ht="12" hidden="1" customHeight="1">
      <c r="A11878" s="198"/>
    </row>
    <row r="11879" spans="1:1" s="199" customFormat="1" ht="12" hidden="1" customHeight="1">
      <c r="A11879" s="198"/>
    </row>
    <row r="11880" spans="1:1" s="199" customFormat="1" ht="12" hidden="1" customHeight="1">
      <c r="A11880" s="198"/>
    </row>
    <row r="11881" spans="1:1" s="199" customFormat="1" ht="12" hidden="1" customHeight="1">
      <c r="A11881" s="198"/>
    </row>
    <row r="11882" spans="1:1" s="199" customFormat="1" ht="12" hidden="1" customHeight="1">
      <c r="A11882" s="198"/>
    </row>
    <row r="11883" spans="1:1" s="199" customFormat="1" ht="12" hidden="1" customHeight="1">
      <c r="A11883" s="198"/>
    </row>
    <row r="11884" spans="1:1" s="199" customFormat="1" ht="12" hidden="1" customHeight="1">
      <c r="A11884" s="198"/>
    </row>
    <row r="11885" spans="1:1" s="199" customFormat="1" ht="12" hidden="1" customHeight="1">
      <c r="A11885" s="198"/>
    </row>
    <row r="11886" spans="1:1" s="199" customFormat="1" ht="12" hidden="1" customHeight="1">
      <c r="A11886" s="198"/>
    </row>
    <row r="11887" spans="1:1" s="199" customFormat="1" ht="12" hidden="1" customHeight="1">
      <c r="A11887" s="198"/>
    </row>
    <row r="11888" spans="1:1" s="199" customFormat="1" ht="12" hidden="1" customHeight="1">
      <c r="A11888" s="198"/>
    </row>
    <row r="11889" spans="1:1" s="199" customFormat="1" ht="12" hidden="1" customHeight="1">
      <c r="A11889" s="198"/>
    </row>
    <row r="11890" spans="1:1" s="199" customFormat="1" ht="12" hidden="1" customHeight="1">
      <c r="A11890" s="198"/>
    </row>
    <row r="11891" spans="1:1" s="199" customFormat="1" ht="12" hidden="1" customHeight="1">
      <c r="A11891" s="198"/>
    </row>
    <row r="11892" spans="1:1" s="199" customFormat="1" ht="12" hidden="1" customHeight="1">
      <c r="A11892" s="198"/>
    </row>
    <row r="11893" spans="1:1" s="199" customFormat="1" ht="12" hidden="1" customHeight="1">
      <c r="A11893" s="198"/>
    </row>
    <row r="11894" spans="1:1" s="199" customFormat="1" ht="12" hidden="1" customHeight="1">
      <c r="A11894" s="198"/>
    </row>
    <row r="11895" spans="1:1" s="199" customFormat="1" ht="12" hidden="1" customHeight="1">
      <c r="A11895" s="198"/>
    </row>
    <row r="11896" spans="1:1" s="199" customFormat="1" ht="12" hidden="1" customHeight="1">
      <c r="A11896" s="198"/>
    </row>
    <row r="11897" spans="1:1" s="199" customFormat="1" ht="12" hidden="1" customHeight="1">
      <c r="A11897" s="198"/>
    </row>
    <row r="11898" spans="1:1" s="199" customFormat="1" ht="12" hidden="1" customHeight="1">
      <c r="A11898" s="198"/>
    </row>
    <row r="11899" spans="1:1" s="199" customFormat="1" ht="12" hidden="1" customHeight="1">
      <c r="A11899" s="198"/>
    </row>
    <row r="11900" spans="1:1" s="199" customFormat="1" ht="12" hidden="1" customHeight="1">
      <c r="A11900" s="198"/>
    </row>
    <row r="11901" spans="1:1" s="199" customFormat="1" ht="12" hidden="1" customHeight="1">
      <c r="A11901" s="198"/>
    </row>
    <row r="11902" spans="1:1" s="199" customFormat="1" ht="12" hidden="1" customHeight="1">
      <c r="A11902" s="198"/>
    </row>
    <row r="11903" spans="1:1" s="199" customFormat="1" ht="12" hidden="1" customHeight="1">
      <c r="A11903" s="198"/>
    </row>
    <row r="11904" spans="1:1" s="199" customFormat="1" ht="12" hidden="1" customHeight="1">
      <c r="A11904" s="198"/>
    </row>
    <row r="11905" spans="1:1" s="199" customFormat="1" ht="12" hidden="1" customHeight="1">
      <c r="A11905" s="198"/>
    </row>
    <row r="11906" spans="1:1" s="199" customFormat="1" ht="12" hidden="1" customHeight="1">
      <c r="A11906" s="198"/>
    </row>
    <row r="11907" spans="1:1" s="199" customFormat="1" ht="12" hidden="1" customHeight="1">
      <c r="A11907" s="198"/>
    </row>
    <row r="11908" spans="1:1" s="199" customFormat="1" ht="12" hidden="1" customHeight="1">
      <c r="A11908" s="198"/>
    </row>
    <row r="11909" spans="1:1" s="199" customFormat="1" ht="12" hidden="1" customHeight="1">
      <c r="A11909" s="198"/>
    </row>
    <row r="11910" spans="1:1" s="199" customFormat="1" ht="12" hidden="1" customHeight="1">
      <c r="A11910" s="198"/>
    </row>
    <row r="11911" spans="1:1" s="199" customFormat="1" ht="12" hidden="1" customHeight="1">
      <c r="A11911" s="198"/>
    </row>
    <row r="11912" spans="1:1" s="199" customFormat="1" ht="12" hidden="1" customHeight="1">
      <c r="A11912" s="198"/>
    </row>
    <row r="11913" spans="1:1" s="199" customFormat="1" ht="12" hidden="1" customHeight="1">
      <c r="A11913" s="198"/>
    </row>
    <row r="11914" spans="1:1" s="199" customFormat="1" ht="12" hidden="1" customHeight="1">
      <c r="A11914" s="198"/>
    </row>
    <row r="11915" spans="1:1" s="199" customFormat="1" ht="12" hidden="1" customHeight="1">
      <c r="A11915" s="198"/>
    </row>
    <row r="11916" spans="1:1" s="199" customFormat="1" ht="12" hidden="1" customHeight="1">
      <c r="A11916" s="198"/>
    </row>
    <row r="11917" spans="1:1" s="199" customFormat="1" ht="12" hidden="1" customHeight="1">
      <c r="A11917" s="198"/>
    </row>
    <row r="11918" spans="1:1" s="199" customFormat="1" ht="12" hidden="1" customHeight="1">
      <c r="A11918" s="198"/>
    </row>
    <row r="11919" spans="1:1" s="199" customFormat="1" ht="12" hidden="1" customHeight="1">
      <c r="A11919" s="198"/>
    </row>
    <row r="11920" spans="1:1" s="199" customFormat="1" ht="12" hidden="1" customHeight="1">
      <c r="A11920" s="198"/>
    </row>
    <row r="11921" spans="1:1" s="199" customFormat="1" ht="12" hidden="1" customHeight="1">
      <c r="A11921" s="198"/>
    </row>
    <row r="11922" spans="1:1" s="199" customFormat="1" ht="12" hidden="1" customHeight="1">
      <c r="A11922" s="198"/>
    </row>
    <row r="11923" spans="1:1" s="199" customFormat="1" ht="12" hidden="1" customHeight="1">
      <c r="A11923" s="198"/>
    </row>
    <row r="11924" spans="1:1" s="199" customFormat="1" ht="12" hidden="1" customHeight="1">
      <c r="A11924" s="198"/>
    </row>
    <row r="11925" spans="1:1" s="199" customFormat="1" ht="12" hidden="1" customHeight="1">
      <c r="A11925" s="198"/>
    </row>
    <row r="11926" spans="1:1" s="199" customFormat="1" ht="12" hidden="1" customHeight="1">
      <c r="A11926" s="198"/>
    </row>
    <row r="11927" spans="1:1" s="199" customFormat="1" ht="12" hidden="1" customHeight="1">
      <c r="A11927" s="198"/>
    </row>
    <row r="11928" spans="1:1" s="199" customFormat="1" ht="12" hidden="1" customHeight="1">
      <c r="A11928" s="198"/>
    </row>
    <row r="11929" spans="1:1" s="199" customFormat="1" ht="12" hidden="1" customHeight="1">
      <c r="A11929" s="198"/>
    </row>
    <row r="11930" spans="1:1" s="199" customFormat="1" ht="12" hidden="1" customHeight="1">
      <c r="A11930" s="198"/>
    </row>
    <row r="11931" spans="1:1" s="199" customFormat="1" ht="12" hidden="1" customHeight="1">
      <c r="A11931" s="198"/>
    </row>
    <row r="11932" spans="1:1" s="199" customFormat="1" ht="12" hidden="1" customHeight="1">
      <c r="A11932" s="198"/>
    </row>
    <row r="11933" spans="1:1" s="199" customFormat="1" ht="12" hidden="1" customHeight="1">
      <c r="A11933" s="198"/>
    </row>
    <row r="11934" spans="1:1" s="199" customFormat="1" ht="12" hidden="1" customHeight="1">
      <c r="A11934" s="198"/>
    </row>
    <row r="11935" spans="1:1" s="199" customFormat="1" ht="12" hidden="1" customHeight="1">
      <c r="A11935" s="198"/>
    </row>
    <row r="11936" spans="1:1" s="199" customFormat="1" ht="12" hidden="1" customHeight="1">
      <c r="A11936" s="198"/>
    </row>
    <row r="11937" spans="1:1" s="199" customFormat="1" ht="12" hidden="1" customHeight="1">
      <c r="A11937" s="198"/>
    </row>
    <row r="11938" spans="1:1" s="199" customFormat="1" ht="12" hidden="1" customHeight="1">
      <c r="A11938" s="198"/>
    </row>
    <row r="11939" spans="1:1" s="199" customFormat="1" ht="12" hidden="1" customHeight="1">
      <c r="A11939" s="198"/>
    </row>
    <row r="11940" spans="1:1" s="199" customFormat="1" ht="12" hidden="1" customHeight="1">
      <c r="A11940" s="198"/>
    </row>
    <row r="11941" spans="1:1" s="199" customFormat="1" ht="12" hidden="1" customHeight="1">
      <c r="A11941" s="198"/>
    </row>
    <row r="11942" spans="1:1" s="199" customFormat="1" ht="12" hidden="1" customHeight="1">
      <c r="A11942" s="198"/>
    </row>
    <row r="11943" spans="1:1" s="199" customFormat="1" ht="12" hidden="1" customHeight="1">
      <c r="A11943" s="198"/>
    </row>
    <row r="11944" spans="1:1" s="199" customFormat="1" ht="12" hidden="1" customHeight="1">
      <c r="A11944" s="198"/>
    </row>
    <row r="11945" spans="1:1" s="199" customFormat="1" ht="12" hidden="1" customHeight="1">
      <c r="A11945" s="198"/>
    </row>
    <row r="11946" spans="1:1" s="199" customFormat="1" ht="12" hidden="1" customHeight="1">
      <c r="A11946" s="198"/>
    </row>
    <row r="11947" spans="1:1" s="199" customFormat="1" ht="12" hidden="1" customHeight="1">
      <c r="A11947" s="198"/>
    </row>
    <row r="11948" spans="1:1" s="199" customFormat="1" ht="12" hidden="1" customHeight="1">
      <c r="A11948" s="198"/>
    </row>
    <row r="11949" spans="1:1" s="199" customFormat="1" ht="12" hidden="1" customHeight="1">
      <c r="A11949" s="198"/>
    </row>
    <row r="11950" spans="1:1" s="199" customFormat="1" ht="12" hidden="1" customHeight="1">
      <c r="A11950" s="198"/>
    </row>
    <row r="11951" spans="1:1" s="199" customFormat="1" ht="12" hidden="1" customHeight="1">
      <c r="A11951" s="198"/>
    </row>
    <row r="11952" spans="1:1" s="199" customFormat="1" ht="12" hidden="1" customHeight="1">
      <c r="A11952" s="198"/>
    </row>
    <row r="11953" spans="1:1" s="199" customFormat="1" ht="12" hidden="1" customHeight="1">
      <c r="A11953" s="198"/>
    </row>
    <row r="11954" spans="1:1" s="199" customFormat="1" ht="12" hidden="1" customHeight="1">
      <c r="A11954" s="198"/>
    </row>
    <row r="11955" spans="1:1" s="199" customFormat="1" ht="12" hidden="1" customHeight="1">
      <c r="A11955" s="198"/>
    </row>
    <row r="11956" spans="1:1" s="199" customFormat="1" ht="12" hidden="1" customHeight="1">
      <c r="A11956" s="198"/>
    </row>
    <row r="11957" spans="1:1" s="199" customFormat="1" ht="12" hidden="1" customHeight="1">
      <c r="A11957" s="198"/>
    </row>
    <row r="11958" spans="1:1" s="199" customFormat="1" ht="12" hidden="1" customHeight="1">
      <c r="A11958" s="198"/>
    </row>
    <row r="11959" spans="1:1" s="199" customFormat="1" ht="12" hidden="1" customHeight="1">
      <c r="A11959" s="198"/>
    </row>
    <row r="11960" spans="1:1" s="199" customFormat="1" ht="12" hidden="1" customHeight="1">
      <c r="A11960" s="198"/>
    </row>
    <row r="11961" spans="1:1" s="199" customFormat="1" ht="12" hidden="1" customHeight="1">
      <c r="A11961" s="198"/>
    </row>
    <row r="11962" spans="1:1" s="199" customFormat="1" ht="12" hidden="1" customHeight="1">
      <c r="A11962" s="198"/>
    </row>
    <row r="11963" spans="1:1" s="199" customFormat="1" ht="12" hidden="1" customHeight="1">
      <c r="A11963" s="198"/>
    </row>
    <row r="11964" spans="1:1" s="199" customFormat="1" ht="12" hidden="1" customHeight="1">
      <c r="A11964" s="198"/>
    </row>
    <row r="11965" spans="1:1" s="199" customFormat="1" ht="12" hidden="1" customHeight="1">
      <c r="A11965" s="198"/>
    </row>
    <row r="11966" spans="1:1" s="199" customFormat="1" ht="12" hidden="1" customHeight="1">
      <c r="A11966" s="198"/>
    </row>
    <row r="11967" spans="1:1" s="199" customFormat="1" ht="12" hidden="1" customHeight="1">
      <c r="A11967" s="198"/>
    </row>
    <row r="11968" spans="1:1" s="199" customFormat="1" ht="12" hidden="1" customHeight="1">
      <c r="A11968" s="198"/>
    </row>
    <row r="11969" spans="1:1" s="199" customFormat="1" ht="12" hidden="1" customHeight="1">
      <c r="A11969" s="198"/>
    </row>
    <row r="11970" spans="1:1" s="199" customFormat="1" ht="12" hidden="1" customHeight="1">
      <c r="A11970" s="198"/>
    </row>
    <row r="11971" spans="1:1" s="199" customFormat="1" ht="12" hidden="1" customHeight="1">
      <c r="A11971" s="198"/>
    </row>
    <row r="11972" spans="1:1" s="199" customFormat="1" ht="12" hidden="1" customHeight="1">
      <c r="A11972" s="198"/>
    </row>
    <row r="11973" spans="1:1" s="199" customFormat="1" ht="12" hidden="1" customHeight="1">
      <c r="A11973" s="198"/>
    </row>
    <row r="11974" spans="1:1" s="199" customFormat="1" ht="12" hidden="1" customHeight="1">
      <c r="A11974" s="198"/>
    </row>
    <row r="11975" spans="1:1" s="199" customFormat="1" ht="12" hidden="1" customHeight="1">
      <c r="A11975" s="198"/>
    </row>
    <row r="11976" spans="1:1" s="199" customFormat="1" ht="12" hidden="1" customHeight="1">
      <c r="A11976" s="198"/>
    </row>
    <row r="11977" spans="1:1" s="199" customFormat="1" ht="12" hidden="1" customHeight="1">
      <c r="A11977" s="198"/>
    </row>
    <row r="11978" spans="1:1" s="199" customFormat="1" ht="12" hidden="1" customHeight="1">
      <c r="A11978" s="198"/>
    </row>
    <row r="11979" spans="1:1" s="199" customFormat="1" ht="12" hidden="1" customHeight="1">
      <c r="A11979" s="198"/>
    </row>
    <row r="11980" spans="1:1" s="199" customFormat="1" ht="12" hidden="1" customHeight="1">
      <c r="A11980" s="198"/>
    </row>
    <row r="11981" spans="1:1" s="199" customFormat="1" ht="12" hidden="1" customHeight="1">
      <c r="A11981" s="198"/>
    </row>
    <row r="11982" spans="1:1" s="199" customFormat="1" ht="12" hidden="1" customHeight="1">
      <c r="A11982" s="198"/>
    </row>
    <row r="11983" spans="1:1" s="199" customFormat="1" ht="12" hidden="1" customHeight="1">
      <c r="A11983" s="198"/>
    </row>
    <row r="11984" spans="1:1" s="199" customFormat="1" ht="12" hidden="1" customHeight="1">
      <c r="A11984" s="198"/>
    </row>
    <row r="11985" spans="1:1" s="199" customFormat="1" ht="12" hidden="1" customHeight="1">
      <c r="A11985" s="198"/>
    </row>
    <row r="11986" spans="1:1" s="199" customFormat="1" ht="12" hidden="1" customHeight="1">
      <c r="A11986" s="198"/>
    </row>
    <row r="11987" spans="1:1" s="199" customFormat="1" ht="12" hidden="1" customHeight="1">
      <c r="A11987" s="198"/>
    </row>
    <row r="11988" spans="1:1" s="199" customFormat="1" ht="12" hidden="1" customHeight="1">
      <c r="A11988" s="198"/>
    </row>
    <row r="11989" spans="1:1" s="199" customFormat="1" ht="12" hidden="1" customHeight="1">
      <c r="A11989" s="198"/>
    </row>
    <row r="11990" spans="1:1" s="199" customFormat="1" ht="12" hidden="1" customHeight="1">
      <c r="A11990" s="198"/>
    </row>
    <row r="11991" spans="1:1" s="199" customFormat="1" ht="12" hidden="1" customHeight="1">
      <c r="A11991" s="198"/>
    </row>
    <row r="11992" spans="1:1" s="199" customFormat="1" ht="12" hidden="1" customHeight="1">
      <c r="A11992" s="198"/>
    </row>
    <row r="11993" spans="1:1" s="199" customFormat="1" ht="12" hidden="1" customHeight="1">
      <c r="A11993" s="198"/>
    </row>
    <row r="11994" spans="1:1" s="199" customFormat="1" ht="12" hidden="1" customHeight="1">
      <c r="A11994" s="198"/>
    </row>
    <row r="11995" spans="1:1" s="199" customFormat="1" ht="12" hidden="1" customHeight="1">
      <c r="A11995" s="198"/>
    </row>
    <row r="11996" spans="1:1" s="199" customFormat="1" ht="12" hidden="1" customHeight="1">
      <c r="A11996" s="198"/>
    </row>
    <row r="11997" spans="1:1" s="199" customFormat="1" ht="12" hidden="1" customHeight="1">
      <c r="A11997" s="198"/>
    </row>
    <row r="11998" spans="1:1" s="199" customFormat="1" ht="12" hidden="1" customHeight="1">
      <c r="A11998" s="198"/>
    </row>
    <row r="11999" spans="1:1" s="199" customFormat="1" ht="12" hidden="1" customHeight="1">
      <c r="A11999" s="198"/>
    </row>
    <row r="12000" spans="1:1" s="199" customFormat="1" ht="12" hidden="1" customHeight="1">
      <c r="A12000" s="198"/>
    </row>
    <row r="12001" spans="1:1" s="199" customFormat="1" ht="12" hidden="1" customHeight="1">
      <c r="A12001" s="198"/>
    </row>
    <row r="12002" spans="1:1" s="199" customFormat="1" ht="12" hidden="1" customHeight="1">
      <c r="A12002" s="198"/>
    </row>
    <row r="12003" spans="1:1" s="199" customFormat="1" ht="12" hidden="1" customHeight="1">
      <c r="A12003" s="198"/>
    </row>
    <row r="12004" spans="1:1" s="199" customFormat="1" ht="12" hidden="1" customHeight="1">
      <c r="A12004" s="198"/>
    </row>
    <row r="12005" spans="1:1" s="199" customFormat="1" ht="12" hidden="1" customHeight="1">
      <c r="A12005" s="198"/>
    </row>
    <row r="12006" spans="1:1" s="199" customFormat="1" ht="12" hidden="1" customHeight="1">
      <c r="A12006" s="198"/>
    </row>
    <row r="12007" spans="1:1" s="199" customFormat="1" ht="12" hidden="1" customHeight="1">
      <c r="A12007" s="198"/>
    </row>
    <row r="12008" spans="1:1" s="199" customFormat="1" ht="12" hidden="1" customHeight="1">
      <c r="A12008" s="198"/>
    </row>
    <row r="12009" spans="1:1" s="199" customFormat="1" ht="12" hidden="1" customHeight="1">
      <c r="A12009" s="198"/>
    </row>
    <row r="12010" spans="1:1" s="199" customFormat="1" ht="12" hidden="1" customHeight="1">
      <c r="A12010" s="198"/>
    </row>
    <row r="12011" spans="1:1" s="199" customFormat="1" ht="12" hidden="1" customHeight="1">
      <c r="A12011" s="198"/>
    </row>
    <row r="12012" spans="1:1" s="199" customFormat="1" ht="12" hidden="1" customHeight="1">
      <c r="A12012" s="198"/>
    </row>
    <row r="12013" spans="1:1" s="199" customFormat="1" ht="12" hidden="1" customHeight="1">
      <c r="A12013" s="198"/>
    </row>
    <row r="12014" spans="1:1" s="199" customFormat="1" ht="12" hidden="1" customHeight="1">
      <c r="A12014" s="198"/>
    </row>
    <row r="12015" spans="1:1" s="199" customFormat="1" ht="12" hidden="1" customHeight="1">
      <c r="A12015" s="198"/>
    </row>
    <row r="12016" spans="1:1" s="199" customFormat="1" ht="12" hidden="1" customHeight="1">
      <c r="A12016" s="198"/>
    </row>
    <row r="12017" spans="1:1" s="199" customFormat="1" ht="12" hidden="1" customHeight="1">
      <c r="A12017" s="198"/>
    </row>
    <row r="12018" spans="1:1" s="199" customFormat="1" ht="12" hidden="1" customHeight="1">
      <c r="A12018" s="198"/>
    </row>
    <row r="12019" spans="1:1" s="199" customFormat="1" ht="12" hidden="1" customHeight="1">
      <c r="A12019" s="198"/>
    </row>
    <row r="12020" spans="1:1" s="199" customFormat="1" ht="12" hidden="1" customHeight="1">
      <c r="A12020" s="198"/>
    </row>
    <row r="12021" spans="1:1" s="199" customFormat="1" ht="12" hidden="1" customHeight="1">
      <c r="A12021" s="198"/>
    </row>
    <row r="12022" spans="1:1" s="199" customFormat="1" ht="12" hidden="1" customHeight="1">
      <c r="A12022" s="198"/>
    </row>
    <row r="12023" spans="1:1" s="199" customFormat="1" ht="12" hidden="1" customHeight="1">
      <c r="A12023" s="198"/>
    </row>
    <row r="12024" spans="1:1" s="199" customFormat="1" ht="12" hidden="1" customHeight="1">
      <c r="A12024" s="198"/>
    </row>
    <row r="12025" spans="1:1" s="199" customFormat="1" ht="12" hidden="1" customHeight="1">
      <c r="A12025" s="198"/>
    </row>
    <row r="12026" spans="1:1" s="199" customFormat="1" ht="12" hidden="1" customHeight="1">
      <c r="A12026" s="198"/>
    </row>
    <row r="12027" spans="1:1" s="199" customFormat="1" ht="12" hidden="1" customHeight="1">
      <c r="A12027" s="198"/>
    </row>
    <row r="12028" spans="1:1" s="199" customFormat="1" ht="12" hidden="1" customHeight="1">
      <c r="A12028" s="198"/>
    </row>
    <row r="12029" spans="1:1" s="199" customFormat="1" ht="12" hidden="1" customHeight="1">
      <c r="A12029" s="198"/>
    </row>
    <row r="12030" spans="1:1" s="199" customFormat="1" ht="12" hidden="1" customHeight="1">
      <c r="A12030" s="198"/>
    </row>
    <row r="12031" spans="1:1" s="199" customFormat="1" ht="12" hidden="1" customHeight="1">
      <c r="A12031" s="198"/>
    </row>
    <row r="12032" spans="1:1" s="199" customFormat="1" ht="12" hidden="1" customHeight="1">
      <c r="A12032" s="198"/>
    </row>
    <row r="12033" spans="1:1" s="199" customFormat="1" ht="12" hidden="1" customHeight="1">
      <c r="A12033" s="198"/>
    </row>
    <row r="12034" spans="1:1" s="199" customFormat="1" ht="12" hidden="1" customHeight="1">
      <c r="A12034" s="198"/>
    </row>
    <row r="12035" spans="1:1" s="199" customFormat="1" ht="12" hidden="1" customHeight="1">
      <c r="A12035" s="198"/>
    </row>
    <row r="12036" spans="1:1" s="199" customFormat="1" ht="12" hidden="1" customHeight="1">
      <c r="A12036" s="198"/>
    </row>
    <row r="12037" spans="1:1" s="199" customFormat="1" ht="12" hidden="1" customHeight="1">
      <c r="A12037" s="198"/>
    </row>
    <row r="12038" spans="1:1" s="199" customFormat="1" ht="12" hidden="1" customHeight="1">
      <c r="A12038" s="198"/>
    </row>
    <row r="12039" spans="1:1" s="199" customFormat="1" ht="12" hidden="1" customHeight="1">
      <c r="A12039" s="198"/>
    </row>
    <row r="12040" spans="1:1" s="199" customFormat="1" ht="12" hidden="1" customHeight="1">
      <c r="A12040" s="198"/>
    </row>
    <row r="12041" spans="1:1" s="199" customFormat="1" ht="12" hidden="1" customHeight="1">
      <c r="A12041" s="198"/>
    </row>
    <row r="12042" spans="1:1" s="199" customFormat="1" ht="12" hidden="1" customHeight="1">
      <c r="A12042" s="198"/>
    </row>
    <row r="12043" spans="1:1" s="199" customFormat="1" ht="12" hidden="1" customHeight="1">
      <c r="A12043" s="198"/>
    </row>
    <row r="12044" spans="1:1" s="199" customFormat="1" ht="12" hidden="1" customHeight="1">
      <c r="A12044" s="198"/>
    </row>
    <row r="12045" spans="1:1" s="199" customFormat="1" ht="12" hidden="1" customHeight="1">
      <c r="A12045" s="198"/>
    </row>
    <row r="12046" spans="1:1" s="199" customFormat="1" ht="12" hidden="1" customHeight="1">
      <c r="A12046" s="198"/>
    </row>
    <row r="12047" spans="1:1" s="199" customFormat="1" ht="12" hidden="1" customHeight="1">
      <c r="A12047" s="198"/>
    </row>
    <row r="12048" spans="1:1" s="199" customFormat="1" ht="12" hidden="1" customHeight="1">
      <c r="A12048" s="198"/>
    </row>
    <row r="12049" spans="1:1" s="199" customFormat="1" ht="12" hidden="1" customHeight="1">
      <c r="A12049" s="198"/>
    </row>
    <row r="12050" spans="1:1" s="199" customFormat="1" ht="12" hidden="1" customHeight="1">
      <c r="A12050" s="198"/>
    </row>
    <row r="12051" spans="1:1" s="199" customFormat="1" ht="12" hidden="1" customHeight="1">
      <c r="A12051" s="198"/>
    </row>
    <row r="12052" spans="1:1" s="199" customFormat="1" ht="12" hidden="1" customHeight="1">
      <c r="A12052" s="198"/>
    </row>
    <row r="12053" spans="1:1" s="199" customFormat="1" ht="12" hidden="1" customHeight="1">
      <c r="A12053" s="198"/>
    </row>
    <row r="12054" spans="1:1" s="199" customFormat="1" ht="12" hidden="1" customHeight="1">
      <c r="A12054" s="198"/>
    </row>
    <row r="12055" spans="1:1" s="199" customFormat="1" ht="12" hidden="1" customHeight="1">
      <c r="A12055" s="198"/>
    </row>
    <row r="12056" spans="1:1" s="199" customFormat="1" ht="12" hidden="1" customHeight="1">
      <c r="A12056" s="198"/>
    </row>
    <row r="12057" spans="1:1" s="199" customFormat="1" ht="12" hidden="1" customHeight="1">
      <c r="A12057" s="198"/>
    </row>
    <row r="12058" spans="1:1" s="199" customFormat="1" ht="12" hidden="1" customHeight="1">
      <c r="A12058" s="198"/>
    </row>
    <row r="12059" spans="1:1" s="199" customFormat="1" ht="12" hidden="1" customHeight="1">
      <c r="A12059" s="198"/>
    </row>
    <row r="12060" spans="1:1" s="199" customFormat="1" ht="12" hidden="1" customHeight="1">
      <c r="A12060" s="198"/>
    </row>
    <row r="12061" spans="1:1" s="199" customFormat="1" ht="12" hidden="1" customHeight="1">
      <c r="A12061" s="198"/>
    </row>
    <row r="12062" spans="1:1" s="199" customFormat="1" ht="12" hidden="1" customHeight="1">
      <c r="A12062" s="198"/>
    </row>
    <row r="12063" spans="1:1" s="199" customFormat="1" ht="12" hidden="1" customHeight="1">
      <c r="A12063" s="198"/>
    </row>
    <row r="12064" spans="1:1" s="199" customFormat="1" ht="12" hidden="1" customHeight="1">
      <c r="A12064" s="198"/>
    </row>
    <row r="12065" spans="1:1" s="199" customFormat="1" ht="12" hidden="1" customHeight="1">
      <c r="A12065" s="198"/>
    </row>
    <row r="12066" spans="1:1" s="199" customFormat="1" ht="12" hidden="1" customHeight="1">
      <c r="A12066" s="198"/>
    </row>
    <row r="12067" spans="1:1" s="199" customFormat="1" ht="12" hidden="1" customHeight="1">
      <c r="A12067" s="198"/>
    </row>
    <row r="12068" spans="1:1" s="199" customFormat="1" ht="12" hidden="1" customHeight="1">
      <c r="A12068" s="198"/>
    </row>
    <row r="12069" spans="1:1" s="199" customFormat="1" ht="12" hidden="1" customHeight="1">
      <c r="A12069" s="198"/>
    </row>
    <row r="12070" spans="1:1" s="199" customFormat="1" ht="12" hidden="1" customHeight="1">
      <c r="A12070" s="198"/>
    </row>
    <row r="12071" spans="1:1" s="199" customFormat="1" ht="12" hidden="1" customHeight="1">
      <c r="A12071" s="198"/>
    </row>
    <row r="12072" spans="1:1" s="199" customFormat="1" ht="12" hidden="1" customHeight="1">
      <c r="A12072" s="198"/>
    </row>
    <row r="12073" spans="1:1" s="199" customFormat="1" ht="12" hidden="1" customHeight="1">
      <c r="A12073" s="198"/>
    </row>
    <row r="12074" spans="1:1" s="199" customFormat="1" ht="12" hidden="1" customHeight="1">
      <c r="A12074" s="198"/>
    </row>
    <row r="12075" spans="1:1" s="199" customFormat="1" ht="12" hidden="1" customHeight="1">
      <c r="A12075" s="198"/>
    </row>
    <row r="12076" spans="1:1" s="199" customFormat="1" ht="12" hidden="1" customHeight="1">
      <c r="A12076" s="198"/>
    </row>
    <row r="12077" spans="1:1" s="199" customFormat="1" ht="12" hidden="1" customHeight="1">
      <c r="A12077" s="198"/>
    </row>
    <row r="12078" spans="1:1" s="199" customFormat="1" ht="12" hidden="1" customHeight="1">
      <c r="A12078" s="198"/>
    </row>
    <row r="12079" spans="1:1" s="199" customFormat="1" ht="12" hidden="1" customHeight="1">
      <c r="A12079" s="198"/>
    </row>
    <row r="12080" spans="1:1" s="199" customFormat="1" ht="12" hidden="1" customHeight="1">
      <c r="A12080" s="198"/>
    </row>
    <row r="12081" spans="1:1" s="199" customFormat="1" ht="12" hidden="1" customHeight="1">
      <c r="A12081" s="198"/>
    </row>
    <row r="12082" spans="1:1" s="199" customFormat="1" ht="12" hidden="1" customHeight="1">
      <c r="A12082" s="198"/>
    </row>
    <row r="12083" spans="1:1" s="199" customFormat="1" ht="12" hidden="1" customHeight="1">
      <c r="A12083" s="198"/>
    </row>
    <row r="12084" spans="1:1" s="199" customFormat="1" ht="12" hidden="1" customHeight="1">
      <c r="A12084" s="198"/>
    </row>
    <row r="12085" spans="1:1" s="199" customFormat="1" ht="12" hidden="1" customHeight="1">
      <c r="A12085" s="198"/>
    </row>
    <row r="12086" spans="1:1" s="199" customFormat="1" ht="12" hidden="1" customHeight="1">
      <c r="A12086" s="198"/>
    </row>
    <row r="12087" spans="1:1" s="199" customFormat="1" ht="12" hidden="1" customHeight="1">
      <c r="A12087" s="198"/>
    </row>
    <row r="12088" spans="1:1" s="199" customFormat="1" ht="12" hidden="1" customHeight="1">
      <c r="A12088" s="198"/>
    </row>
    <row r="12089" spans="1:1" s="199" customFormat="1" ht="12" hidden="1" customHeight="1">
      <c r="A12089" s="198"/>
    </row>
    <row r="12090" spans="1:1" s="199" customFormat="1" ht="12" hidden="1" customHeight="1">
      <c r="A12090" s="198"/>
    </row>
    <row r="12091" spans="1:1" s="199" customFormat="1" ht="12" hidden="1" customHeight="1">
      <c r="A12091" s="198"/>
    </row>
    <row r="12092" spans="1:1" s="199" customFormat="1" ht="12" hidden="1" customHeight="1">
      <c r="A12092" s="198"/>
    </row>
    <row r="12093" spans="1:1" s="199" customFormat="1" ht="12" hidden="1" customHeight="1">
      <c r="A12093" s="198"/>
    </row>
    <row r="12094" spans="1:1" s="199" customFormat="1" ht="12" hidden="1" customHeight="1">
      <c r="A12094" s="198"/>
    </row>
    <row r="12095" spans="1:1" s="199" customFormat="1" ht="12" hidden="1" customHeight="1">
      <c r="A12095" s="198"/>
    </row>
    <row r="12096" spans="1:1" s="199" customFormat="1" ht="12" hidden="1" customHeight="1">
      <c r="A12096" s="198"/>
    </row>
    <row r="12097" spans="1:1" s="199" customFormat="1" ht="12" hidden="1" customHeight="1">
      <c r="A12097" s="198"/>
    </row>
    <row r="12098" spans="1:1" s="199" customFormat="1" ht="12" hidden="1" customHeight="1">
      <c r="A12098" s="198"/>
    </row>
    <row r="12099" spans="1:1" s="199" customFormat="1" ht="12" hidden="1" customHeight="1">
      <c r="A12099" s="198"/>
    </row>
    <row r="12100" spans="1:1" s="199" customFormat="1" ht="12" hidden="1" customHeight="1">
      <c r="A12100" s="198"/>
    </row>
    <row r="12101" spans="1:1" s="199" customFormat="1" ht="12" hidden="1" customHeight="1">
      <c r="A12101" s="198"/>
    </row>
    <row r="12102" spans="1:1" s="199" customFormat="1" ht="12" hidden="1" customHeight="1">
      <c r="A12102" s="198"/>
    </row>
    <row r="12103" spans="1:1" s="199" customFormat="1" ht="12" hidden="1" customHeight="1">
      <c r="A12103" s="198"/>
    </row>
    <row r="12104" spans="1:1" s="199" customFormat="1" ht="12" hidden="1" customHeight="1">
      <c r="A12104" s="198"/>
    </row>
    <row r="12105" spans="1:1" s="199" customFormat="1" ht="12" hidden="1" customHeight="1">
      <c r="A12105" s="198"/>
    </row>
    <row r="12106" spans="1:1" s="199" customFormat="1" ht="12" hidden="1" customHeight="1">
      <c r="A12106" s="198"/>
    </row>
    <row r="12107" spans="1:1" s="199" customFormat="1" ht="12" hidden="1" customHeight="1">
      <c r="A12107" s="198"/>
    </row>
    <row r="12108" spans="1:1" s="199" customFormat="1" ht="12" hidden="1" customHeight="1">
      <c r="A12108" s="198"/>
    </row>
    <row r="12109" spans="1:1" s="199" customFormat="1" ht="12" hidden="1" customHeight="1">
      <c r="A12109" s="198"/>
    </row>
    <row r="12110" spans="1:1" s="199" customFormat="1" ht="12" hidden="1" customHeight="1">
      <c r="A12110" s="198"/>
    </row>
    <row r="12111" spans="1:1" s="199" customFormat="1" ht="12" hidden="1" customHeight="1">
      <c r="A12111" s="198"/>
    </row>
    <row r="12112" spans="1:1" s="199" customFormat="1" ht="12" hidden="1" customHeight="1">
      <c r="A12112" s="198"/>
    </row>
    <row r="12113" spans="1:1" s="199" customFormat="1" ht="12" hidden="1" customHeight="1">
      <c r="A12113" s="198"/>
    </row>
    <row r="12114" spans="1:1" s="199" customFormat="1" ht="12" hidden="1" customHeight="1">
      <c r="A12114" s="198"/>
    </row>
    <row r="12115" spans="1:1" s="199" customFormat="1" ht="12" hidden="1" customHeight="1">
      <c r="A12115" s="198"/>
    </row>
    <row r="12116" spans="1:1" s="199" customFormat="1" ht="12" hidden="1" customHeight="1">
      <c r="A12116" s="198"/>
    </row>
    <row r="12117" spans="1:1" s="199" customFormat="1" ht="12" hidden="1" customHeight="1">
      <c r="A12117" s="198"/>
    </row>
    <row r="12118" spans="1:1" s="199" customFormat="1" ht="12" hidden="1" customHeight="1">
      <c r="A12118" s="198"/>
    </row>
    <row r="12119" spans="1:1" s="199" customFormat="1" ht="12" hidden="1" customHeight="1">
      <c r="A12119" s="198"/>
    </row>
    <row r="12120" spans="1:1" s="199" customFormat="1" ht="12" hidden="1" customHeight="1">
      <c r="A12120" s="198"/>
    </row>
    <row r="12121" spans="1:1" s="199" customFormat="1" ht="12" hidden="1" customHeight="1">
      <c r="A12121" s="198"/>
    </row>
    <row r="12122" spans="1:1" s="199" customFormat="1" ht="12" hidden="1" customHeight="1">
      <c r="A12122" s="198"/>
    </row>
    <row r="12123" spans="1:1" s="199" customFormat="1" ht="12" hidden="1" customHeight="1">
      <c r="A12123" s="198"/>
    </row>
    <row r="12124" spans="1:1" s="199" customFormat="1" ht="12" hidden="1" customHeight="1">
      <c r="A12124" s="198"/>
    </row>
    <row r="12125" spans="1:1" s="199" customFormat="1" ht="12" hidden="1" customHeight="1">
      <c r="A12125" s="198"/>
    </row>
    <row r="12126" spans="1:1" s="199" customFormat="1" ht="12" hidden="1" customHeight="1">
      <c r="A12126" s="198"/>
    </row>
    <row r="12127" spans="1:1" s="199" customFormat="1" ht="12" hidden="1" customHeight="1">
      <c r="A12127" s="198"/>
    </row>
    <row r="12128" spans="1:1" s="199" customFormat="1" ht="12" hidden="1" customHeight="1">
      <c r="A12128" s="198"/>
    </row>
    <row r="12129" spans="1:1" s="199" customFormat="1" ht="12" hidden="1" customHeight="1">
      <c r="A12129" s="198"/>
    </row>
    <row r="12130" spans="1:1" s="199" customFormat="1" ht="12" hidden="1" customHeight="1">
      <c r="A12130" s="198"/>
    </row>
    <row r="12131" spans="1:1" s="199" customFormat="1" ht="12" hidden="1" customHeight="1">
      <c r="A12131" s="198"/>
    </row>
    <row r="12132" spans="1:1" s="199" customFormat="1" ht="12" hidden="1" customHeight="1">
      <c r="A12132" s="198"/>
    </row>
    <row r="12133" spans="1:1" s="199" customFormat="1" ht="12" hidden="1" customHeight="1">
      <c r="A12133" s="198"/>
    </row>
    <row r="12134" spans="1:1" s="199" customFormat="1" ht="12" hidden="1" customHeight="1">
      <c r="A12134" s="198"/>
    </row>
    <row r="12135" spans="1:1" s="199" customFormat="1" ht="12" hidden="1" customHeight="1">
      <c r="A12135" s="198"/>
    </row>
    <row r="12136" spans="1:1" s="199" customFormat="1" ht="12" hidden="1" customHeight="1">
      <c r="A12136" s="198"/>
    </row>
    <row r="12137" spans="1:1" s="199" customFormat="1" ht="12" hidden="1" customHeight="1">
      <c r="A12137" s="198"/>
    </row>
    <row r="12138" spans="1:1" s="199" customFormat="1" ht="12" hidden="1" customHeight="1">
      <c r="A12138" s="198"/>
    </row>
    <row r="12139" spans="1:1" s="199" customFormat="1" ht="12" hidden="1" customHeight="1">
      <c r="A12139" s="198"/>
    </row>
    <row r="12140" spans="1:1" s="199" customFormat="1" ht="12" hidden="1" customHeight="1">
      <c r="A12140" s="198"/>
    </row>
    <row r="12141" spans="1:1" s="199" customFormat="1" ht="12" hidden="1" customHeight="1">
      <c r="A12141" s="198"/>
    </row>
    <row r="12142" spans="1:1" s="199" customFormat="1" ht="12" hidden="1" customHeight="1">
      <c r="A12142" s="198"/>
    </row>
    <row r="12143" spans="1:1" s="199" customFormat="1" ht="12" hidden="1" customHeight="1">
      <c r="A12143" s="198"/>
    </row>
    <row r="12144" spans="1:1" s="199" customFormat="1" ht="12" hidden="1" customHeight="1">
      <c r="A12144" s="198"/>
    </row>
    <row r="12145" spans="1:1" s="199" customFormat="1" ht="12" hidden="1" customHeight="1">
      <c r="A12145" s="198"/>
    </row>
    <row r="12146" spans="1:1" s="199" customFormat="1" ht="12" hidden="1" customHeight="1">
      <c r="A12146" s="198"/>
    </row>
    <row r="12147" spans="1:1" s="199" customFormat="1" ht="12" hidden="1" customHeight="1">
      <c r="A12147" s="198"/>
    </row>
    <row r="12148" spans="1:1" s="199" customFormat="1" ht="12" hidden="1" customHeight="1">
      <c r="A12148" s="198"/>
    </row>
    <row r="12149" spans="1:1" s="199" customFormat="1" ht="12" hidden="1" customHeight="1">
      <c r="A12149" s="198"/>
    </row>
    <row r="12150" spans="1:1" s="199" customFormat="1" ht="12" hidden="1" customHeight="1">
      <c r="A12150" s="198"/>
    </row>
    <row r="12151" spans="1:1" s="199" customFormat="1" ht="12" hidden="1" customHeight="1">
      <c r="A12151" s="198"/>
    </row>
    <row r="12152" spans="1:1" s="199" customFormat="1" ht="12" hidden="1" customHeight="1">
      <c r="A12152" s="198"/>
    </row>
    <row r="12153" spans="1:1" s="199" customFormat="1" ht="12" hidden="1" customHeight="1">
      <c r="A12153" s="198"/>
    </row>
    <row r="12154" spans="1:1" s="199" customFormat="1" ht="12" hidden="1" customHeight="1">
      <c r="A12154" s="198"/>
    </row>
    <row r="12155" spans="1:1" s="199" customFormat="1" ht="12" hidden="1" customHeight="1">
      <c r="A12155" s="198"/>
    </row>
    <row r="12156" spans="1:1" s="199" customFormat="1" ht="12" hidden="1" customHeight="1">
      <c r="A12156" s="198"/>
    </row>
    <row r="12157" spans="1:1" s="199" customFormat="1" ht="12" hidden="1" customHeight="1">
      <c r="A12157" s="198"/>
    </row>
    <row r="12158" spans="1:1" s="199" customFormat="1" ht="12" hidden="1" customHeight="1">
      <c r="A12158" s="198"/>
    </row>
    <row r="12159" spans="1:1" s="199" customFormat="1" ht="12" hidden="1" customHeight="1">
      <c r="A12159" s="198"/>
    </row>
    <row r="12160" spans="1:1" s="199" customFormat="1" ht="12" hidden="1" customHeight="1">
      <c r="A12160" s="198"/>
    </row>
    <row r="12161" spans="1:1" s="199" customFormat="1" ht="12" hidden="1" customHeight="1">
      <c r="A12161" s="198"/>
    </row>
    <row r="12162" spans="1:1" s="199" customFormat="1" ht="12" hidden="1" customHeight="1">
      <c r="A12162" s="198"/>
    </row>
    <row r="12163" spans="1:1" s="199" customFormat="1" ht="12" hidden="1" customHeight="1">
      <c r="A12163" s="198"/>
    </row>
    <row r="12164" spans="1:1" s="199" customFormat="1" ht="12" hidden="1" customHeight="1">
      <c r="A12164" s="198"/>
    </row>
    <row r="12165" spans="1:1" s="199" customFormat="1" ht="12" hidden="1" customHeight="1">
      <c r="A12165" s="198"/>
    </row>
    <row r="12166" spans="1:1" s="199" customFormat="1" ht="12" hidden="1" customHeight="1">
      <c r="A12166" s="198"/>
    </row>
    <row r="12167" spans="1:1" s="199" customFormat="1" ht="12" hidden="1" customHeight="1">
      <c r="A12167" s="198"/>
    </row>
    <row r="12168" spans="1:1" s="199" customFormat="1" ht="12" hidden="1" customHeight="1">
      <c r="A12168" s="198"/>
    </row>
    <row r="12169" spans="1:1" s="199" customFormat="1" ht="12" hidden="1" customHeight="1">
      <c r="A12169" s="198"/>
    </row>
    <row r="12170" spans="1:1" s="199" customFormat="1" ht="12" hidden="1" customHeight="1">
      <c r="A12170" s="198"/>
    </row>
    <row r="12171" spans="1:1" s="199" customFormat="1" ht="12" hidden="1" customHeight="1">
      <c r="A12171" s="198"/>
    </row>
    <row r="12172" spans="1:1" s="199" customFormat="1" ht="12" hidden="1" customHeight="1">
      <c r="A12172" s="198"/>
    </row>
    <row r="12173" spans="1:1" s="199" customFormat="1" ht="12" hidden="1" customHeight="1">
      <c r="A12173" s="198"/>
    </row>
    <row r="12174" spans="1:1" s="199" customFormat="1" ht="12" hidden="1" customHeight="1">
      <c r="A12174" s="198"/>
    </row>
    <row r="12175" spans="1:1" s="199" customFormat="1" ht="12" hidden="1" customHeight="1">
      <c r="A12175" s="198"/>
    </row>
    <row r="12176" spans="1:1" s="199" customFormat="1" ht="12" hidden="1" customHeight="1">
      <c r="A12176" s="198"/>
    </row>
    <row r="12177" spans="1:1" s="199" customFormat="1" ht="12" hidden="1" customHeight="1">
      <c r="A12177" s="198"/>
    </row>
    <row r="12178" spans="1:1" s="199" customFormat="1" ht="12" hidden="1" customHeight="1">
      <c r="A12178" s="198"/>
    </row>
    <row r="12179" spans="1:1" s="199" customFormat="1" ht="12" hidden="1" customHeight="1">
      <c r="A12179" s="198"/>
    </row>
    <row r="12180" spans="1:1" s="199" customFormat="1" ht="12" hidden="1" customHeight="1">
      <c r="A12180" s="198"/>
    </row>
    <row r="12181" spans="1:1" s="199" customFormat="1" ht="12" hidden="1" customHeight="1">
      <c r="A12181" s="198"/>
    </row>
    <row r="12182" spans="1:1" s="199" customFormat="1" ht="12" hidden="1" customHeight="1">
      <c r="A12182" s="198"/>
    </row>
    <row r="12183" spans="1:1" s="199" customFormat="1" ht="12" hidden="1" customHeight="1">
      <c r="A12183" s="198"/>
    </row>
    <row r="12184" spans="1:1" s="199" customFormat="1" ht="12" hidden="1" customHeight="1">
      <c r="A12184" s="198"/>
    </row>
    <row r="12185" spans="1:1" s="199" customFormat="1" ht="12" hidden="1" customHeight="1">
      <c r="A12185" s="198"/>
    </row>
    <row r="12186" spans="1:1" s="199" customFormat="1" ht="12" hidden="1" customHeight="1">
      <c r="A12186" s="198"/>
    </row>
    <row r="12187" spans="1:1" s="199" customFormat="1" ht="12" hidden="1" customHeight="1">
      <c r="A12187" s="198"/>
    </row>
    <row r="12188" spans="1:1" s="199" customFormat="1" ht="12" hidden="1" customHeight="1">
      <c r="A12188" s="198"/>
    </row>
    <row r="12189" spans="1:1" s="199" customFormat="1" ht="12" hidden="1" customHeight="1">
      <c r="A12189" s="198"/>
    </row>
    <row r="12190" spans="1:1" s="199" customFormat="1" ht="12" hidden="1" customHeight="1">
      <c r="A12190" s="198"/>
    </row>
    <row r="12191" spans="1:1" s="199" customFormat="1" ht="12" hidden="1" customHeight="1">
      <c r="A12191" s="198"/>
    </row>
    <row r="12192" spans="1:1" s="199" customFormat="1" ht="12" hidden="1" customHeight="1">
      <c r="A12192" s="198"/>
    </row>
    <row r="12193" spans="1:1" s="199" customFormat="1" ht="12" hidden="1" customHeight="1">
      <c r="A12193" s="198"/>
    </row>
    <row r="12194" spans="1:1" s="199" customFormat="1" ht="12" hidden="1" customHeight="1">
      <c r="A12194" s="198"/>
    </row>
    <row r="12195" spans="1:1" s="199" customFormat="1" ht="12" hidden="1" customHeight="1">
      <c r="A12195" s="198"/>
    </row>
    <row r="12196" spans="1:1" s="199" customFormat="1" ht="12" hidden="1" customHeight="1">
      <c r="A12196" s="198"/>
    </row>
    <row r="12197" spans="1:1" s="199" customFormat="1" ht="12" hidden="1" customHeight="1">
      <c r="A12197" s="198"/>
    </row>
    <row r="12198" spans="1:1" s="199" customFormat="1" ht="12" hidden="1" customHeight="1">
      <c r="A12198" s="198"/>
    </row>
    <row r="12199" spans="1:1" s="199" customFormat="1" ht="12" hidden="1" customHeight="1">
      <c r="A12199" s="198"/>
    </row>
    <row r="12200" spans="1:1" s="199" customFormat="1" ht="12" hidden="1" customHeight="1">
      <c r="A12200" s="198"/>
    </row>
    <row r="12201" spans="1:1" s="199" customFormat="1" ht="12" hidden="1" customHeight="1">
      <c r="A12201" s="198"/>
    </row>
    <row r="12202" spans="1:1" s="199" customFormat="1" ht="12" hidden="1" customHeight="1">
      <c r="A12202" s="198"/>
    </row>
    <row r="12203" spans="1:1" s="199" customFormat="1" ht="12" hidden="1" customHeight="1">
      <c r="A12203" s="198"/>
    </row>
    <row r="12204" spans="1:1" s="199" customFormat="1" ht="12" hidden="1" customHeight="1">
      <c r="A12204" s="198"/>
    </row>
    <row r="12205" spans="1:1" s="199" customFormat="1" ht="12" hidden="1" customHeight="1">
      <c r="A12205" s="198"/>
    </row>
    <row r="12206" spans="1:1" s="199" customFormat="1" ht="12" hidden="1" customHeight="1">
      <c r="A12206" s="198"/>
    </row>
    <row r="12207" spans="1:1" s="199" customFormat="1" ht="12" hidden="1" customHeight="1">
      <c r="A12207" s="198"/>
    </row>
    <row r="12208" spans="1:1" s="199" customFormat="1" ht="12" hidden="1" customHeight="1">
      <c r="A12208" s="198"/>
    </row>
    <row r="12209" spans="1:1" s="199" customFormat="1" ht="12" hidden="1" customHeight="1">
      <c r="A12209" s="198"/>
    </row>
    <row r="12210" spans="1:1" s="199" customFormat="1" ht="12" hidden="1" customHeight="1">
      <c r="A12210" s="198"/>
    </row>
    <row r="12211" spans="1:1" s="199" customFormat="1" ht="12" hidden="1" customHeight="1">
      <c r="A12211" s="198"/>
    </row>
    <row r="12212" spans="1:1" s="199" customFormat="1" ht="12" hidden="1" customHeight="1">
      <c r="A12212" s="198"/>
    </row>
    <row r="12213" spans="1:1" s="199" customFormat="1" ht="12" hidden="1" customHeight="1">
      <c r="A12213" s="198"/>
    </row>
    <row r="12214" spans="1:1" s="199" customFormat="1" ht="12" hidden="1" customHeight="1">
      <c r="A12214" s="198"/>
    </row>
    <row r="12215" spans="1:1" s="199" customFormat="1" ht="12" hidden="1" customHeight="1">
      <c r="A12215" s="198"/>
    </row>
    <row r="12216" spans="1:1" s="199" customFormat="1" ht="12" hidden="1" customHeight="1">
      <c r="A12216" s="198"/>
    </row>
    <row r="12217" spans="1:1" s="199" customFormat="1" ht="12" hidden="1" customHeight="1">
      <c r="A12217" s="198"/>
    </row>
    <row r="12218" spans="1:1" s="199" customFormat="1" ht="12" hidden="1" customHeight="1">
      <c r="A12218" s="198"/>
    </row>
    <row r="12219" spans="1:1" s="199" customFormat="1" ht="12" hidden="1" customHeight="1">
      <c r="A12219" s="198"/>
    </row>
    <row r="12220" spans="1:1" s="199" customFormat="1" ht="12" hidden="1" customHeight="1">
      <c r="A12220" s="198"/>
    </row>
    <row r="12221" spans="1:1" s="199" customFormat="1" ht="12" hidden="1" customHeight="1">
      <c r="A12221" s="198"/>
    </row>
    <row r="12222" spans="1:1" s="199" customFormat="1" ht="12" hidden="1" customHeight="1">
      <c r="A12222" s="198"/>
    </row>
    <row r="12223" spans="1:1" s="199" customFormat="1" ht="12" hidden="1" customHeight="1">
      <c r="A12223" s="198"/>
    </row>
    <row r="12224" spans="1:1" s="199" customFormat="1" ht="12" hidden="1" customHeight="1">
      <c r="A12224" s="198"/>
    </row>
    <row r="12225" spans="1:1" s="199" customFormat="1" ht="12" hidden="1" customHeight="1">
      <c r="A12225" s="198"/>
    </row>
    <row r="12226" spans="1:1" s="199" customFormat="1" ht="12" hidden="1" customHeight="1">
      <c r="A12226" s="198"/>
    </row>
    <row r="12227" spans="1:1" s="199" customFormat="1" ht="12" hidden="1" customHeight="1">
      <c r="A12227" s="198"/>
    </row>
    <row r="12228" spans="1:1" s="199" customFormat="1" ht="12" hidden="1" customHeight="1">
      <c r="A12228" s="198"/>
    </row>
    <row r="12229" spans="1:1" s="199" customFormat="1" ht="12" hidden="1" customHeight="1">
      <c r="A12229" s="198"/>
    </row>
    <row r="12230" spans="1:1" s="199" customFormat="1" ht="12" hidden="1" customHeight="1">
      <c r="A12230" s="198"/>
    </row>
    <row r="12231" spans="1:1" s="199" customFormat="1" ht="12" hidden="1" customHeight="1">
      <c r="A12231" s="198"/>
    </row>
    <row r="12232" spans="1:1" s="199" customFormat="1" ht="12" hidden="1" customHeight="1">
      <c r="A12232" s="198"/>
    </row>
    <row r="12233" spans="1:1" s="199" customFormat="1" ht="12" hidden="1" customHeight="1">
      <c r="A12233" s="198"/>
    </row>
    <row r="12234" spans="1:1" s="199" customFormat="1" ht="12" hidden="1" customHeight="1">
      <c r="A12234" s="198"/>
    </row>
    <row r="12235" spans="1:1" s="199" customFormat="1" ht="12" hidden="1" customHeight="1">
      <c r="A12235" s="198"/>
    </row>
    <row r="12236" spans="1:1" s="199" customFormat="1" ht="12" hidden="1" customHeight="1">
      <c r="A12236" s="198"/>
    </row>
    <row r="12237" spans="1:1" s="199" customFormat="1" ht="12" hidden="1" customHeight="1">
      <c r="A12237" s="198"/>
    </row>
    <row r="12238" spans="1:1" s="199" customFormat="1" ht="12" hidden="1" customHeight="1">
      <c r="A12238" s="198"/>
    </row>
    <row r="12239" spans="1:1" s="199" customFormat="1" ht="12" hidden="1" customHeight="1">
      <c r="A12239" s="198"/>
    </row>
    <row r="12240" spans="1:1" s="199" customFormat="1" ht="12" hidden="1" customHeight="1">
      <c r="A12240" s="198"/>
    </row>
    <row r="12241" spans="1:1" s="199" customFormat="1" ht="12" hidden="1" customHeight="1">
      <c r="A12241" s="198"/>
    </row>
    <row r="12242" spans="1:1" s="199" customFormat="1" ht="12" hidden="1" customHeight="1">
      <c r="A12242" s="198"/>
    </row>
    <row r="12243" spans="1:1" s="199" customFormat="1" ht="12" hidden="1" customHeight="1">
      <c r="A12243" s="198"/>
    </row>
    <row r="12244" spans="1:1" s="199" customFormat="1" ht="12" hidden="1" customHeight="1">
      <c r="A12244" s="198"/>
    </row>
    <row r="12245" spans="1:1" s="199" customFormat="1" ht="12" hidden="1" customHeight="1">
      <c r="A12245" s="198"/>
    </row>
    <row r="12246" spans="1:1" s="199" customFormat="1" ht="12" hidden="1" customHeight="1">
      <c r="A12246" s="198"/>
    </row>
    <row r="12247" spans="1:1" s="199" customFormat="1" ht="12" hidden="1" customHeight="1">
      <c r="A12247" s="198"/>
    </row>
    <row r="12248" spans="1:1" s="199" customFormat="1" ht="12" hidden="1" customHeight="1">
      <c r="A12248" s="198"/>
    </row>
    <row r="12249" spans="1:1" s="199" customFormat="1" ht="12" hidden="1" customHeight="1">
      <c r="A12249" s="198"/>
    </row>
    <row r="12250" spans="1:1" s="199" customFormat="1" ht="12" hidden="1" customHeight="1">
      <c r="A12250" s="198"/>
    </row>
    <row r="12251" spans="1:1" s="199" customFormat="1" ht="12" hidden="1" customHeight="1">
      <c r="A12251" s="198"/>
    </row>
    <row r="12252" spans="1:1" s="199" customFormat="1" ht="12" hidden="1" customHeight="1">
      <c r="A12252" s="198"/>
    </row>
    <row r="12253" spans="1:1" s="199" customFormat="1" ht="12" hidden="1" customHeight="1">
      <c r="A12253" s="198"/>
    </row>
    <row r="12254" spans="1:1" s="199" customFormat="1" ht="12" hidden="1" customHeight="1">
      <c r="A12254" s="198"/>
    </row>
    <row r="12255" spans="1:1" s="199" customFormat="1" ht="12" hidden="1" customHeight="1">
      <c r="A12255" s="198"/>
    </row>
    <row r="12256" spans="1:1" s="199" customFormat="1" ht="12" hidden="1" customHeight="1">
      <c r="A12256" s="198"/>
    </row>
    <row r="12257" spans="1:1" s="199" customFormat="1" ht="12" hidden="1" customHeight="1">
      <c r="A12257" s="198"/>
    </row>
    <row r="12258" spans="1:1" s="199" customFormat="1" ht="12" hidden="1" customHeight="1">
      <c r="A12258" s="198"/>
    </row>
    <row r="12259" spans="1:1" s="199" customFormat="1" ht="12" hidden="1" customHeight="1">
      <c r="A12259" s="198"/>
    </row>
    <row r="12260" spans="1:1" s="199" customFormat="1" ht="12" hidden="1" customHeight="1">
      <c r="A12260" s="198"/>
    </row>
    <row r="12261" spans="1:1" s="199" customFormat="1" ht="12" hidden="1" customHeight="1">
      <c r="A12261" s="198"/>
    </row>
    <row r="12262" spans="1:1" s="199" customFormat="1" ht="12" hidden="1" customHeight="1">
      <c r="A12262" s="198"/>
    </row>
    <row r="12263" spans="1:1" s="199" customFormat="1" ht="12" hidden="1" customHeight="1">
      <c r="A12263" s="198"/>
    </row>
    <row r="12264" spans="1:1" s="199" customFormat="1" ht="12" hidden="1" customHeight="1">
      <c r="A12264" s="198"/>
    </row>
    <row r="12265" spans="1:1" s="199" customFormat="1" ht="12" hidden="1" customHeight="1">
      <c r="A12265" s="198"/>
    </row>
    <row r="12266" spans="1:1" s="199" customFormat="1" ht="12" hidden="1" customHeight="1">
      <c r="A12266" s="198"/>
    </row>
    <row r="12267" spans="1:1" s="199" customFormat="1" ht="12" hidden="1" customHeight="1">
      <c r="A12267" s="198"/>
    </row>
    <row r="12268" spans="1:1" s="199" customFormat="1" ht="12" hidden="1" customHeight="1">
      <c r="A12268" s="198"/>
    </row>
    <row r="12269" spans="1:1" s="199" customFormat="1" ht="12" hidden="1" customHeight="1">
      <c r="A12269" s="198"/>
    </row>
    <row r="12270" spans="1:1" s="199" customFormat="1" ht="12" hidden="1" customHeight="1">
      <c r="A12270" s="198"/>
    </row>
    <row r="12271" spans="1:1" s="199" customFormat="1" ht="12" hidden="1" customHeight="1">
      <c r="A12271" s="198"/>
    </row>
    <row r="12272" spans="1:1" s="199" customFormat="1" ht="12" hidden="1" customHeight="1">
      <c r="A12272" s="198"/>
    </row>
    <row r="12273" spans="1:1" s="199" customFormat="1" ht="12" hidden="1" customHeight="1">
      <c r="A12273" s="198"/>
    </row>
    <row r="12274" spans="1:1" s="199" customFormat="1" ht="12" hidden="1" customHeight="1">
      <c r="A12274" s="198"/>
    </row>
    <row r="12275" spans="1:1" s="199" customFormat="1" ht="12" hidden="1" customHeight="1">
      <c r="A12275" s="198"/>
    </row>
    <row r="12276" spans="1:1" s="199" customFormat="1" ht="12" hidden="1" customHeight="1">
      <c r="A12276" s="198"/>
    </row>
    <row r="12277" spans="1:1" s="199" customFormat="1" ht="12" hidden="1" customHeight="1">
      <c r="A12277" s="198"/>
    </row>
    <row r="12278" spans="1:1" s="199" customFormat="1" ht="12" hidden="1" customHeight="1">
      <c r="A12278" s="198"/>
    </row>
    <row r="12279" spans="1:1" s="199" customFormat="1" ht="12" hidden="1" customHeight="1">
      <c r="A12279" s="198"/>
    </row>
    <row r="12280" spans="1:1" s="199" customFormat="1" ht="12" hidden="1" customHeight="1">
      <c r="A12280" s="198"/>
    </row>
    <row r="12281" spans="1:1" s="199" customFormat="1" ht="12" hidden="1" customHeight="1">
      <c r="A12281" s="198"/>
    </row>
    <row r="12282" spans="1:1" s="199" customFormat="1" ht="12" hidden="1" customHeight="1">
      <c r="A12282" s="198"/>
    </row>
    <row r="12283" spans="1:1" s="199" customFormat="1" ht="12" hidden="1" customHeight="1">
      <c r="A12283" s="198"/>
    </row>
    <row r="12284" spans="1:1" s="199" customFormat="1" ht="12" hidden="1" customHeight="1">
      <c r="A12284" s="198"/>
    </row>
    <row r="12285" spans="1:1" s="199" customFormat="1" ht="12" hidden="1" customHeight="1">
      <c r="A12285" s="198"/>
    </row>
    <row r="12286" spans="1:1" s="199" customFormat="1" ht="12" hidden="1" customHeight="1">
      <c r="A12286" s="198"/>
    </row>
    <row r="12287" spans="1:1" s="199" customFormat="1" ht="12" hidden="1" customHeight="1">
      <c r="A12287" s="198"/>
    </row>
    <row r="12288" spans="1:1" s="199" customFormat="1" ht="12" hidden="1" customHeight="1">
      <c r="A12288" s="198"/>
    </row>
    <row r="12289" spans="1:1" s="199" customFormat="1" ht="12" hidden="1" customHeight="1">
      <c r="A12289" s="198"/>
    </row>
    <row r="12290" spans="1:1" s="199" customFormat="1" ht="12" hidden="1" customHeight="1">
      <c r="A12290" s="198"/>
    </row>
    <row r="12291" spans="1:1" s="199" customFormat="1" ht="12" hidden="1" customHeight="1">
      <c r="A12291" s="198"/>
    </row>
    <row r="12292" spans="1:1" s="199" customFormat="1" ht="12" hidden="1" customHeight="1">
      <c r="A12292" s="198"/>
    </row>
    <row r="12293" spans="1:1" s="199" customFormat="1" ht="12" hidden="1" customHeight="1">
      <c r="A12293" s="198"/>
    </row>
    <row r="12294" spans="1:1" s="199" customFormat="1" ht="12" hidden="1" customHeight="1">
      <c r="A12294" s="198"/>
    </row>
    <row r="12295" spans="1:1" s="199" customFormat="1" ht="12" hidden="1" customHeight="1">
      <c r="A12295" s="198"/>
    </row>
    <row r="12296" spans="1:1" s="199" customFormat="1" ht="12" hidden="1" customHeight="1">
      <c r="A12296" s="198"/>
    </row>
    <row r="12297" spans="1:1" s="199" customFormat="1" ht="12" hidden="1" customHeight="1">
      <c r="A12297" s="198"/>
    </row>
    <row r="12298" spans="1:1" s="199" customFormat="1" ht="12" hidden="1" customHeight="1">
      <c r="A12298" s="198"/>
    </row>
    <row r="12299" spans="1:1" s="199" customFormat="1" ht="12" hidden="1" customHeight="1">
      <c r="A12299" s="198"/>
    </row>
    <row r="12300" spans="1:1" s="199" customFormat="1" ht="12" hidden="1" customHeight="1">
      <c r="A12300" s="198"/>
    </row>
    <row r="12301" spans="1:1" s="199" customFormat="1" ht="12" hidden="1" customHeight="1">
      <c r="A12301" s="198"/>
    </row>
    <row r="12302" spans="1:1" s="199" customFormat="1" ht="12" hidden="1" customHeight="1">
      <c r="A12302" s="198"/>
    </row>
    <row r="12303" spans="1:1" s="199" customFormat="1" ht="12" hidden="1" customHeight="1">
      <c r="A12303" s="198"/>
    </row>
    <row r="12304" spans="1:1" s="199" customFormat="1" ht="12" hidden="1" customHeight="1">
      <c r="A12304" s="198"/>
    </row>
    <row r="12305" spans="1:1" s="199" customFormat="1" ht="12" hidden="1" customHeight="1">
      <c r="A12305" s="198"/>
    </row>
    <row r="12306" spans="1:1" s="199" customFormat="1" ht="12" hidden="1" customHeight="1">
      <c r="A12306" s="198"/>
    </row>
    <row r="12307" spans="1:1" s="199" customFormat="1" ht="12" hidden="1" customHeight="1">
      <c r="A12307" s="198"/>
    </row>
    <row r="12308" spans="1:1" s="199" customFormat="1" ht="12" hidden="1" customHeight="1">
      <c r="A12308" s="198"/>
    </row>
    <row r="12309" spans="1:1" s="199" customFormat="1" ht="12" hidden="1" customHeight="1">
      <c r="A12309" s="198"/>
    </row>
    <row r="12310" spans="1:1" s="199" customFormat="1" ht="12" hidden="1" customHeight="1">
      <c r="A12310" s="198"/>
    </row>
    <row r="12311" spans="1:1" s="199" customFormat="1" ht="12" hidden="1" customHeight="1">
      <c r="A12311" s="198"/>
    </row>
    <row r="12312" spans="1:1" s="199" customFormat="1" ht="12" hidden="1" customHeight="1">
      <c r="A12312" s="198"/>
    </row>
    <row r="12313" spans="1:1" s="199" customFormat="1" ht="12" hidden="1" customHeight="1">
      <c r="A12313" s="198"/>
    </row>
    <row r="12314" spans="1:1" s="199" customFormat="1" ht="12" hidden="1" customHeight="1">
      <c r="A12314" s="198"/>
    </row>
    <row r="12315" spans="1:1" s="199" customFormat="1" ht="12" hidden="1" customHeight="1">
      <c r="A12315" s="198"/>
    </row>
    <row r="12316" spans="1:1" s="199" customFormat="1" ht="12" hidden="1" customHeight="1">
      <c r="A12316" s="198"/>
    </row>
    <row r="12317" spans="1:1" s="199" customFormat="1" ht="12" hidden="1" customHeight="1">
      <c r="A12317" s="198"/>
    </row>
    <row r="12318" spans="1:1" s="199" customFormat="1" ht="12" hidden="1" customHeight="1">
      <c r="A12318" s="198"/>
    </row>
    <row r="12319" spans="1:1" s="199" customFormat="1" ht="12" hidden="1" customHeight="1">
      <c r="A12319" s="198"/>
    </row>
    <row r="12320" spans="1:1" s="199" customFormat="1" ht="12" hidden="1" customHeight="1">
      <c r="A12320" s="198"/>
    </row>
    <row r="12321" spans="1:1" s="199" customFormat="1" ht="12" hidden="1" customHeight="1">
      <c r="A12321" s="198"/>
    </row>
    <row r="12322" spans="1:1" s="199" customFormat="1" ht="12" hidden="1" customHeight="1">
      <c r="A12322" s="198"/>
    </row>
    <row r="12323" spans="1:1" s="199" customFormat="1" ht="12" hidden="1" customHeight="1">
      <c r="A12323" s="198"/>
    </row>
    <row r="12324" spans="1:1" s="199" customFormat="1" ht="12" hidden="1" customHeight="1">
      <c r="A12324" s="198"/>
    </row>
    <row r="12325" spans="1:1" s="199" customFormat="1" ht="12" hidden="1" customHeight="1">
      <c r="A12325" s="198"/>
    </row>
    <row r="12326" spans="1:1" s="199" customFormat="1" ht="12" hidden="1" customHeight="1">
      <c r="A12326" s="198"/>
    </row>
    <row r="12327" spans="1:1" s="199" customFormat="1" ht="12" hidden="1" customHeight="1">
      <c r="A12327" s="198"/>
    </row>
    <row r="12328" spans="1:1" s="199" customFormat="1" ht="12" hidden="1" customHeight="1">
      <c r="A12328" s="198"/>
    </row>
    <row r="12329" spans="1:1" s="199" customFormat="1" ht="12" hidden="1" customHeight="1">
      <c r="A12329" s="198"/>
    </row>
    <row r="12330" spans="1:1" s="199" customFormat="1" ht="12" hidden="1" customHeight="1">
      <c r="A12330" s="198"/>
    </row>
    <row r="12331" spans="1:1" s="199" customFormat="1" ht="12" hidden="1" customHeight="1">
      <c r="A12331" s="198"/>
    </row>
    <row r="12332" spans="1:1" s="199" customFormat="1" ht="12" hidden="1" customHeight="1">
      <c r="A12332" s="198"/>
    </row>
    <row r="12333" spans="1:1" s="199" customFormat="1" ht="12" hidden="1" customHeight="1">
      <c r="A12333" s="198"/>
    </row>
    <row r="12334" spans="1:1" s="199" customFormat="1" ht="12" hidden="1" customHeight="1">
      <c r="A12334" s="198"/>
    </row>
    <row r="12335" spans="1:1" s="199" customFormat="1" ht="12" hidden="1" customHeight="1">
      <c r="A12335" s="198"/>
    </row>
    <row r="12336" spans="1:1" s="199" customFormat="1" ht="12" hidden="1" customHeight="1">
      <c r="A12336" s="198"/>
    </row>
    <row r="12337" spans="1:1" s="199" customFormat="1" ht="12" hidden="1" customHeight="1">
      <c r="A12337" s="198"/>
    </row>
    <row r="12338" spans="1:1" s="199" customFormat="1" ht="12" hidden="1" customHeight="1">
      <c r="A12338" s="198"/>
    </row>
    <row r="12339" spans="1:1" s="199" customFormat="1" ht="12" hidden="1" customHeight="1">
      <c r="A12339" s="198"/>
    </row>
    <row r="12340" spans="1:1" s="199" customFormat="1" ht="12" hidden="1" customHeight="1">
      <c r="A12340" s="198"/>
    </row>
    <row r="12341" spans="1:1" s="199" customFormat="1" ht="12" hidden="1" customHeight="1">
      <c r="A12341" s="198"/>
    </row>
    <row r="12342" spans="1:1" s="199" customFormat="1" ht="12" hidden="1" customHeight="1">
      <c r="A12342" s="198"/>
    </row>
    <row r="12343" spans="1:1" s="199" customFormat="1" ht="12" hidden="1" customHeight="1">
      <c r="A12343" s="198"/>
    </row>
    <row r="12344" spans="1:1" s="199" customFormat="1" ht="12" hidden="1" customHeight="1">
      <c r="A12344" s="198"/>
    </row>
    <row r="12345" spans="1:1" s="199" customFormat="1" ht="12" hidden="1" customHeight="1">
      <c r="A12345" s="198"/>
    </row>
    <row r="12346" spans="1:1" s="199" customFormat="1" ht="12" hidden="1" customHeight="1">
      <c r="A12346" s="198"/>
    </row>
    <row r="12347" spans="1:1" s="199" customFormat="1" ht="12" hidden="1" customHeight="1">
      <c r="A12347" s="198"/>
    </row>
    <row r="12348" spans="1:1" s="199" customFormat="1" ht="12" hidden="1" customHeight="1">
      <c r="A12348" s="198"/>
    </row>
    <row r="12349" spans="1:1" s="199" customFormat="1" ht="12" hidden="1" customHeight="1">
      <c r="A12349" s="198"/>
    </row>
    <row r="12350" spans="1:1" s="199" customFormat="1" ht="12" hidden="1" customHeight="1">
      <c r="A12350" s="198"/>
    </row>
    <row r="12351" spans="1:1" s="199" customFormat="1" ht="12" hidden="1" customHeight="1">
      <c r="A12351" s="198"/>
    </row>
    <row r="12352" spans="1:1" s="199" customFormat="1" ht="12" hidden="1" customHeight="1">
      <c r="A12352" s="198"/>
    </row>
    <row r="12353" spans="1:1" s="199" customFormat="1" ht="12" hidden="1" customHeight="1">
      <c r="A12353" s="198"/>
    </row>
    <row r="12354" spans="1:1" s="199" customFormat="1" ht="12" hidden="1" customHeight="1">
      <c r="A12354" s="198"/>
    </row>
    <row r="12355" spans="1:1" s="199" customFormat="1" ht="12" hidden="1" customHeight="1">
      <c r="A12355" s="198"/>
    </row>
    <row r="12356" spans="1:1" s="199" customFormat="1" ht="12" hidden="1" customHeight="1">
      <c r="A12356" s="198"/>
    </row>
    <row r="12357" spans="1:1" s="199" customFormat="1" ht="12" hidden="1" customHeight="1">
      <c r="A12357" s="198"/>
    </row>
    <row r="12358" spans="1:1" s="199" customFormat="1" ht="12" hidden="1" customHeight="1">
      <c r="A12358" s="198"/>
    </row>
    <row r="12359" spans="1:1" s="199" customFormat="1" ht="12" hidden="1" customHeight="1">
      <c r="A12359" s="198"/>
    </row>
    <row r="12360" spans="1:1" s="199" customFormat="1" ht="12" hidden="1" customHeight="1">
      <c r="A12360" s="198"/>
    </row>
    <row r="12361" spans="1:1" s="199" customFormat="1" ht="12" hidden="1" customHeight="1">
      <c r="A12361" s="198"/>
    </row>
    <row r="12362" spans="1:1" s="199" customFormat="1" ht="12" hidden="1" customHeight="1">
      <c r="A12362" s="198"/>
    </row>
    <row r="12363" spans="1:1" s="199" customFormat="1" ht="12" hidden="1" customHeight="1">
      <c r="A12363" s="198"/>
    </row>
    <row r="12364" spans="1:1" s="199" customFormat="1" ht="12" hidden="1" customHeight="1">
      <c r="A12364" s="198"/>
    </row>
    <row r="12365" spans="1:1" s="199" customFormat="1" ht="12" hidden="1" customHeight="1">
      <c r="A12365" s="198"/>
    </row>
    <row r="12366" spans="1:1" s="199" customFormat="1" ht="12" hidden="1" customHeight="1">
      <c r="A12366" s="198"/>
    </row>
    <row r="12367" spans="1:1" s="199" customFormat="1" ht="12" hidden="1" customHeight="1">
      <c r="A12367" s="198"/>
    </row>
    <row r="12368" spans="1:1" s="199" customFormat="1" ht="12" hidden="1" customHeight="1">
      <c r="A12368" s="198"/>
    </row>
    <row r="12369" spans="1:1" s="199" customFormat="1" ht="12" hidden="1" customHeight="1">
      <c r="A12369" s="198"/>
    </row>
    <row r="12370" spans="1:1" s="199" customFormat="1" ht="12" hidden="1" customHeight="1">
      <c r="A12370" s="198"/>
    </row>
    <row r="12371" spans="1:1" s="199" customFormat="1" ht="12" hidden="1" customHeight="1">
      <c r="A12371" s="198"/>
    </row>
    <row r="12372" spans="1:1" s="199" customFormat="1" ht="12" hidden="1" customHeight="1">
      <c r="A12372" s="198"/>
    </row>
    <row r="12373" spans="1:1" s="199" customFormat="1" ht="12" hidden="1" customHeight="1">
      <c r="A12373" s="198"/>
    </row>
    <row r="12374" spans="1:1" s="199" customFormat="1" ht="12" hidden="1" customHeight="1">
      <c r="A12374" s="198"/>
    </row>
    <row r="12375" spans="1:1" s="199" customFormat="1" ht="12" hidden="1" customHeight="1">
      <c r="A12375" s="198"/>
    </row>
    <row r="12376" spans="1:1" s="199" customFormat="1" ht="12" hidden="1" customHeight="1">
      <c r="A12376" s="198"/>
    </row>
    <row r="12377" spans="1:1" s="199" customFormat="1" ht="12" hidden="1" customHeight="1">
      <c r="A12377" s="198"/>
    </row>
    <row r="12378" spans="1:1" s="199" customFormat="1" ht="12" hidden="1" customHeight="1">
      <c r="A12378" s="198"/>
    </row>
    <row r="12379" spans="1:1" s="199" customFormat="1" ht="12" hidden="1" customHeight="1">
      <c r="A12379" s="198"/>
    </row>
    <row r="12380" spans="1:1" s="199" customFormat="1" ht="12" hidden="1" customHeight="1">
      <c r="A12380" s="198"/>
    </row>
    <row r="12381" spans="1:1" s="199" customFormat="1" ht="12" hidden="1" customHeight="1">
      <c r="A12381" s="198"/>
    </row>
    <row r="12382" spans="1:1" s="199" customFormat="1" ht="12" hidden="1" customHeight="1">
      <c r="A12382" s="198"/>
    </row>
    <row r="12383" spans="1:1" s="199" customFormat="1" ht="12" hidden="1" customHeight="1">
      <c r="A12383" s="198"/>
    </row>
    <row r="12384" spans="1:1" s="199" customFormat="1" ht="12" hidden="1" customHeight="1">
      <c r="A12384" s="198"/>
    </row>
    <row r="12385" spans="1:1" s="199" customFormat="1" ht="12" hidden="1" customHeight="1">
      <c r="A12385" s="198"/>
    </row>
    <row r="12386" spans="1:1" s="199" customFormat="1" ht="12" hidden="1" customHeight="1">
      <c r="A12386" s="198"/>
    </row>
    <row r="12387" spans="1:1" s="199" customFormat="1" ht="12" hidden="1" customHeight="1">
      <c r="A12387" s="198"/>
    </row>
    <row r="12388" spans="1:1" s="199" customFormat="1" ht="12" hidden="1" customHeight="1">
      <c r="A12388" s="198"/>
    </row>
    <row r="12389" spans="1:1" s="199" customFormat="1" ht="12" hidden="1" customHeight="1">
      <c r="A12389" s="198"/>
    </row>
    <row r="12390" spans="1:1" s="199" customFormat="1" ht="12" hidden="1" customHeight="1">
      <c r="A12390" s="198"/>
    </row>
    <row r="12391" spans="1:1" s="199" customFormat="1" ht="12" hidden="1" customHeight="1">
      <c r="A12391" s="198"/>
    </row>
    <row r="12392" spans="1:1" s="199" customFormat="1" ht="12" hidden="1" customHeight="1">
      <c r="A12392" s="198"/>
    </row>
    <row r="12393" spans="1:1" s="199" customFormat="1" ht="12" hidden="1" customHeight="1">
      <c r="A12393" s="198"/>
    </row>
    <row r="12394" spans="1:1" s="199" customFormat="1" ht="12" hidden="1" customHeight="1">
      <c r="A12394" s="198"/>
    </row>
    <row r="12395" spans="1:1" s="199" customFormat="1" ht="12" hidden="1" customHeight="1">
      <c r="A12395" s="198"/>
    </row>
    <row r="12396" spans="1:1" s="199" customFormat="1" ht="12" hidden="1" customHeight="1">
      <c r="A12396" s="198"/>
    </row>
    <row r="12397" spans="1:1" s="199" customFormat="1" ht="12" hidden="1" customHeight="1">
      <c r="A12397" s="198"/>
    </row>
    <row r="12398" spans="1:1" s="199" customFormat="1" ht="12" hidden="1" customHeight="1">
      <c r="A12398" s="198"/>
    </row>
    <row r="12399" spans="1:1" s="199" customFormat="1" ht="12" hidden="1" customHeight="1">
      <c r="A12399" s="198"/>
    </row>
    <row r="12400" spans="1:1" s="199" customFormat="1" ht="12" hidden="1" customHeight="1">
      <c r="A12400" s="198"/>
    </row>
    <row r="12401" spans="1:1" s="199" customFormat="1" ht="12" hidden="1" customHeight="1">
      <c r="A12401" s="198"/>
    </row>
    <row r="12402" spans="1:1" s="199" customFormat="1" ht="12" hidden="1" customHeight="1">
      <c r="A12402" s="198"/>
    </row>
    <row r="12403" spans="1:1" s="199" customFormat="1" ht="12" hidden="1" customHeight="1">
      <c r="A12403" s="198"/>
    </row>
    <row r="12404" spans="1:1" s="199" customFormat="1" ht="12" hidden="1" customHeight="1">
      <c r="A12404" s="198"/>
    </row>
    <row r="12405" spans="1:1" s="199" customFormat="1" ht="12" hidden="1" customHeight="1">
      <c r="A12405" s="198"/>
    </row>
    <row r="12406" spans="1:1" s="199" customFormat="1" ht="12" hidden="1" customHeight="1">
      <c r="A12406" s="198"/>
    </row>
    <row r="12407" spans="1:1" s="199" customFormat="1" ht="12" hidden="1" customHeight="1">
      <c r="A12407" s="198"/>
    </row>
    <row r="12408" spans="1:1" s="199" customFormat="1" ht="12" hidden="1" customHeight="1">
      <c r="A12408" s="198"/>
    </row>
    <row r="12409" spans="1:1" s="199" customFormat="1" ht="12" hidden="1" customHeight="1">
      <c r="A12409" s="198"/>
    </row>
    <row r="12410" spans="1:1" s="199" customFormat="1" ht="12" hidden="1" customHeight="1">
      <c r="A12410" s="198"/>
    </row>
    <row r="12411" spans="1:1" s="199" customFormat="1" ht="12" hidden="1" customHeight="1">
      <c r="A12411" s="198"/>
    </row>
    <row r="12412" spans="1:1" s="199" customFormat="1" ht="12" hidden="1" customHeight="1">
      <c r="A12412" s="198"/>
    </row>
    <row r="12413" spans="1:1" s="199" customFormat="1" ht="12" hidden="1" customHeight="1">
      <c r="A12413" s="198"/>
    </row>
    <row r="12414" spans="1:1" s="199" customFormat="1" ht="12" hidden="1" customHeight="1">
      <c r="A12414" s="198"/>
    </row>
    <row r="12415" spans="1:1" s="199" customFormat="1" ht="12" hidden="1" customHeight="1">
      <c r="A12415" s="198"/>
    </row>
    <row r="12416" spans="1:1" s="199" customFormat="1" ht="12" hidden="1" customHeight="1">
      <c r="A12416" s="198"/>
    </row>
    <row r="12417" spans="1:1" s="199" customFormat="1" ht="12" hidden="1" customHeight="1">
      <c r="A12417" s="198"/>
    </row>
    <row r="12418" spans="1:1" s="199" customFormat="1" ht="12" hidden="1" customHeight="1">
      <c r="A12418" s="198"/>
    </row>
    <row r="12419" spans="1:1" s="199" customFormat="1" ht="12" hidden="1" customHeight="1">
      <c r="A12419" s="198"/>
    </row>
    <row r="12420" spans="1:1" s="199" customFormat="1" ht="12" hidden="1" customHeight="1">
      <c r="A12420" s="198"/>
    </row>
    <row r="12421" spans="1:1" s="199" customFormat="1" ht="12" hidden="1" customHeight="1">
      <c r="A12421" s="198"/>
    </row>
    <row r="12422" spans="1:1" s="199" customFormat="1" ht="12" hidden="1" customHeight="1">
      <c r="A12422" s="198"/>
    </row>
    <row r="12423" spans="1:1" s="199" customFormat="1" ht="12" hidden="1" customHeight="1">
      <c r="A12423" s="198"/>
    </row>
    <row r="12424" spans="1:1" s="199" customFormat="1" ht="12" hidden="1" customHeight="1">
      <c r="A12424" s="198"/>
    </row>
    <row r="12425" spans="1:1" s="199" customFormat="1" ht="12" hidden="1" customHeight="1">
      <c r="A12425" s="198"/>
    </row>
    <row r="12426" spans="1:1" s="199" customFormat="1" ht="12" hidden="1" customHeight="1">
      <c r="A12426" s="198"/>
    </row>
    <row r="12427" spans="1:1" s="199" customFormat="1" ht="12" hidden="1" customHeight="1">
      <c r="A12427" s="198"/>
    </row>
    <row r="12428" spans="1:1" s="199" customFormat="1" ht="12" hidden="1" customHeight="1">
      <c r="A12428" s="198"/>
    </row>
    <row r="12429" spans="1:1" s="199" customFormat="1" ht="12" hidden="1" customHeight="1">
      <c r="A12429" s="198"/>
    </row>
    <row r="12430" spans="1:1" s="199" customFormat="1" ht="12" hidden="1" customHeight="1">
      <c r="A12430" s="198"/>
    </row>
    <row r="12431" spans="1:1" s="199" customFormat="1" ht="12" hidden="1" customHeight="1">
      <c r="A12431" s="198"/>
    </row>
    <row r="12432" spans="1:1" s="199" customFormat="1" ht="12" hidden="1" customHeight="1">
      <c r="A12432" s="198"/>
    </row>
    <row r="12433" spans="1:1" s="199" customFormat="1" ht="12" hidden="1" customHeight="1">
      <c r="A12433" s="198"/>
    </row>
    <row r="12434" spans="1:1" s="199" customFormat="1" ht="12" hidden="1" customHeight="1">
      <c r="A12434" s="198"/>
    </row>
    <row r="12435" spans="1:1" s="199" customFormat="1" ht="12" hidden="1" customHeight="1">
      <c r="A12435" s="198"/>
    </row>
    <row r="12436" spans="1:1" s="199" customFormat="1" ht="12" hidden="1" customHeight="1">
      <c r="A12436" s="198"/>
    </row>
    <row r="12437" spans="1:1" s="199" customFormat="1" ht="12" hidden="1" customHeight="1">
      <c r="A12437" s="198"/>
    </row>
    <row r="12438" spans="1:1" s="199" customFormat="1" ht="12" hidden="1" customHeight="1">
      <c r="A12438" s="198"/>
    </row>
    <row r="12439" spans="1:1" s="199" customFormat="1" ht="12" hidden="1" customHeight="1">
      <c r="A12439" s="198"/>
    </row>
    <row r="12440" spans="1:1" s="199" customFormat="1" ht="12" hidden="1" customHeight="1">
      <c r="A12440" s="198"/>
    </row>
    <row r="12441" spans="1:1" s="199" customFormat="1" ht="12" hidden="1" customHeight="1">
      <c r="A12441" s="198"/>
    </row>
    <row r="12442" spans="1:1" s="199" customFormat="1" ht="12" hidden="1" customHeight="1">
      <c r="A12442" s="198"/>
    </row>
    <row r="12443" spans="1:1" s="199" customFormat="1" ht="12" hidden="1" customHeight="1">
      <c r="A12443" s="198"/>
    </row>
    <row r="12444" spans="1:1" s="199" customFormat="1" ht="12" hidden="1" customHeight="1">
      <c r="A12444" s="198"/>
    </row>
    <row r="12445" spans="1:1" s="199" customFormat="1" ht="12" hidden="1" customHeight="1">
      <c r="A12445" s="198"/>
    </row>
    <row r="12446" spans="1:1" s="199" customFormat="1" ht="12" hidden="1" customHeight="1">
      <c r="A12446" s="198"/>
    </row>
    <row r="12447" spans="1:1" s="199" customFormat="1" ht="12" hidden="1" customHeight="1">
      <c r="A12447" s="198"/>
    </row>
    <row r="12448" spans="1:1" s="199" customFormat="1" ht="12" hidden="1" customHeight="1">
      <c r="A12448" s="198"/>
    </row>
    <row r="12449" spans="1:1" s="199" customFormat="1" ht="12" hidden="1" customHeight="1">
      <c r="A12449" s="198"/>
    </row>
    <row r="12450" spans="1:1" s="199" customFormat="1" ht="12" hidden="1" customHeight="1">
      <c r="A12450" s="198"/>
    </row>
    <row r="12451" spans="1:1" s="199" customFormat="1" ht="12" hidden="1" customHeight="1">
      <c r="A12451" s="198"/>
    </row>
    <row r="12452" spans="1:1" s="199" customFormat="1" ht="12" hidden="1" customHeight="1">
      <c r="A12452" s="198"/>
    </row>
    <row r="12453" spans="1:1" s="199" customFormat="1" ht="12" hidden="1" customHeight="1">
      <c r="A12453" s="198"/>
    </row>
    <row r="12454" spans="1:1" s="199" customFormat="1" ht="12" hidden="1" customHeight="1">
      <c r="A12454" s="198"/>
    </row>
    <row r="12455" spans="1:1" s="199" customFormat="1" ht="12" hidden="1" customHeight="1">
      <c r="A12455" s="198"/>
    </row>
    <row r="12456" spans="1:1" s="199" customFormat="1" ht="12" hidden="1" customHeight="1">
      <c r="A12456" s="198"/>
    </row>
    <row r="12457" spans="1:1" s="199" customFormat="1" ht="12" hidden="1" customHeight="1">
      <c r="A12457" s="198"/>
    </row>
    <row r="12458" spans="1:1" s="199" customFormat="1" ht="12" hidden="1" customHeight="1">
      <c r="A12458" s="198"/>
    </row>
    <row r="12459" spans="1:1" s="199" customFormat="1" ht="12" hidden="1" customHeight="1">
      <c r="A12459" s="198"/>
    </row>
    <row r="12460" spans="1:1" s="199" customFormat="1" ht="12" hidden="1" customHeight="1">
      <c r="A12460" s="198"/>
    </row>
    <row r="12461" spans="1:1" s="199" customFormat="1" ht="12" hidden="1" customHeight="1">
      <c r="A12461" s="198"/>
    </row>
    <row r="12462" spans="1:1" s="199" customFormat="1" ht="12" hidden="1" customHeight="1">
      <c r="A12462" s="198"/>
    </row>
    <row r="12463" spans="1:1" s="199" customFormat="1" ht="12" hidden="1" customHeight="1">
      <c r="A12463" s="198"/>
    </row>
    <row r="12464" spans="1:1" s="199" customFormat="1" ht="12" hidden="1" customHeight="1">
      <c r="A12464" s="198"/>
    </row>
    <row r="12465" spans="1:1" s="199" customFormat="1" ht="12" hidden="1" customHeight="1">
      <c r="A12465" s="198"/>
    </row>
    <row r="12466" spans="1:1" s="199" customFormat="1" ht="12" hidden="1" customHeight="1">
      <c r="A12466" s="198"/>
    </row>
    <row r="12467" spans="1:1" s="199" customFormat="1" ht="12" hidden="1" customHeight="1">
      <c r="A12467" s="198"/>
    </row>
    <row r="12468" spans="1:1" s="199" customFormat="1" ht="12" hidden="1" customHeight="1">
      <c r="A12468" s="198"/>
    </row>
    <row r="12469" spans="1:1" s="199" customFormat="1" ht="12" hidden="1" customHeight="1">
      <c r="A12469" s="198"/>
    </row>
    <row r="12470" spans="1:1" s="199" customFormat="1" ht="12" hidden="1" customHeight="1">
      <c r="A12470" s="198"/>
    </row>
    <row r="12471" spans="1:1" s="199" customFormat="1" ht="12" hidden="1" customHeight="1">
      <c r="A12471" s="198"/>
    </row>
    <row r="12472" spans="1:1" s="199" customFormat="1" ht="12" hidden="1" customHeight="1">
      <c r="A12472" s="198"/>
    </row>
    <row r="12473" spans="1:1" s="199" customFormat="1" ht="12" hidden="1" customHeight="1">
      <c r="A12473" s="198"/>
    </row>
    <row r="12474" spans="1:1" s="199" customFormat="1" ht="12" hidden="1" customHeight="1">
      <c r="A12474" s="198"/>
    </row>
    <row r="12475" spans="1:1" s="199" customFormat="1" ht="12" hidden="1" customHeight="1">
      <c r="A12475" s="198"/>
    </row>
    <row r="12476" spans="1:1" s="199" customFormat="1" ht="12" hidden="1" customHeight="1">
      <c r="A12476" s="198"/>
    </row>
    <row r="12477" spans="1:1" s="199" customFormat="1" ht="12" hidden="1" customHeight="1">
      <c r="A12477" s="198"/>
    </row>
    <row r="12478" spans="1:1" s="199" customFormat="1" ht="12" hidden="1" customHeight="1">
      <c r="A12478" s="198"/>
    </row>
    <row r="12479" spans="1:1" s="199" customFormat="1" ht="12" hidden="1" customHeight="1">
      <c r="A12479" s="198"/>
    </row>
    <row r="12480" spans="1:1" s="199" customFormat="1" ht="12" hidden="1" customHeight="1">
      <c r="A12480" s="198"/>
    </row>
    <row r="12481" spans="1:1" s="199" customFormat="1" ht="12" hidden="1" customHeight="1">
      <c r="A12481" s="198"/>
    </row>
    <row r="12482" spans="1:1" s="199" customFormat="1" ht="12" hidden="1" customHeight="1">
      <c r="A12482" s="198"/>
    </row>
    <row r="12483" spans="1:1" s="199" customFormat="1" ht="12" hidden="1" customHeight="1">
      <c r="A12483" s="198"/>
    </row>
    <row r="12484" spans="1:1" s="199" customFormat="1" ht="12" hidden="1" customHeight="1">
      <c r="A12484" s="198"/>
    </row>
    <row r="12485" spans="1:1" s="199" customFormat="1" ht="12" hidden="1" customHeight="1">
      <c r="A12485" s="198"/>
    </row>
    <row r="12486" spans="1:1" s="199" customFormat="1" ht="12" hidden="1" customHeight="1">
      <c r="A12486" s="198"/>
    </row>
    <row r="12487" spans="1:1" s="199" customFormat="1" ht="12" hidden="1" customHeight="1">
      <c r="A12487" s="198"/>
    </row>
    <row r="12488" spans="1:1" s="199" customFormat="1" ht="12" hidden="1" customHeight="1">
      <c r="A12488" s="198"/>
    </row>
    <row r="12489" spans="1:1" s="199" customFormat="1" ht="12" hidden="1" customHeight="1">
      <c r="A12489" s="198"/>
    </row>
    <row r="12490" spans="1:1" s="199" customFormat="1" ht="12" hidden="1" customHeight="1">
      <c r="A12490" s="198"/>
    </row>
    <row r="12491" spans="1:1" s="199" customFormat="1" ht="12" hidden="1" customHeight="1">
      <c r="A12491" s="198"/>
    </row>
    <row r="12492" spans="1:1" s="199" customFormat="1" ht="12" hidden="1" customHeight="1">
      <c r="A12492" s="198"/>
    </row>
    <row r="12493" spans="1:1" s="199" customFormat="1" ht="12" hidden="1" customHeight="1">
      <c r="A12493" s="198"/>
    </row>
    <row r="12494" spans="1:1" s="199" customFormat="1" ht="12" hidden="1" customHeight="1">
      <c r="A12494" s="198"/>
    </row>
    <row r="12495" spans="1:1" s="199" customFormat="1" ht="12" hidden="1" customHeight="1">
      <c r="A12495" s="198"/>
    </row>
    <row r="12496" spans="1:1" s="199" customFormat="1" ht="12" hidden="1" customHeight="1">
      <c r="A12496" s="198"/>
    </row>
    <row r="12497" spans="1:1" s="199" customFormat="1" ht="12" hidden="1" customHeight="1">
      <c r="A12497" s="198"/>
    </row>
    <row r="12498" spans="1:1" s="199" customFormat="1" ht="12" hidden="1" customHeight="1">
      <c r="A12498" s="198"/>
    </row>
    <row r="12499" spans="1:1" s="199" customFormat="1" ht="12" hidden="1" customHeight="1">
      <c r="A12499" s="198"/>
    </row>
    <row r="12500" spans="1:1" s="199" customFormat="1" ht="12" hidden="1" customHeight="1">
      <c r="A12500" s="198"/>
    </row>
    <row r="12501" spans="1:1" s="199" customFormat="1" ht="12" hidden="1" customHeight="1">
      <c r="A12501" s="198"/>
    </row>
    <row r="12502" spans="1:1" s="199" customFormat="1" ht="12" hidden="1" customHeight="1">
      <c r="A12502" s="198"/>
    </row>
    <row r="12503" spans="1:1" s="199" customFormat="1" ht="12" hidden="1" customHeight="1">
      <c r="A12503" s="198"/>
    </row>
    <row r="12504" spans="1:1" s="199" customFormat="1" ht="12" hidden="1" customHeight="1">
      <c r="A12504" s="198"/>
    </row>
    <row r="12505" spans="1:1" s="199" customFormat="1" ht="12" hidden="1" customHeight="1">
      <c r="A12505" s="198"/>
    </row>
    <row r="12506" spans="1:1" s="199" customFormat="1" ht="12" hidden="1" customHeight="1">
      <c r="A12506" s="198"/>
    </row>
    <row r="12507" spans="1:1" s="199" customFormat="1" ht="12" hidden="1" customHeight="1">
      <c r="A12507" s="198"/>
    </row>
    <row r="12508" spans="1:1" s="199" customFormat="1" ht="12" hidden="1" customHeight="1">
      <c r="A12508" s="198"/>
    </row>
    <row r="12509" spans="1:1" s="199" customFormat="1" ht="12" hidden="1" customHeight="1">
      <c r="A12509" s="198"/>
    </row>
    <row r="12510" spans="1:1" s="199" customFormat="1" ht="12" hidden="1" customHeight="1">
      <c r="A12510" s="198"/>
    </row>
    <row r="12511" spans="1:1" s="199" customFormat="1" ht="12" hidden="1" customHeight="1">
      <c r="A12511" s="198"/>
    </row>
    <row r="12512" spans="1:1" s="199" customFormat="1" ht="12" hidden="1" customHeight="1">
      <c r="A12512" s="198"/>
    </row>
    <row r="12513" spans="1:1" s="199" customFormat="1" ht="12" hidden="1" customHeight="1">
      <c r="A12513" s="198"/>
    </row>
    <row r="12514" spans="1:1" s="199" customFormat="1" ht="12" hidden="1" customHeight="1">
      <c r="A12514" s="198"/>
    </row>
    <row r="12515" spans="1:1" s="199" customFormat="1" ht="12" hidden="1" customHeight="1">
      <c r="A12515" s="198"/>
    </row>
    <row r="12516" spans="1:1" s="199" customFormat="1" ht="12" hidden="1" customHeight="1">
      <c r="A12516" s="198"/>
    </row>
    <row r="12517" spans="1:1" s="199" customFormat="1" ht="12" hidden="1" customHeight="1">
      <c r="A12517" s="198"/>
    </row>
    <row r="12518" spans="1:1" s="199" customFormat="1" ht="12" hidden="1" customHeight="1">
      <c r="A12518" s="198"/>
    </row>
    <row r="12519" spans="1:1" s="199" customFormat="1" ht="12" hidden="1" customHeight="1">
      <c r="A12519" s="198"/>
    </row>
    <row r="12520" spans="1:1" s="199" customFormat="1" ht="12" hidden="1" customHeight="1">
      <c r="A12520" s="198"/>
    </row>
    <row r="12521" spans="1:1" s="199" customFormat="1" ht="12" hidden="1" customHeight="1">
      <c r="A12521" s="198"/>
    </row>
    <row r="12522" spans="1:1" s="199" customFormat="1" ht="12" hidden="1" customHeight="1">
      <c r="A12522" s="198"/>
    </row>
    <row r="12523" spans="1:1" s="199" customFormat="1" ht="12" hidden="1" customHeight="1">
      <c r="A12523" s="198"/>
    </row>
    <row r="12524" spans="1:1" s="199" customFormat="1" ht="12" hidden="1" customHeight="1">
      <c r="A12524" s="198"/>
    </row>
    <row r="12525" spans="1:1" s="199" customFormat="1" ht="12" hidden="1" customHeight="1">
      <c r="A12525" s="198"/>
    </row>
    <row r="12526" spans="1:1" s="199" customFormat="1" ht="12" hidden="1" customHeight="1">
      <c r="A12526" s="198"/>
    </row>
    <row r="12527" spans="1:1" s="199" customFormat="1" ht="12" hidden="1" customHeight="1">
      <c r="A12527" s="198"/>
    </row>
    <row r="12528" spans="1:1" s="199" customFormat="1" ht="12" hidden="1" customHeight="1">
      <c r="A12528" s="198"/>
    </row>
    <row r="12529" spans="1:1" s="199" customFormat="1" ht="12" hidden="1" customHeight="1">
      <c r="A12529" s="198"/>
    </row>
    <row r="12530" spans="1:1" s="199" customFormat="1" ht="12" hidden="1" customHeight="1">
      <c r="A12530" s="198"/>
    </row>
    <row r="12531" spans="1:1" s="199" customFormat="1" ht="12" hidden="1" customHeight="1">
      <c r="A12531" s="198"/>
    </row>
    <row r="12532" spans="1:1" s="199" customFormat="1" ht="12" hidden="1" customHeight="1">
      <c r="A12532" s="198"/>
    </row>
    <row r="12533" spans="1:1" s="199" customFormat="1" ht="12" hidden="1" customHeight="1">
      <c r="A12533" s="198"/>
    </row>
    <row r="12534" spans="1:1" s="199" customFormat="1" ht="12" hidden="1" customHeight="1">
      <c r="A12534" s="198"/>
    </row>
    <row r="12535" spans="1:1" s="199" customFormat="1" ht="12" hidden="1" customHeight="1">
      <c r="A12535" s="198"/>
    </row>
    <row r="12536" spans="1:1" s="199" customFormat="1" ht="12" hidden="1" customHeight="1">
      <c r="A12536" s="198"/>
    </row>
    <row r="12537" spans="1:1" s="199" customFormat="1" ht="12" hidden="1" customHeight="1">
      <c r="A12537" s="198"/>
    </row>
    <row r="12538" spans="1:1" s="199" customFormat="1" ht="12" hidden="1" customHeight="1">
      <c r="A12538" s="198"/>
    </row>
    <row r="12539" spans="1:1" s="199" customFormat="1" ht="12" hidden="1" customHeight="1">
      <c r="A12539" s="198"/>
    </row>
    <row r="12540" spans="1:1" s="199" customFormat="1" ht="12" hidden="1" customHeight="1">
      <c r="A12540" s="198"/>
    </row>
    <row r="12541" spans="1:1" s="199" customFormat="1" ht="12" hidden="1" customHeight="1">
      <c r="A12541" s="198"/>
    </row>
    <row r="12542" spans="1:1" s="199" customFormat="1" ht="12" hidden="1" customHeight="1">
      <c r="A12542" s="198"/>
    </row>
    <row r="12543" spans="1:1" s="199" customFormat="1" ht="12" hidden="1" customHeight="1">
      <c r="A12543" s="198"/>
    </row>
    <row r="12544" spans="1:1" s="199" customFormat="1" ht="12" hidden="1" customHeight="1">
      <c r="A12544" s="198"/>
    </row>
    <row r="12545" spans="1:1" s="199" customFormat="1" ht="12" hidden="1" customHeight="1">
      <c r="A12545" s="198"/>
    </row>
    <row r="12546" spans="1:1" s="199" customFormat="1" ht="12" hidden="1" customHeight="1">
      <c r="A12546" s="198"/>
    </row>
    <row r="12547" spans="1:1" s="199" customFormat="1" ht="12" hidden="1" customHeight="1">
      <c r="A12547" s="198"/>
    </row>
    <row r="12548" spans="1:1" s="199" customFormat="1" ht="12" hidden="1" customHeight="1">
      <c r="A12548" s="198"/>
    </row>
    <row r="12549" spans="1:1" s="199" customFormat="1" ht="12" hidden="1" customHeight="1">
      <c r="A12549" s="198"/>
    </row>
    <row r="12550" spans="1:1" s="199" customFormat="1" ht="12" hidden="1" customHeight="1">
      <c r="A12550" s="198"/>
    </row>
    <row r="12551" spans="1:1" s="199" customFormat="1" ht="12" hidden="1" customHeight="1">
      <c r="A12551" s="198"/>
    </row>
    <row r="12552" spans="1:1" s="199" customFormat="1" ht="12" hidden="1" customHeight="1">
      <c r="A12552" s="198"/>
    </row>
    <row r="12553" spans="1:1" s="199" customFormat="1" ht="12" hidden="1" customHeight="1">
      <c r="A12553" s="198"/>
    </row>
    <row r="12554" spans="1:1" s="199" customFormat="1" ht="12" hidden="1" customHeight="1">
      <c r="A12554" s="198"/>
    </row>
    <row r="12555" spans="1:1" s="199" customFormat="1" ht="12" hidden="1" customHeight="1">
      <c r="A12555" s="198"/>
    </row>
    <row r="12556" spans="1:1" s="199" customFormat="1" ht="12" hidden="1" customHeight="1">
      <c r="A12556" s="198"/>
    </row>
    <row r="12557" spans="1:1" s="199" customFormat="1" ht="12" hidden="1" customHeight="1">
      <c r="A12557" s="198"/>
    </row>
    <row r="12558" spans="1:1" s="199" customFormat="1" ht="12" hidden="1" customHeight="1">
      <c r="A12558" s="198"/>
    </row>
    <row r="12559" spans="1:1" s="199" customFormat="1" ht="12" hidden="1" customHeight="1">
      <c r="A12559" s="198"/>
    </row>
    <row r="12560" spans="1:1" s="199" customFormat="1" ht="12" hidden="1" customHeight="1">
      <c r="A12560" s="198"/>
    </row>
    <row r="12561" spans="1:1" s="199" customFormat="1" ht="12" hidden="1" customHeight="1">
      <c r="A12561" s="198"/>
    </row>
    <row r="12562" spans="1:1" s="199" customFormat="1" ht="12" hidden="1" customHeight="1">
      <c r="A12562" s="198"/>
    </row>
    <row r="12563" spans="1:1" s="199" customFormat="1" ht="12" hidden="1" customHeight="1">
      <c r="A12563" s="198"/>
    </row>
    <row r="12564" spans="1:1" s="199" customFormat="1" ht="12" hidden="1" customHeight="1">
      <c r="A12564" s="198"/>
    </row>
    <row r="12565" spans="1:1" s="199" customFormat="1" ht="12" hidden="1" customHeight="1">
      <c r="A12565" s="198"/>
    </row>
    <row r="12566" spans="1:1" s="199" customFormat="1" ht="12" hidden="1" customHeight="1">
      <c r="A12566" s="198"/>
    </row>
    <row r="12567" spans="1:1" s="199" customFormat="1" ht="12" hidden="1" customHeight="1">
      <c r="A12567" s="198"/>
    </row>
    <row r="12568" spans="1:1" s="199" customFormat="1" ht="12" hidden="1" customHeight="1">
      <c r="A12568" s="198"/>
    </row>
    <row r="12569" spans="1:1" s="199" customFormat="1" ht="12" hidden="1" customHeight="1">
      <c r="A12569" s="198"/>
    </row>
    <row r="12570" spans="1:1" s="199" customFormat="1" ht="12" hidden="1" customHeight="1">
      <c r="A12570" s="198"/>
    </row>
    <row r="12571" spans="1:1" s="199" customFormat="1" ht="12" hidden="1" customHeight="1">
      <c r="A12571" s="198"/>
    </row>
    <row r="12572" spans="1:1" s="199" customFormat="1" ht="12" hidden="1" customHeight="1">
      <c r="A12572" s="198"/>
    </row>
    <row r="12573" spans="1:1" s="199" customFormat="1" ht="12" hidden="1" customHeight="1">
      <c r="A12573" s="198"/>
    </row>
    <row r="12574" spans="1:1" s="199" customFormat="1" ht="12" hidden="1" customHeight="1">
      <c r="A12574" s="198"/>
    </row>
    <row r="12575" spans="1:1" s="199" customFormat="1" ht="12" hidden="1" customHeight="1">
      <c r="A12575" s="198"/>
    </row>
    <row r="12576" spans="1:1" s="199" customFormat="1" ht="12" hidden="1" customHeight="1">
      <c r="A12576" s="198"/>
    </row>
    <row r="12577" spans="1:1" s="199" customFormat="1" ht="12" hidden="1" customHeight="1">
      <c r="A12577" s="198"/>
    </row>
    <row r="12578" spans="1:1" s="199" customFormat="1" ht="12" hidden="1" customHeight="1">
      <c r="A12578" s="198"/>
    </row>
    <row r="12579" spans="1:1" s="199" customFormat="1" ht="12" hidden="1" customHeight="1">
      <c r="A12579" s="198"/>
    </row>
    <row r="12580" spans="1:1" s="199" customFormat="1" ht="12" hidden="1" customHeight="1">
      <c r="A12580" s="198"/>
    </row>
    <row r="12581" spans="1:1" s="199" customFormat="1" ht="12" hidden="1" customHeight="1">
      <c r="A12581" s="198"/>
    </row>
    <row r="12582" spans="1:1" s="199" customFormat="1" ht="12" hidden="1" customHeight="1">
      <c r="A12582" s="198"/>
    </row>
    <row r="12583" spans="1:1" s="199" customFormat="1" ht="12" hidden="1" customHeight="1">
      <c r="A12583" s="198"/>
    </row>
    <row r="12584" spans="1:1" s="199" customFormat="1" ht="12" hidden="1" customHeight="1">
      <c r="A12584" s="198"/>
    </row>
    <row r="12585" spans="1:1" s="199" customFormat="1" ht="12" hidden="1" customHeight="1">
      <c r="A12585" s="198"/>
    </row>
    <row r="12586" spans="1:1" s="199" customFormat="1" ht="12" hidden="1" customHeight="1">
      <c r="A12586" s="198"/>
    </row>
    <row r="12587" spans="1:1" s="199" customFormat="1" ht="12" hidden="1" customHeight="1">
      <c r="A12587" s="198"/>
    </row>
    <row r="12588" spans="1:1" s="199" customFormat="1" ht="12" hidden="1" customHeight="1">
      <c r="A12588" s="198"/>
    </row>
    <row r="12589" spans="1:1" s="199" customFormat="1" ht="12" hidden="1" customHeight="1">
      <c r="A12589" s="198"/>
    </row>
    <row r="12590" spans="1:1" s="199" customFormat="1" ht="12" hidden="1" customHeight="1">
      <c r="A12590" s="198"/>
    </row>
    <row r="12591" spans="1:1" s="199" customFormat="1" ht="12" hidden="1" customHeight="1">
      <c r="A12591" s="198"/>
    </row>
    <row r="12592" spans="1:1" s="199" customFormat="1" ht="12" hidden="1" customHeight="1">
      <c r="A12592" s="198"/>
    </row>
    <row r="12593" spans="1:1" s="199" customFormat="1" ht="12" hidden="1" customHeight="1">
      <c r="A12593" s="198"/>
    </row>
    <row r="12594" spans="1:1" s="199" customFormat="1" ht="12" hidden="1" customHeight="1">
      <c r="A12594" s="198"/>
    </row>
    <row r="12595" spans="1:1" s="199" customFormat="1" ht="12" hidden="1" customHeight="1">
      <c r="A12595" s="198"/>
    </row>
    <row r="12596" spans="1:1" s="199" customFormat="1" ht="12" hidden="1" customHeight="1">
      <c r="A12596" s="198"/>
    </row>
    <row r="12597" spans="1:1" s="199" customFormat="1" ht="12" hidden="1" customHeight="1">
      <c r="A12597" s="198"/>
    </row>
    <row r="12598" spans="1:1" s="199" customFormat="1" ht="12" hidden="1" customHeight="1">
      <c r="A12598" s="198"/>
    </row>
    <row r="12599" spans="1:1" s="199" customFormat="1" ht="12" hidden="1" customHeight="1">
      <c r="A12599" s="198"/>
    </row>
    <row r="12600" spans="1:1" s="199" customFormat="1" ht="12" hidden="1" customHeight="1">
      <c r="A12600" s="198"/>
    </row>
    <row r="12601" spans="1:1" s="199" customFormat="1" ht="12" hidden="1" customHeight="1">
      <c r="A12601" s="198"/>
    </row>
    <row r="12602" spans="1:1" s="199" customFormat="1" ht="12" hidden="1" customHeight="1">
      <c r="A12602" s="198"/>
    </row>
    <row r="12603" spans="1:1" s="199" customFormat="1" ht="12" hidden="1" customHeight="1">
      <c r="A12603" s="198"/>
    </row>
    <row r="12604" spans="1:1" s="199" customFormat="1" ht="12" hidden="1" customHeight="1">
      <c r="A12604" s="198"/>
    </row>
    <row r="12605" spans="1:1" s="199" customFormat="1" ht="12" hidden="1" customHeight="1">
      <c r="A12605" s="198"/>
    </row>
    <row r="12606" spans="1:1" s="199" customFormat="1" ht="12" hidden="1" customHeight="1">
      <c r="A12606" s="198"/>
    </row>
    <row r="12607" spans="1:1" s="199" customFormat="1" ht="12" hidden="1" customHeight="1">
      <c r="A12607" s="198"/>
    </row>
    <row r="12608" spans="1:1" s="199" customFormat="1" ht="12" hidden="1" customHeight="1">
      <c r="A12608" s="198"/>
    </row>
    <row r="12609" spans="1:1" s="199" customFormat="1" ht="12" hidden="1" customHeight="1">
      <c r="A12609" s="198"/>
    </row>
    <row r="12610" spans="1:1" s="199" customFormat="1" ht="12" hidden="1" customHeight="1">
      <c r="A12610" s="198"/>
    </row>
    <row r="12611" spans="1:1" s="199" customFormat="1" ht="12" hidden="1" customHeight="1">
      <c r="A12611" s="198"/>
    </row>
    <row r="12612" spans="1:1" s="199" customFormat="1" ht="12" hidden="1" customHeight="1">
      <c r="A12612" s="198"/>
    </row>
    <row r="12613" spans="1:1" s="199" customFormat="1" ht="12" hidden="1" customHeight="1">
      <c r="A12613" s="198"/>
    </row>
    <row r="12614" spans="1:1" s="199" customFormat="1" ht="12" hidden="1" customHeight="1">
      <c r="A12614" s="198"/>
    </row>
    <row r="12615" spans="1:1" s="199" customFormat="1" ht="12" hidden="1" customHeight="1">
      <c r="A12615" s="198"/>
    </row>
    <row r="12616" spans="1:1" s="199" customFormat="1" ht="12" hidden="1" customHeight="1">
      <c r="A12616" s="198"/>
    </row>
    <row r="12617" spans="1:1" s="199" customFormat="1" ht="12" hidden="1" customHeight="1">
      <c r="A12617" s="198"/>
    </row>
    <row r="12618" spans="1:1" s="199" customFormat="1" ht="12" hidden="1" customHeight="1">
      <c r="A12618" s="198"/>
    </row>
    <row r="12619" spans="1:1" s="199" customFormat="1" ht="12" hidden="1" customHeight="1">
      <c r="A12619" s="198"/>
    </row>
    <row r="12620" spans="1:1" s="199" customFormat="1" ht="12" hidden="1" customHeight="1">
      <c r="A12620" s="198"/>
    </row>
    <row r="12621" spans="1:1" s="199" customFormat="1" ht="12" hidden="1" customHeight="1">
      <c r="A12621" s="198"/>
    </row>
    <row r="12622" spans="1:1" s="199" customFormat="1" ht="12" hidden="1" customHeight="1">
      <c r="A12622" s="198"/>
    </row>
    <row r="12623" spans="1:1" s="199" customFormat="1" ht="12" hidden="1" customHeight="1">
      <c r="A12623" s="198"/>
    </row>
    <row r="12624" spans="1:1" s="199" customFormat="1" ht="12" hidden="1" customHeight="1">
      <c r="A12624" s="198"/>
    </row>
    <row r="12625" spans="1:1" s="199" customFormat="1" ht="12" hidden="1" customHeight="1">
      <c r="A12625" s="198"/>
    </row>
    <row r="12626" spans="1:1" s="199" customFormat="1" ht="12" hidden="1" customHeight="1">
      <c r="A12626" s="198"/>
    </row>
    <row r="12627" spans="1:1" s="199" customFormat="1" ht="12" hidden="1" customHeight="1">
      <c r="A12627" s="198"/>
    </row>
    <row r="12628" spans="1:1" s="199" customFormat="1" ht="12" hidden="1" customHeight="1">
      <c r="A12628" s="198"/>
    </row>
    <row r="12629" spans="1:1" s="199" customFormat="1" ht="12" hidden="1" customHeight="1">
      <c r="A12629" s="198"/>
    </row>
    <row r="12630" spans="1:1" s="199" customFormat="1" ht="12" hidden="1" customHeight="1">
      <c r="A12630" s="198"/>
    </row>
    <row r="12631" spans="1:1" s="199" customFormat="1" ht="12" hidden="1" customHeight="1">
      <c r="A12631" s="198"/>
    </row>
    <row r="12632" spans="1:1" s="199" customFormat="1" ht="12" hidden="1" customHeight="1">
      <c r="A12632" s="198"/>
    </row>
    <row r="12633" spans="1:1" s="199" customFormat="1" ht="12" hidden="1" customHeight="1">
      <c r="A12633" s="198"/>
    </row>
    <row r="12634" spans="1:1" s="199" customFormat="1" ht="12" hidden="1" customHeight="1">
      <c r="A12634" s="198"/>
    </row>
    <row r="12635" spans="1:1" s="199" customFormat="1" ht="12" hidden="1" customHeight="1">
      <c r="A12635" s="198"/>
    </row>
    <row r="12636" spans="1:1" s="199" customFormat="1" ht="12" hidden="1" customHeight="1">
      <c r="A12636" s="198"/>
    </row>
    <row r="12637" spans="1:1" s="199" customFormat="1" ht="12" hidden="1" customHeight="1">
      <c r="A12637" s="198"/>
    </row>
    <row r="12638" spans="1:1" s="199" customFormat="1" ht="12" hidden="1" customHeight="1">
      <c r="A12638" s="198"/>
    </row>
    <row r="12639" spans="1:1" s="199" customFormat="1" ht="12" hidden="1" customHeight="1">
      <c r="A12639" s="198"/>
    </row>
    <row r="12640" spans="1:1" s="199" customFormat="1" ht="12" hidden="1" customHeight="1">
      <c r="A12640" s="198"/>
    </row>
    <row r="12641" spans="1:1" s="199" customFormat="1" ht="12" hidden="1" customHeight="1">
      <c r="A12641" s="198"/>
    </row>
    <row r="12642" spans="1:1" s="199" customFormat="1" ht="12" hidden="1" customHeight="1">
      <c r="A12642" s="198"/>
    </row>
    <row r="12643" spans="1:1" s="199" customFormat="1" ht="12" hidden="1" customHeight="1">
      <c r="A12643" s="198"/>
    </row>
    <row r="12644" spans="1:1" s="199" customFormat="1" ht="12" hidden="1" customHeight="1">
      <c r="A12644" s="198"/>
    </row>
    <row r="12645" spans="1:1" s="199" customFormat="1" ht="12" hidden="1" customHeight="1">
      <c r="A12645" s="198"/>
    </row>
    <row r="12646" spans="1:1" s="199" customFormat="1" ht="12" hidden="1" customHeight="1">
      <c r="A12646" s="198"/>
    </row>
    <row r="12647" spans="1:1" s="199" customFormat="1" ht="12" hidden="1" customHeight="1">
      <c r="A12647" s="198"/>
    </row>
    <row r="12648" spans="1:1" s="199" customFormat="1" ht="12" hidden="1" customHeight="1">
      <c r="A12648" s="198"/>
    </row>
    <row r="12649" spans="1:1" s="199" customFormat="1" ht="12" hidden="1" customHeight="1">
      <c r="A12649" s="198"/>
    </row>
    <row r="12650" spans="1:1" s="199" customFormat="1" ht="12" hidden="1" customHeight="1">
      <c r="A12650" s="198"/>
    </row>
    <row r="12651" spans="1:1" s="199" customFormat="1" ht="12" hidden="1" customHeight="1">
      <c r="A12651" s="198"/>
    </row>
    <row r="12652" spans="1:1" s="199" customFormat="1" ht="12" hidden="1" customHeight="1">
      <c r="A12652" s="198"/>
    </row>
    <row r="12653" spans="1:1" s="199" customFormat="1" ht="12" hidden="1" customHeight="1">
      <c r="A12653" s="198"/>
    </row>
    <row r="12654" spans="1:1" s="199" customFormat="1" ht="12" hidden="1" customHeight="1">
      <c r="A12654" s="198"/>
    </row>
    <row r="12655" spans="1:1" s="199" customFormat="1" ht="12" hidden="1" customHeight="1">
      <c r="A12655" s="198"/>
    </row>
    <row r="12656" spans="1:1" s="199" customFormat="1" ht="12" hidden="1" customHeight="1">
      <c r="A12656" s="198"/>
    </row>
    <row r="12657" spans="1:1" s="199" customFormat="1" ht="12" hidden="1" customHeight="1">
      <c r="A12657" s="198"/>
    </row>
    <row r="12658" spans="1:1" s="199" customFormat="1" ht="12" hidden="1" customHeight="1">
      <c r="A12658" s="198"/>
    </row>
    <row r="12659" spans="1:1" s="199" customFormat="1" ht="12" hidden="1" customHeight="1">
      <c r="A12659" s="198"/>
    </row>
    <row r="12660" spans="1:1" s="199" customFormat="1" ht="12" hidden="1" customHeight="1">
      <c r="A12660" s="198"/>
    </row>
    <row r="12661" spans="1:1" s="199" customFormat="1" ht="12" hidden="1" customHeight="1">
      <c r="A12661" s="198"/>
    </row>
    <row r="12662" spans="1:1" s="199" customFormat="1" ht="12" hidden="1" customHeight="1">
      <c r="A12662" s="198"/>
    </row>
    <row r="12663" spans="1:1" s="199" customFormat="1" ht="12" hidden="1" customHeight="1">
      <c r="A12663" s="198"/>
    </row>
    <row r="12664" spans="1:1" s="199" customFormat="1" ht="12" hidden="1" customHeight="1">
      <c r="A12664" s="198"/>
    </row>
    <row r="12665" spans="1:1" s="199" customFormat="1" ht="12" hidden="1" customHeight="1">
      <c r="A12665" s="198"/>
    </row>
    <row r="12666" spans="1:1" s="199" customFormat="1" ht="12" hidden="1" customHeight="1">
      <c r="A12666" s="198"/>
    </row>
    <row r="12667" spans="1:1" s="199" customFormat="1" ht="12" hidden="1" customHeight="1">
      <c r="A12667" s="198"/>
    </row>
    <row r="12668" spans="1:1" s="199" customFormat="1" ht="12" hidden="1" customHeight="1">
      <c r="A12668" s="198"/>
    </row>
    <row r="12669" spans="1:1" s="199" customFormat="1" ht="12" hidden="1" customHeight="1">
      <c r="A12669" s="198"/>
    </row>
    <row r="12670" spans="1:1" s="199" customFormat="1" ht="12" hidden="1" customHeight="1">
      <c r="A12670" s="198"/>
    </row>
    <row r="12671" spans="1:1" s="199" customFormat="1" ht="12" hidden="1" customHeight="1">
      <c r="A12671" s="198"/>
    </row>
    <row r="12672" spans="1:1" s="199" customFormat="1" ht="12" hidden="1" customHeight="1">
      <c r="A12672" s="198"/>
    </row>
    <row r="12673" spans="1:1" s="199" customFormat="1" ht="12" hidden="1" customHeight="1">
      <c r="A12673" s="198"/>
    </row>
    <row r="12674" spans="1:1" s="199" customFormat="1" ht="12" hidden="1" customHeight="1">
      <c r="A12674" s="198"/>
    </row>
    <row r="12675" spans="1:1" s="199" customFormat="1" ht="12" hidden="1" customHeight="1">
      <c r="A12675" s="198"/>
    </row>
    <row r="12676" spans="1:1" s="199" customFormat="1" ht="12" hidden="1" customHeight="1">
      <c r="A12676" s="198"/>
    </row>
    <row r="12677" spans="1:1" s="199" customFormat="1" ht="12" hidden="1" customHeight="1">
      <c r="A12677" s="198"/>
    </row>
    <row r="12678" spans="1:1" s="199" customFormat="1" ht="12" hidden="1" customHeight="1">
      <c r="A12678" s="198"/>
    </row>
    <row r="12679" spans="1:1" s="199" customFormat="1" ht="12" hidden="1" customHeight="1">
      <c r="A12679" s="198"/>
    </row>
    <row r="12680" spans="1:1" s="199" customFormat="1" ht="12" hidden="1" customHeight="1">
      <c r="A12680" s="198"/>
    </row>
    <row r="12681" spans="1:1" s="199" customFormat="1" ht="12" hidden="1" customHeight="1">
      <c r="A12681" s="198"/>
    </row>
    <row r="12682" spans="1:1" s="199" customFormat="1" ht="12" hidden="1" customHeight="1">
      <c r="A12682" s="198"/>
    </row>
    <row r="12683" spans="1:1" s="199" customFormat="1" ht="12" hidden="1" customHeight="1">
      <c r="A12683" s="198"/>
    </row>
    <row r="12684" spans="1:1" s="199" customFormat="1" ht="12" hidden="1" customHeight="1">
      <c r="A12684" s="198"/>
    </row>
    <row r="12685" spans="1:1" s="199" customFormat="1" ht="12" hidden="1" customHeight="1">
      <c r="A12685" s="198"/>
    </row>
    <row r="12686" spans="1:1" s="199" customFormat="1" ht="12" hidden="1" customHeight="1">
      <c r="A12686" s="198"/>
    </row>
    <row r="12687" spans="1:1" s="199" customFormat="1" ht="12" hidden="1" customHeight="1">
      <c r="A12687" s="198"/>
    </row>
    <row r="12688" spans="1:1" s="199" customFormat="1" ht="12" hidden="1" customHeight="1">
      <c r="A12688" s="198"/>
    </row>
    <row r="12689" spans="1:1" s="199" customFormat="1" ht="12" hidden="1" customHeight="1">
      <c r="A12689" s="198"/>
    </row>
    <row r="12690" spans="1:1" s="199" customFormat="1" ht="12" hidden="1" customHeight="1">
      <c r="A12690" s="198"/>
    </row>
    <row r="12691" spans="1:1" s="199" customFormat="1" ht="12" hidden="1" customHeight="1">
      <c r="A12691" s="198"/>
    </row>
    <row r="12692" spans="1:1" s="199" customFormat="1" ht="12" hidden="1" customHeight="1">
      <c r="A12692" s="198"/>
    </row>
    <row r="12693" spans="1:1" s="199" customFormat="1" ht="12" hidden="1" customHeight="1">
      <c r="A12693" s="198"/>
    </row>
    <row r="12694" spans="1:1" s="199" customFormat="1" ht="12" hidden="1" customHeight="1">
      <c r="A12694" s="198"/>
    </row>
    <row r="12695" spans="1:1" s="199" customFormat="1" ht="12" hidden="1" customHeight="1">
      <c r="A12695" s="198"/>
    </row>
    <row r="12696" spans="1:1" s="199" customFormat="1" ht="12" hidden="1" customHeight="1">
      <c r="A12696" s="198"/>
    </row>
    <row r="12697" spans="1:1" s="199" customFormat="1" ht="12" hidden="1" customHeight="1">
      <c r="A12697" s="198"/>
    </row>
    <row r="12698" spans="1:1" s="199" customFormat="1" ht="12" hidden="1" customHeight="1">
      <c r="A12698" s="198"/>
    </row>
    <row r="12699" spans="1:1" s="199" customFormat="1" ht="12" hidden="1" customHeight="1">
      <c r="A12699" s="198"/>
    </row>
    <row r="12700" spans="1:1" s="199" customFormat="1" ht="12" hidden="1" customHeight="1">
      <c r="A12700" s="198"/>
    </row>
    <row r="12701" spans="1:1" s="199" customFormat="1" ht="12" hidden="1" customHeight="1">
      <c r="A12701" s="198"/>
    </row>
    <row r="12702" spans="1:1" s="199" customFormat="1" ht="12" hidden="1" customHeight="1">
      <c r="A12702" s="198"/>
    </row>
    <row r="12703" spans="1:1" s="199" customFormat="1" ht="12" hidden="1" customHeight="1">
      <c r="A12703" s="198"/>
    </row>
    <row r="12704" spans="1:1" s="199" customFormat="1" ht="12" hidden="1" customHeight="1">
      <c r="A12704" s="198"/>
    </row>
    <row r="12705" spans="1:1" s="199" customFormat="1" ht="12" hidden="1" customHeight="1">
      <c r="A12705" s="198"/>
    </row>
    <row r="12706" spans="1:1" s="199" customFormat="1" ht="12" hidden="1" customHeight="1">
      <c r="A12706" s="198"/>
    </row>
    <row r="12707" spans="1:1" s="199" customFormat="1" ht="12" hidden="1" customHeight="1">
      <c r="A12707" s="198"/>
    </row>
    <row r="12708" spans="1:1" s="199" customFormat="1" ht="12" hidden="1" customHeight="1">
      <c r="A12708" s="198"/>
    </row>
    <row r="12709" spans="1:1" s="199" customFormat="1" ht="12" hidden="1" customHeight="1">
      <c r="A12709" s="198"/>
    </row>
    <row r="12710" spans="1:1" s="199" customFormat="1" ht="12" hidden="1" customHeight="1">
      <c r="A12710" s="198"/>
    </row>
    <row r="12711" spans="1:1" s="199" customFormat="1" ht="12" hidden="1" customHeight="1">
      <c r="A12711" s="198"/>
    </row>
    <row r="12712" spans="1:1" s="199" customFormat="1" ht="12" hidden="1" customHeight="1">
      <c r="A12712" s="198"/>
    </row>
    <row r="12713" spans="1:1" s="199" customFormat="1" ht="12" hidden="1" customHeight="1">
      <c r="A12713" s="198"/>
    </row>
    <row r="12714" spans="1:1" s="199" customFormat="1" ht="12" hidden="1" customHeight="1">
      <c r="A12714" s="198"/>
    </row>
    <row r="12715" spans="1:1" s="199" customFormat="1" ht="12" hidden="1" customHeight="1">
      <c r="A12715" s="198"/>
    </row>
    <row r="12716" spans="1:1" s="199" customFormat="1" ht="12" hidden="1" customHeight="1">
      <c r="A12716" s="198"/>
    </row>
    <row r="12717" spans="1:1" s="199" customFormat="1" ht="12" hidden="1" customHeight="1">
      <c r="A12717" s="198"/>
    </row>
    <row r="12718" spans="1:1" s="199" customFormat="1" ht="12" hidden="1" customHeight="1">
      <c r="A12718" s="198"/>
    </row>
    <row r="12719" spans="1:1" s="199" customFormat="1" ht="12" hidden="1" customHeight="1">
      <c r="A12719" s="198"/>
    </row>
    <row r="12720" spans="1:1" s="199" customFormat="1" ht="12" hidden="1" customHeight="1">
      <c r="A12720" s="198"/>
    </row>
    <row r="12721" spans="1:1" s="199" customFormat="1" ht="12" hidden="1" customHeight="1">
      <c r="A12721" s="198"/>
    </row>
    <row r="12722" spans="1:1" s="199" customFormat="1" ht="12" hidden="1" customHeight="1">
      <c r="A12722" s="198"/>
    </row>
    <row r="12723" spans="1:1" s="199" customFormat="1" ht="12" hidden="1" customHeight="1">
      <c r="A12723" s="198"/>
    </row>
    <row r="12724" spans="1:1" s="199" customFormat="1" ht="12" hidden="1" customHeight="1">
      <c r="A12724" s="198"/>
    </row>
    <row r="12725" spans="1:1" s="199" customFormat="1" ht="12" hidden="1" customHeight="1">
      <c r="A12725" s="198"/>
    </row>
    <row r="12726" spans="1:1" s="199" customFormat="1" ht="12" hidden="1" customHeight="1">
      <c r="A12726" s="198"/>
    </row>
    <row r="12727" spans="1:1" s="199" customFormat="1" ht="12" hidden="1" customHeight="1">
      <c r="A12727" s="198"/>
    </row>
    <row r="12728" spans="1:1" s="199" customFormat="1" ht="12" hidden="1" customHeight="1">
      <c r="A12728" s="198"/>
    </row>
    <row r="12729" spans="1:1" s="199" customFormat="1" ht="12" hidden="1" customHeight="1">
      <c r="A12729" s="198"/>
    </row>
    <row r="12730" spans="1:1" s="199" customFormat="1" ht="12" hidden="1" customHeight="1">
      <c r="A12730" s="198"/>
    </row>
    <row r="12731" spans="1:1" s="199" customFormat="1" ht="12" hidden="1" customHeight="1">
      <c r="A12731" s="198"/>
    </row>
    <row r="12732" spans="1:1" s="199" customFormat="1" ht="12" hidden="1" customHeight="1">
      <c r="A12732" s="198"/>
    </row>
    <row r="12733" spans="1:1" s="199" customFormat="1" ht="12" hidden="1" customHeight="1">
      <c r="A12733" s="198"/>
    </row>
    <row r="12734" spans="1:1" s="199" customFormat="1" ht="12" hidden="1" customHeight="1">
      <c r="A12734" s="198"/>
    </row>
    <row r="12735" spans="1:1" s="199" customFormat="1" ht="12" hidden="1" customHeight="1">
      <c r="A12735" s="198"/>
    </row>
    <row r="12736" spans="1:1" s="199" customFormat="1" ht="12" hidden="1" customHeight="1">
      <c r="A12736" s="198"/>
    </row>
    <row r="12737" spans="1:1" s="199" customFormat="1" ht="12" hidden="1" customHeight="1">
      <c r="A12737" s="198"/>
    </row>
    <row r="12738" spans="1:1" s="199" customFormat="1" ht="12" hidden="1" customHeight="1">
      <c r="A12738" s="198"/>
    </row>
    <row r="12739" spans="1:1" s="199" customFormat="1" ht="12" hidden="1" customHeight="1">
      <c r="A12739" s="198"/>
    </row>
    <row r="12740" spans="1:1" s="199" customFormat="1" ht="12" hidden="1" customHeight="1">
      <c r="A12740" s="198"/>
    </row>
    <row r="12741" spans="1:1" s="199" customFormat="1" ht="12" hidden="1" customHeight="1">
      <c r="A12741" s="198"/>
    </row>
    <row r="12742" spans="1:1" s="199" customFormat="1" ht="12" hidden="1" customHeight="1">
      <c r="A12742" s="198"/>
    </row>
    <row r="12743" spans="1:1" s="199" customFormat="1" ht="12" hidden="1" customHeight="1">
      <c r="A12743" s="198"/>
    </row>
    <row r="12744" spans="1:1" s="199" customFormat="1" ht="12" hidden="1" customHeight="1">
      <c r="A12744" s="198"/>
    </row>
    <row r="12745" spans="1:1" s="199" customFormat="1" ht="12" hidden="1" customHeight="1">
      <c r="A12745" s="198"/>
    </row>
    <row r="12746" spans="1:1" s="199" customFormat="1" ht="12" hidden="1" customHeight="1">
      <c r="A12746" s="198"/>
    </row>
    <row r="12747" spans="1:1" s="199" customFormat="1" ht="12" hidden="1" customHeight="1">
      <c r="A12747" s="198"/>
    </row>
    <row r="12748" spans="1:1" s="199" customFormat="1" ht="12" hidden="1" customHeight="1">
      <c r="A12748" s="198"/>
    </row>
    <row r="12749" spans="1:1" s="199" customFormat="1" ht="12" hidden="1" customHeight="1">
      <c r="A12749" s="198"/>
    </row>
    <row r="12750" spans="1:1" s="199" customFormat="1" ht="12" hidden="1" customHeight="1">
      <c r="A12750" s="198"/>
    </row>
    <row r="12751" spans="1:1" s="199" customFormat="1" ht="12" hidden="1" customHeight="1">
      <c r="A12751" s="198"/>
    </row>
    <row r="12752" spans="1:1" s="199" customFormat="1" ht="12" hidden="1" customHeight="1">
      <c r="A12752" s="198"/>
    </row>
    <row r="12753" spans="1:1" s="199" customFormat="1" ht="12" hidden="1" customHeight="1">
      <c r="A12753" s="198"/>
    </row>
    <row r="12754" spans="1:1" s="199" customFormat="1" ht="12" hidden="1" customHeight="1">
      <c r="A12754" s="198"/>
    </row>
    <row r="12755" spans="1:1" s="199" customFormat="1" ht="12" hidden="1" customHeight="1">
      <c r="A12755" s="198"/>
    </row>
    <row r="12756" spans="1:1" s="199" customFormat="1" ht="12" hidden="1" customHeight="1">
      <c r="A12756" s="198"/>
    </row>
    <row r="12757" spans="1:1" s="199" customFormat="1" ht="12" hidden="1" customHeight="1">
      <c r="A12757" s="198"/>
    </row>
    <row r="12758" spans="1:1" s="199" customFormat="1" ht="12" hidden="1" customHeight="1">
      <c r="A12758" s="198"/>
    </row>
    <row r="12759" spans="1:1" s="199" customFormat="1" ht="12" hidden="1" customHeight="1">
      <c r="A12759" s="198"/>
    </row>
    <row r="12760" spans="1:1" s="199" customFormat="1" ht="12" hidden="1" customHeight="1">
      <c r="A12760" s="198"/>
    </row>
    <row r="12761" spans="1:1" s="199" customFormat="1" ht="12" hidden="1" customHeight="1">
      <c r="A12761" s="198"/>
    </row>
    <row r="12762" spans="1:1" s="199" customFormat="1" ht="12" hidden="1" customHeight="1">
      <c r="A12762" s="198"/>
    </row>
    <row r="12763" spans="1:1" s="199" customFormat="1" ht="12" hidden="1" customHeight="1">
      <c r="A12763" s="198"/>
    </row>
    <row r="12764" spans="1:1" s="199" customFormat="1" ht="12" hidden="1" customHeight="1">
      <c r="A12764" s="198"/>
    </row>
    <row r="12765" spans="1:1" s="199" customFormat="1" ht="12" hidden="1" customHeight="1">
      <c r="A12765" s="198"/>
    </row>
    <row r="12766" spans="1:1" s="199" customFormat="1" ht="12" hidden="1" customHeight="1">
      <c r="A12766" s="198"/>
    </row>
    <row r="12767" spans="1:1" s="199" customFormat="1" ht="12" hidden="1" customHeight="1">
      <c r="A12767" s="198"/>
    </row>
    <row r="12768" spans="1:1" s="199" customFormat="1" ht="12" hidden="1" customHeight="1">
      <c r="A12768" s="198"/>
    </row>
    <row r="12769" spans="1:1" s="199" customFormat="1" ht="12" hidden="1" customHeight="1">
      <c r="A12769" s="198"/>
    </row>
    <row r="12770" spans="1:1" s="199" customFormat="1" ht="12" hidden="1" customHeight="1">
      <c r="A12770" s="198"/>
    </row>
    <row r="12771" spans="1:1" s="199" customFormat="1" ht="12" hidden="1" customHeight="1">
      <c r="A12771" s="198"/>
    </row>
    <row r="12772" spans="1:1" s="199" customFormat="1" ht="12" hidden="1" customHeight="1">
      <c r="A12772" s="198"/>
    </row>
    <row r="12773" spans="1:1" s="199" customFormat="1" ht="12" hidden="1" customHeight="1">
      <c r="A12773" s="198"/>
    </row>
    <row r="12774" spans="1:1" s="199" customFormat="1" ht="12" hidden="1" customHeight="1">
      <c r="A12774" s="198"/>
    </row>
    <row r="12775" spans="1:1" s="199" customFormat="1" ht="12" hidden="1" customHeight="1">
      <c r="A12775" s="198"/>
    </row>
    <row r="12776" spans="1:1" s="199" customFormat="1" ht="12" hidden="1" customHeight="1">
      <c r="A12776" s="198"/>
    </row>
    <row r="12777" spans="1:1" s="199" customFormat="1" ht="12" hidden="1" customHeight="1">
      <c r="A12777" s="198"/>
    </row>
    <row r="12778" spans="1:1" s="199" customFormat="1" ht="12" hidden="1" customHeight="1">
      <c r="A12778" s="198"/>
    </row>
    <row r="12779" spans="1:1" s="199" customFormat="1" ht="12" hidden="1" customHeight="1">
      <c r="A12779" s="198"/>
    </row>
    <row r="12780" spans="1:1" s="199" customFormat="1" ht="12" hidden="1" customHeight="1">
      <c r="A12780" s="198"/>
    </row>
    <row r="12781" spans="1:1" s="199" customFormat="1" ht="12" hidden="1" customHeight="1">
      <c r="A12781" s="198"/>
    </row>
    <row r="12782" spans="1:1" s="199" customFormat="1" ht="12" hidden="1" customHeight="1">
      <c r="A12782" s="198"/>
    </row>
    <row r="12783" spans="1:1" s="199" customFormat="1" ht="12" hidden="1" customHeight="1">
      <c r="A12783" s="198"/>
    </row>
    <row r="12784" spans="1:1" s="199" customFormat="1" ht="12" hidden="1" customHeight="1">
      <c r="A12784" s="198"/>
    </row>
    <row r="12785" spans="1:1" s="199" customFormat="1" ht="12" hidden="1" customHeight="1">
      <c r="A12785" s="198"/>
    </row>
    <row r="12786" spans="1:1" s="199" customFormat="1" ht="12" hidden="1" customHeight="1">
      <c r="A12786" s="198"/>
    </row>
    <row r="12787" spans="1:1" s="199" customFormat="1" ht="12" hidden="1" customHeight="1">
      <c r="A12787" s="198"/>
    </row>
    <row r="12788" spans="1:1" s="199" customFormat="1" ht="12" hidden="1" customHeight="1">
      <c r="A12788" s="198"/>
    </row>
    <row r="12789" spans="1:1" s="199" customFormat="1" ht="12" hidden="1" customHeight="1">
      <c r="A12789" s="198"/>
    </row>
    <row r="12790" spans="1:1" s="199" customFormat="1" ht="12" hidden="1" customHeight="1">
      <c r="A12790" s="198"/>
    </row>
    <row r="12791" spans="1:1" s="199" customFormat="1" ht="12" hidden="1" customHeight="1">
      <c r="A12791" s="198"/>
    </row>
    <row r="12792" spans="1:1" s="199" customFormat="1" ht="12" hidden="1" customHeight="1">
      <c r="A12792" s="198"/>
    </row>
    <row r="12793" spans="1:1" s="199" customFormat="1" ht="12" hidden="1" customHeight="1">
      <c r="A12793" s="198"/>
    </row>
    <row r="12794" spans="1:1" s="199" customFormat="1" ht="12" hidden="1" customHeight="1">
      <c r="A12794" s="198"/>
    </row>
    <row r="12795" spans="1:1" s="199" customFormat="1" ht="12" hidden="1" customHeight="1">
      <c r="A12795" s="198"/>
    </row>
    <row r="12796" spans="1:1" s="199" customFormat="1" ht="12" hidden="1" customHeight="1">
      <c r="A12796" s="198"/>
    </row>
    <row r="12797" spans="1:1" s="199" customFormat="1" ht="12" hidden="1" customHeight="1">
      <c r="A12797" s="198"/>
    </row>
    <row r="12798" spans="1:1" s="199" customFormat="1" ht="12" hidden="1" customHeight="1">
      <c r="A12798" s="198"/>
    </row>
    <row r="12799" spans="1:1" s="199" customFormat="1" ht="12" hidden="1" customHeight="1">
      <c r="A12799" s="198"/>
    </row>
    <row r="12800" spans="1:1" s="199" customFormat="1" ht="12" hidden="1" customHeight="1">
      <c r="A12800" s="198"/>
    </row>
    <row r="12801" spans="1:1" s="199" customFormat="1" ht="12" hidden="1" customHeight="1">
      <c r="A12801" s="198"/>
    </row>
    <row r="12802" spans="1:1" s="199" customFormat="1" ht="12" hidden="1" customHeight="1">
      <c r="A12802" s="198"/>
    </row>
    <row r="12803" spans="1:1" s="199" customFormat="1" ht="12" hidden="1" customHeight="1">
      <c r="A12803" s="198"/>
    </row>
    <row r="12804" spans="1:1" s="199" customFormat="1" ht="12" hidden="1" customHeight="1">
      <c r="A12804" s="198"/>
    </row>
    <row r="12805" spans="1:1" s="199" customFormat="1" ht="12" hidden="1" customHeight="1">
      <c r="A12805" s="198"/>
    </row>
    <row r="12806" spans="1:1" s="199" customFormat="1" ht="12" hidden="1" customHeight="1">
      <c r="A12806" s="198"/>
    </row>
    <row r="12807" spans="1:1" s="199" customFormat="1" ht="12" hidden="1" customHeight="1">
      <c r="A12807" s="198"/>
    </row>
    <row r="12808" spans="1:1" s="199" customFormat="1" ht="12" hidden="1" customHeight="1">
      <c r="A12808" s="198"/>
    </row>
    <row r="12809" spans="1:1" s="199" customFormat="1" ht="12" hidden="1" customHeight="1">
      <c r="A12809" s="198"/>
    </row>
    <row r="12810" spans="1:1" s="199" customFormat="1" ht="12" hidden="1" customHeight="1">
      <c r="A12810" s="198"/>
    </row>
    <row r="12811" spans="1:1" s="199" customFormat="1" ht="12" hidden="1" customHeight="1">
      <c r="A12811" s="198"/>
    </row>
    <row r="12812" spans="1:1" s="199" customFormat="1" ht="12" hidden="1" customHeight="1">
      <c r="A12812" s="198"/>
    </row>
    <row r="12813" spans="1:1" s="199" customFormat="1" ht="12" hidden="1" customHeight="1">
      <c r="A12813" s="198"/>
    </row>
    <row r="12814" spans="1:1" s="199" customFormat="1" ht="12" hidden="1" customHeight="1">
      <c r="A12814" s="198"/>
    </row>
    <row r="12815" spans="1:1" s="199" customFormat="1" ht="12" hidden="1" customHeight="1">
      <c r="A12815" s="198"/>
    </row>
    <row r="12816" spans="1:1" s="199" customFormat="1" ht="12" hidden="1" customHeight="1">
      <c r="A12816" s="198"/>
    </row>
    <row r="12817" spans="1:1" s="199" customFormat="1" ht="12" hidden="1" customHeight="1">
      <c r="A12817" s="198"/>
    </row>
    <row r="12818" spans="1:1" s="199" customFormat="1" ht="12" hidden="1" customHeight="1">
      <c r="A12818" s="198"/>
    </row>
    <row r="12819" spans="1:1" s="199" customFormat="1" ht="12" hidden="1" customHeight="1">
      <c r="A12819" s="198"/>
    </row>
    <row r="12820" spans="1:1" s="199" customFormat="1" ht="12" hidden="1" customHeight="1">
      <c r="A12820" s="198"/>
    </row>
    <row r="12821" spans="1:1" s="199" customFormat="1" ht="12" hidden="1" customHeight="1">
      <c r="A12821" s="198"/>
    </row>
    <row r="12822" spans="1:1" s="199" customFormat="1" ht="12" hidden="1" customHeight="1">
      <c r="A12822" s="198"/>
    </row>
    <row r="12823" spans="1:1" s="199" customFormat="1" ht="12" hidden="1" customHeight="1">
      <c r="A12823" s="198"/>
    </row>
    <row r="12824" spans="1:1" s="199" customFormat="1" ht="12" hidden="1" customHeight="1">
      <c r="A12824" s="198"/>
    </row>
    <row r="12825" spans="1:1" s="199" customFormat="1" ht="12" hidden="1" customHeight="1">
      <c r="A12825" s="198"/>
    </row>
    <row r="12826" spans="1:1" s="199" customFormat="1" ht="12" hidden="1" customHeight="1">
      <c r="A12826" s="198"/>
    </row>
    <row r="12827" spans="1:1" s="199" customFormat="1" ht="12" hidden="1" customHeight="1">
      <c r="A12827" s="198"/>
    </row>
    <row r="12828" spans="1:1" s="199" customFormat="1" ht="12" hidden="1" customHeight="1">
      <c r="A12828" s="198"/>
    </row>
    <row r="12829" spans="1:1" s="199" customFormat="1" ht="12" hidden="1" customHeight="1">
      <c r="A12829" s="198"/>
    </row>
    <row r="12830" spans="1:1" s="199" customFormat="1" ht="12" hidden="1" customHeight="1">
      <c r="A12830" s="198"/>
    </row>
    <row r="12831" spans="1:1" s="199" customFormat="1" ht="12" hidden="1" customHeight="1">
      <c r="A12831" s="198"/>
    </row>
    <row r="12832" spans="1:1" s="199" customFormat="1" ht="12" hidden="1" customHeight="1">
      <c r="A12832" s="198"/>
    </row>
    <row r="12833" spans="1:1" s="199" customFormat="1" ht="12" hidden="1" customHeight="1">
      <c r="A12833" s="198"/>
    </row>
    <row r="12834" spans="1:1" s="199" customFormat="1" ht="12" hidden="1" customHeight="1">
      <c r="A12834" s="198"/>
    </row>
    <row r="12835" spans="1:1" s="199" customFormat="1" ht="12" hidden="1" customHeight="1">
      <c r="A12835" s="198"/>
    </row>
    <row r="12836" spans="1:1" s="199" customFormat="1" ht="12" hidden="1" customHeight="1">
      <c r="A12836" s="198"/>
    </row>
    <row r="12837" spans="1:1" s="199" customFormat="1" ht="12" hidden="1" customHeight="1">
      <c r="A12837" s="198"/>
    </row>
    <row r="12838" spans="1:1" s="199" customFormat="1" ht="12" hidden="1" customHeight="1">
      <c r="A12838" s="198"/>
    </row>
    <row r="12839" spans="1:1" s="199" customFormat="1" ht="12" hidden="1" customHeight="1">
      <c r="A12839" s="198"/>
    </row>
    <row r="12840" spans="1:1" s="199" customFormat="1" ht="12" hidden="1" customHeight="1">
      <c r="A12840" s="198"/>
    </row>
    <row r="12841" spans="1:1" s="199" customFormat="1" ht="12" hidden="1" customHeight="1">
      <c r="A12841" s="198"/>
    </row>
    <row r="12842" spans="1:1" s="199" customFormat="1" ht="12" hidden="1" customHeight="1">
      <c r="A12842" s="198"/>
    </row>
    <row r="12843" spans="1:1" s="199" customFormat="1" ht="12" hidden="1" customHeight="1">
      <c r="A12843" s="198"/>
    </row>
    <row r="12844" spans="1:1" s="199" customFormat="1" ht="12" hidden="1" customHeight="1">
      <c r="A12844" s="198"/>
    </row>
    <row r="12845" spans="1:1" s="199" customFormat="1" ht="12" hidden="1" customHeight="1">
      <c r="A12845" s="198"/>
    </row>
    <row r="12846" spans="1:1" s="199" customFormat="1" ht="12" hidden="1" customHeight="1">
      <c r="A12846" s="198"/>
    </row>
    <row r="12847" spans="1:1" s="199" customFormat="1" ht="12" hidden="1" customHeight="1">
      <c r="A12847" s="198"/>
    </row>
    <row r="12848" spans="1:1" s="199" customFormat="1" ht="12" hidden="1" customHeight="1">
      <c r="A12848" s="198"/>
    </row>
    <row r="12849" spans="1:1" s="199" customFormat="1" ht="12" hidden="1" customHeight="1">
      <c r="A12849" s="198"/>
    </row>
    <row r="12850" spans="1:1" s="199" customFormat="1" ht="12" hidden="1" customHeight="1">
      <c r="A12850" s="198"/>
    </row>
    <row r="12851" spans="1:1" s="199" customFormat="1" ht="12" hidden="1" customHeight="1">
      <c r="A12851" s="198"/>
    </row>
    <row r="12852" spans="1:1" s="199" customFormat="1" ht="12" hidden="1" customHeight="1">
      <c r="A12852" s="198"/>
    </row>
    <row r="12853" spans="1:1" s="199" customFormat="1" ht="12" hidden="1" customHeight="1">
      <c r="A12853" s="198"/>
    </row>
    <row r="12854" spans="1:1" s="199" customFormat="1" ht="12" hidden="1" customHeight="1">
      <c r="A12854" s="198"/>
    </row>
    <row r="12855" spans="1:1" s="199" customFormat="1" ht="12" hidden="1" customHeight="1">
      <c r="A12855" s="198"/>
    </row>
    <row r="12856" spans="1:1" s="199" customFormat="1" ht="12" hidden="1" customHeight="1">
      <c r="A12856" s="198"/>
    </row>
    <row r="12857" spans="1:1" s="199" customFormat="1" ht="12" hidden="1" customHeight="1">
      <c r="A12857" s="198"/>
    </row>
    <row r="12858" spans="1:1" s="199" customFormat="1" ht="12" hidden="1" customHeight="1">
      <c r="A12858" s="198"/>
    </row>
    <row r="12859" spans="1:1" s="199" customFormat="1" ht="12" hidden="1" customHeight="1">
      <c r="A12859" s="198"/>
    </row>
    <row r="12860" spans="1:1" s="199" customFormat="1" ht="12" hidden="1" customHeight="1">
      <c r="A12860" s="198"/>
    </row>
    <row r="12861" spans="1:1" s="199" customFormat="1" ht="12" hidden="1" customHeight="1">
      <c r="A12861" s="198"/>
    </row>
    <row r="12862" spans="1:1" s="199" customFormat="1" ht="12" hidden="1" customHeight="1">
      <c r="A12862" s="198"/>
    </row>
    <row r="12863" spans="1:1" s="199" customFormat="1" ht="12" hidden="1" customHeight="1">
      <c r="A12863" s="198"/>
    </row>
    <row r="12864" spans="1:1" s="199" customFormat="1" ht="12" hidden="1" customHeight="1">
      <c r="A12864" s="198"/>
    </row>
    <row r="12865" spans="1:1" s="199" customFormat="1" ht="12" hidden="1" customHeight="1">
      <c r="A12865" s="198"/>
    </row>
    <row r="12866" spans="1:1" s="199" customFormat="1" ht="12" hidden="1" customHeight="1">
      <c r="A12866" s="198"/>
    </row>
    <row r="12867" spans="1:1" s="199" customFormat="1" ht="12" hidden="1" customHeight="1">
      <c r="A12867" s="198"/>
    </row>
    <row r="12868" spans="1:1" s="199" customFormat="1" ht="12" hidden="1" customHeight="1">
      <c r="A12868" s="198"/>
    </row>
    <row r="12869" spans="1:1" s="199" customFormat="1" ht="12" hidden="1" customHeight="1">
      <c r="A12869" s="198"/>
    </row>
    <row r="12870" spans="1:1" s="199" customFormat="1" ht="12" hidden="1" customHeight="1">
      <c r="A12870" s="198"/>
    </row>
    <row r="12871" spans="1:1" s="199" customFormat="1" ht="12" hidden="1" customHeight="1">
      <c r="A12871" s="198"/>
    </row>
    <row r="12872" spans="1:1" s="199" customFormat="1" ht="12" hidden="1" customHeight="1">
      <c r="A12872" s="198"/>
    </row>
    <row r="12873" spans="1:1" s="199" customFormat="1" ht="12" hidden="1" customHeight="1">
      <c r="A12873" s="198"/>
    </row>
    <row r="12874" spans="1:1" s="199" customFormat="1" ht="12" hidden="1" customHeight="1">
      <c r="A12874" s="198"/>
    </row>
    <row r="12875" spans="1:1" s="199" customFormat="1" ht="12" hidden="1" customHeight="1">
      <c r="A12875" s="198"/>
    </row>
    <row r="12876" spans="1:1" s="199" customFormat="1" ht="12" hidden="1" customHeight="1">
      <c r="A12876" s="198"/>
    </row>
    <row r="12877" spans="1:1" s="199" customFormat="1" ht="12" hidden="1" customHeight="1">
      <c r="A12877" s="198"/>
    </row>
    <row r="12878" spans="1:1" s="199" customFormat="1" ht="12" hidden="1" customHeight="1">
      <c r="A12878" s="198"/>
    </row>
    <row r="12879" spans="1:1" s="199" customFormat="1" ht="12" hidden="1" customHeight="1">
      <c r="A12879" s="198"/>
    </row>
    <row r="12880" spans="1:1" s="199" customFormat="1" ht="12" hidden="1" customHeight="1">
      <c r="A12880" s="198"/>
    </row>
    <row r="12881" spans="1:1" s="199" customFormat="1" ht="12" hidden="1" customHeight="1">
      <c r="A12881" s="198"/>
    </row>
    <row r="12882" spans="1:1" s="199" customFormat="1" ht="12" hidden="1" customHeight="1">
      <c r="A12882" s="198"/>
    </row>
    <row r="12883" spans="1:1" s="199" customFormat="1" ht="12" hidden="1" customHeight="1">
      <c r="A12883" s="198"/>
    </row>
    <row r="12884" spans="1:1" s="199" customFormat="1" ht="12" hidden="1" customHeight="1">
      <c r="A12884" s="198"/>
    </row>
    <row r="12885" spans="1:1" s="199" customFormat="1" ht="12" hidden="1" customHeight="1">
      <c r="A12885" s="198"/>
    </row>
    <row r="12886" spans="1:1" s="199" customFormat="1" ht="12" hidden="1" customHeight="1">
      <c r="A12886" s="198"/>
    </row>
    <row r="12887" spans="1:1" s="199" customFormat="1" ht="12" hidden="1" customHeight="1">
      <c r="A12887" s="198"/>
    </row>
    <row r="12888" spans="1:1" s="199" customFormat="1" ht="12" hidden="1" customHeight="1">
      <c r="A12888" s="198"/>
    </row>
    <row r="12889" spans="1:1" s="199" customFormat="1" ht="12" hidden="1" customHeight="1">
      <c r="A12889" s="198"/>
    </row>
    <row r="12890" spans="1:1" s="199" customFormat="1" ht="12" hidden="1" customHeight="1">
      <c r="A12890" s="198"/>
    </row>
    <row r="12891" spans="1:1" s="199" customFormat="1" ht="12" hidden="1" customHeight="1">
      <c r="A12891" s="198"/>
    </row>
    <row r="12892" spans="1:1" s="199" customFormat="1" ht="12" hidden="1" customHeight="1">
      <c r="A12892" s="198"/>
    </row>
    <row r="12893" spans="1:1" s="199" customFormat="1" ht="12" hidden="1" customHeight="1">
      <c r="A12893" s="198"/>
    </row>
    <row r="12894" spans="1:1" s="199" customFormat="1" ht="12" hidden="1" customHeight="1">
      <c r="A12894" s="198"/>
    </row>
    <row r="12895" spans="1:1" s="199" customFormat="1" ht="12" hidden="1" customHeight="1">
      <c r="A12895" s="198"/>
    </row>
    <row r="12896" spans="1:1" s="199" customFormat="1" ht="12" hidden="1" customHeight="1">
      <c r="A12896" s="198"/>
    </row>
    <row r="12897" spans="1:1" s="199" customFormat="1" ht="12" hidden="1" customHeight="1">
      <c r="A12897" s="198"/>
    </row>
    <row r="12898" spans="1:1" s="199" customFormat="1" ht="12" hidden="1" customHeight="1">
      <c r="A12898" s="198"/>
    </row>
    <row r="12899" spans="1:1" s="199" customFormat="1" ht="12" hidden="1" customHeight="1">
      <c r="A12899" s="198"/>
    </row>
    <row r="12900" spans="1:1" s="199" customFormat="1" ht="12" hidden="1" customHeight="1">
      <c r="A12900" s="198"/>
    </row>
    <row r="12901" spans="1:1" s="199" customFormat="1" ht="12" hidden="1" customHeight="1">
      <c r="A12901" s="198"/>
    </row>
    <row r="12902" spans="1:1" s="199" customFormat="1" ht="12" hidden="1" customHeight="1">
      <c r="A12902" s="198"/>
    </row>
    <row r="12903" spans="1:1" s="199" customFormat="1" ht="12" hidden="1" customHeight="1">
      <c r="A12903" s="198"/>
    </row>
    <row r="12904" spans="1:1" s="199" customFormat="1" ht="12" hidden="1" customHeight="1">
      <c r="A12904" s="198"/>
    </row>
    <row r="12905" spans="1:1" s="199" customFormat="1" ht="12" hidden="1" customHeight="1">
      <c r="A12905" s="198"/>
    </row>
    <row r="12906" spans="1:1" s="199" customFormat="1" ht="12" hidden="1" customHeight="1">
      <c r="A12906" s="198"/>
    </row>
    <row r="12907" spans="1:1" s="199" customFormat="1" ht="12" hidden="1" customHeight="1">
      <c r="A12907" s="198"/>
    </row>
    <row r="12908" spans="1:1" s="199" customFormat="1" ht="12" hidden="1" customHeight="1">
      <c r="A12908" s="198"/>
    </row>
    <row r="12909" spans="1:1" s="199" customFormat="1" ht="12" hidden="1" customHeight="1">
      <c r="A12909" s="198"/>
    </row>
    <row r="12910" spans="1:1" s="199" customFormat="1" ht="12" hidden="1" customHeight="1">
      <c r="A12910" s="198"/>
    </row>
    <row r="12911" spans="1:1" s="199" customFormat="1" ht="12" hidden="1" customHeight="1">
      <c r="A12911" s="198"/>
    </row>
    <row r="12912" spans="1:1" s="199" customFormat="1" ht="12" hidden="1" customHeight="1">
      <c r="A12912" s="198"/>
    </row>
    <row r="12913" spans="1:1" s="199" customFormat="1" ht="12" hidden="1" customHeight="1">
      <c r="A12913" s="198"/>
    </row>
    <row r="12914" spans="1:1" s="199" customFormat="1" ht="12" hidden="1" customHeight="1">
      <c r="A12914" s="198"/>
    </row>
    <row r="12915" spans="1:1" s="199" customFormat="1" ht="12" hidden="1" customHeight="1">
      <c r="A12915" s="198"/>
    </row>
    <row r="12916" spans="1:1" s="199" customFormat="1" ht="12" hidden="1" customHeight="1">
      <c r="A12916" s="198"/>
    </row>
    <row r="12917" spans="1:1" s="199" customFormat="1" ht="12" hidden="1" customHeight="1">
      <c r="A12917" s="198"/>
    </row>
    <row r="12918" spans="1:1" s="199" customFormat="1" ht="12" hidden="1" customHeight="1">
      <c r="A12918" s="198"/>
    </row>
    <row r="12919" spans="1:1" s="199" customFormat="1" ht="12" hidden="1" customHeight="1">
      <c r="A12919" s="198"/>
    </row>
    <row r="12920" spans="1:1" s="199" customFormat="1" ht="12" hidden="1" customHeight="1">
      <c r="A12920" s="198"/>
    </row>
    <row r="12921" spans="1:1" s="199" customFormat="1" ht="12" hidden="1" customHeight="1">
      <c r="A12921" s="198"/>
    </row>
    <row r="12922" spans="1:1" s="199" customFormat="1" ht="12" hidden="1" customHeight="1">
      <c r="A12922" s="198"/>
    </row>
    <row r="12923" spans="1:1" s="199" customFormat="1" ht="12" hidden="1" customHeight="1">
      <c r="A12923" s="198"/>
    </row>
    <row r="12924" spans="1:1" s="199" customFormat="1" ht="12" hidden="1" customHeight="1">
      <c r="A12924" s="198"/>
    </row>
    <row r="12925" spans="1:1" s="199" customFormat="1" ht="12" hidden="1" customHeight="1">
      <c r="A12925" s="198"/>
    </row>
    <row r="12926" spans="1:1" s="199" customFormat="1" ht="12" hidden="1" customHeight="1">
      <c r="A12926" s="198"/>
    </row>
    <row r="12927" spans="1:1" s="199" customFormat="1" ht="12" hidden="1" customHeight="1">
      <c r="A12927" s="198"/>
    </row>
    <row r="12928" spans="1:1" s="199" customFormat="1" ht="12" hidden="1" customHeight="1">
      <c r="A12928" s="198"/>
    </row>
    <row r="12929" spans="1:1" s="199" customFormat="1" ht="12" hidden="1" customHeight="1">
      <c r="A12929" s="198"/>
    </row>
    <row r="12930" spans="1:1" s="199" customFormat="1" ht="12" hidden="1" customHeight="1">
      <c r="A12930" s="198"/>
    </row>
    <row r="12931" spans="1:1" s="199" customFormat="1" ht="12" hidden="1" customHeight="1">
      <c r="A12931" s="198"/>
    </row>
    <row r="12932" spans="1:1" s="199" customFormat="1" ht="12" hidden="1" customHeight="1">
      <c r="A12932" s="198"/>
    </row>
    <row r="12933" spans="1:1" s="199" customFormat="1" ht="12" hidden="1" customHeight="1">
      <c r="A12933" s="198"/>
    </row>
    <row r="12934" spans="1:1" s="199" customFormat="1" ht="12" hidden="1" customHeight="1">
      <c r="A12934" s="198"/>
    </row>
    <row r="12935" spans="1:1" s="199" customFormat="1" ht="12" hidden="1" customHeight="1">
      <c r="A12935" s="198"/>
    </row>
    <row r="12936" spans="1:1" s="199" customFormat="1" ht="12" hidden="1" customHeight="1">
      <c r="A12936" s="198"/>
    </row>
    <row r="12937" spans="1:1" s="199" customFormat="1" ht="12" hidden="1" customHeight="1">
      <c r="A12937" s="198"/>
    </row>
    <row r="12938" spans="1:1" s="199" customFormat="1" ht="12" hidden="1" customHeight="1">
      <c r="A12938" s="198"/>
    </row>
    <row r="12939" spans="1:1" s="199" customFormat="1" ht="12" hidden="1" customHeight="1">
      <c r="A12939" s="198"/>
    </row>
    <row r="12940" spans="1:1" s="199" customFormat="1" ht="12" hidden="1" customHeight="1">
      <c r="A12940" s="198"/>
    </row>
    <row r="12941" spans="1:1" s="199" customFormat="1" ht="12" hidden="1" customHeight="1">
      <c r="A12941" s="198"/>
    </row>
    <row r="12942" spans="1:1" s="199" customFormat="1" ht="12" hidden="1" customHeight="1">
      <c r="A12942" s="198"/>
    </row>
    <row r="12943" spans="1:1" s="199" customFormat="1" ht="12" hidden="1" customHeight="1">
      <c r="A12943" s="198"/>
    </row>
    <row r="12944" spans="1:1" s="199" customFormat="1" ht="12" hidden="1" customHeight="1">
      <c r="A12944" s="198"/>
    </row>
    <row r="12945" spans="1:1" s="199" customFormat="1" ht="12" hidden="1" customHeight="1">
      <c r="A12945" s="198"/>
    </row>
    <row r="12946" spans="1:1" s="199" customFormat="1" ht="12" hidden="1" customHeight="1">
      <c r="A12946" s="198"/>
    </row>
    <row r="12947" spans="1:1" s="199" customFormat="1" ht="12" hidden="1" customHeight="1">
      <c r="A12947" s="198"/>
    </row>
    <row r="12948" spans="1:1" s="199" customFormat="1" ht="12" hidden="1" customHeight="1">
      <c r="A12948" s="198"/>
    </row>
    <row r="12949" spans="1:1" s="199" customFormat="1" ht="12" hidden="1" customHeight="1">
      <c r="A12949" s="198"/>
    </row>
    <row r="12950" spans="1:1" s="199" customFormat="1" ht="12" hidden="1" customHeight="1">
      <c r="A12950" s="198"/>
    </row>
    <row r="12951" spans="1:1" s="199" customFormat="1" ht="12" hidden="1" customHeight="1">
      <c r="A12951" s="198"/>
    </row>
    <row r="12952" spans="1:1" s="199" customFormat="1" ht="12" hidden="1" customHeight="1">
      <c r="A12952" s="198"/>
    </row>
    <row r="12953" spans="1:1" s="199" customFormat="1" ht="12" hidden="1" customHeight="1">
      <c r="A12953" s="198"/>
    </row>
    <row r="12954" spans="1:1" s="199" customFormat="1" ht="12" hidden="1" customHeight="1">
      <c r="A12954" s="198"/>
    </row>
    <row r="12955" spans="1:1" s="199" customFormat="1" ht="12" hidden="1" customHeight="1">
      <c r="A12955" s="198"/>
    </row>
    <row r="12956" spans="1:1" s="199" customFormat="1" ht="12" hidden="1" customHeight="1">
      <c r="A12956" s="198"/>
    </row>
    <row r="12957" spans="1:1" s="199" customFormat="1" ht="12" hidden="1" customHeight="1">
      <c r="A12957" s="198"/>
    </row>
    <row r="12958" spans="1:1" s="199" customFormat="1" ht="12" hidden="1" customHeight="1">
      <c r="A12958" s="198"/>
    </row>
    <row r="12959" spans="1:1" s="199" customFormat="1" ht="12" hidden="1" customHeight="1">
      <c r="A12959" s="198"/>
    </row>
    <row r="12960" spans="1:1" s="199" customFormat="1" ht="12" hidden="1" customHeight="1">
      <c r="A12960" s="198"/>
    </row>
    <row r="12961" spans="1:1" s="199" customFormat="1" ht="12" hidden="1" customHeight="1">
      <c r="A12961" s="198"/>
    </row>
    <row r="12962" spans="1:1" s="199" customFormat="1" ht="12" hidden="1" customHeight="1">
      <c r="A12962" s="198"/>
    </row>
    <row r="12963" spans="1:1" s="199" customFormat="1" ht="12" hidden="1" customHeight="1">
      <c r="A12963" s="198"/>
    </row>
    <row r="12964" spans="1:1" s="199" customFormat="1" ht="12" hidden="1" customHeight="1">
      <c r="A12964" s="198"/>
    </row>
    <row r="12965" spans="1:1" s="199" customFormat="1" ht="12" hidden="1" customHeight="1">
      <c r="A12965" s="198"/>
    </row>
    <row r="12966" spans="1:1" s="199" customFormat="1" ht="12" hidden="1" customHeight="1">
      <c r="A12966" s="198"/>
    </row>
    <row r="12967" spans="1:1" s="199" customFormat="1" ht="12" hidden="1" customHeight="1">
      <c r="A12967" s="198"/>
    </row>
    <row r="12968" spans="1:1" s="199" customFormat="1" ht="12" hidden="1" customHeight="1">
      <c r="A12968" s="198"/>
    </row>
    <row r="12969" spans="1:1" s="199" customFormat="1" ht="12" hidden="1" customHeight="1">
      <c r="A12969" s="198"/>
    </row>
    <row r="12970" spans="1:1" s="199" customFormat="1" ht="12" hidden="1" customHeight="1">
      <c r="A12970" s="198"/>
    </row>
    <row r="12971" spans="1:1" s="199" customFormat="1" ht="12" hidden="1" customHeight="1">
      <c r="A12971" s="198"/>
    </row>
    <row r="12972" spans="1:1" s="199" customFormat="1" ht="12" hidden="1" customHeight="1">
      <c r="A12972" s="198"/>
    </row>
    <row r="12973" spans="1:1" s="199" customFormat="1" ht="12" hidden="1" customHeight="1">
      <c r="A12973" s="198"/>
    </row>
    <row r="12974" spans="1:1" s="199" customFormat="1" ht="12" hidden="1" customHeight="1">
      <c r="A12974" s="198"/>
    </row>
    <row r="12975" spans="1:1" s="199" customFormat="1" ht="12" hidden="1" customHeight="1">
      <c r="A12975" s="198"/>
    </row>
    <row r="12976" spans="1:1" s="199" customFormat="1" ht="12" hidden="1" customHeight="1">
      <c r="A12976" s="198"/>
    </row>
    <row r="12977" spans="1:1" s="199" customFormat="1" ht="12" hidden="1" customHeight="1">
      <c r="A12977" s="198"/>
    </row>
    <row r="12978" spans="1:1" s="199" customFormat="1" ht="12" hidden="1" customHeight="1">
      <c r="A12978" s="198"/>
    </row>
    <row r="12979" spans="1:1" s="199" customFormat="1" ht="12" hidden="1" customHeight="1">
      <c r="A12979" s="198"/>
    </row>
    <row r="12980" spans="1:1" s="199" customFormat="1" ht="12" hidden="1" customHeight="1">
      <c r="A12980" s="198"/>
    </row>
    <row r="12981" spans="1:1" s="199" customFormat="1" ht="12" hidden="1" customHeight="1">
      <c r="A12981" s="198"/>
    </row>
    <row r="12982" spans="1:1" s="199" customFormat="1" ht="12" hidden="1" customHeight="1">
      <c r="A12982" s="198"/>
    </row>
    <row r="12983" spans="1:1" s="199" customFormat="1" ht="12" hidden="1" customHeight="1">
      <c r="A12983" s="198"/>
    </row>
    <row r="12984" spans="1:1" s="199" customFormat="1" ht="12" hidden="1" customHeight="1">
      <c r="A12984" s="198"/>
    </row>
    <row r="12985" spans="1:1" s="199" customFormat="1" ht="12" hidden="1" customHeight="1">
      <c r="A12985" s="198"/>
    </row>
    <row r="12986" spans="1:1" s="199" customFormat="1" ht="12" hidden="1" customHeight="1">
      <c r="A12986" s="198"/>
    </row>
    <row r="12987" spans="1:1" s="199" customFormat="1" ht="12" hidden="1" customHeight="1">
      <c r="A12987" s="198"/>
    </row>
    <row r="12988" spans="1:1" s="199" customFormat="1" ht="12" hidden="1" customHeight="1">
      <c r="A12988" s="198"/>
    </row>
    <row r="12989" spans="1:1" s="199" customFormat="1" ht="12" hidden="1" customHeight="1">
      <c r="A12989" s="198"/>
    </row>
    <row r="12990" spans="1:1" s="199" customFormat="1" ht="12" hidden="1" customHeight="1">
      <c r="A12990" s="198"/>
    </row>
    <row r="12991" spans="1:1" s="199" customFormat="1" ht="12" hidden="1" customHeight="1">
      <c r="A12991" s="198"/>
    </row>
    <row r="12992" spans="1:1" s="199" customFormat="1" ht="12" hidden="1" customHeight="1">
      <c r="A12992" s="198"/>
    </row>
    <row r="12993" spans="1:1" s="199" customFormat="1" ht="12" hidden="1" customHeight="1">
      <c r="A12993" s="198"/>
    </row>
    <row r="12994" spans="1:1" s="199" customFormat="1" ht="12" hidden="1" customHeight="1">
      <c r="A12994" s="198"/>
    </row>
    <row r="12995" spans="1:1" s="199" customFormat="1" ht="12" hidden="1" customHeight="1">
      <c r="A12995" s="198"/>
    </row>
    <row r="12996" spans="1:1" s="199" customFormat="1" ht="12" hidden="1" customHeight="1">
      <c r="A12996" s="198"/>
    </row>
    <row r="12997" spans="1:1" s="199" customFormat="1" ht="12" hidden="1" customHeight="1">
      <c r="A12997" s="198"/>
    </row>
    <row r="12998" spans="1:1" s="199" customFormat="1" ht="12" hidden="1" customHeight="1">
      <c r="A12998" s="198"/>
    </row>
    <row r="12999" spans="1:1" s="199" customFormat="1" ht="12" hidden="1" customHeight="1">
      <c r="A12999" s="198"/>
    </row>
    <row r="13000" spans="1:1" s="199" customFormat="1" ht="12" hidden="1" customHeight="1">
      <c r="A13000" s="198"/>
    </row>
    <row r="13001" spans="1:1" s="199" customFormat="1" ht="12" hidden="1" customHeight="1">
      <c r="A13001" s="198"/>
    </row>
    <row r="13002" spans="1:1" s="199" customFormat="1" ht="12" hidden="1" customHeight="1">
      <c r="A13002" s="198"/>
    </row>
    <row r="13003" spans="1:1" s="199" customFormat="1" ht="12" hidden="1" customHeight="1">
      <c r="A13003" s="198"/>
    </row>
    <row r="13004" spans="1:1" s="199" customFormat="1" ht="12" hidden="1" customHeight="1">
      <c r="A13004" s="198"/>
    </row>
    <row r="13005" spans="1:1" s="199" customFormat="1" ht="12" hidden="1" customHeight="1">
      <c r="A13005" s="198"/>
    </row>
    <row r="13006" spans="1:1" s="199" customFormat="1" ht="12" hidden="1" customHeight="1">
      <c r="A13006" s="198"/>
    </row>
    <row r="13007" spans="1:1" s="199" customFormat="1" ht="12" hidden="1" customHeight="1">
      <c r="A13007" s="198"/>
    </row>
    <row r="13008" spans="1:1" s="199" customFormat="1" ht="12" hidden="1" customHeight="1">
      <c r="A13008" s="198"/>
    </row>
    <row r="13009" spans="1:1" s="199" customFormat="1" ht="12" hidden="1" customHeight="1">
      <c r="A13009" s="198"/>
    </row>
    <row r="13010" spans="1:1" s="199" customFormat="1" ht="12" hidden="1" customHeight="1">
      <c r="A13010" s="198"/>
    </row>
    <row r="13011" spans="1:1" s="199" customFormat="1" ht="12" hidden="1" customHeight="1">
      <c r="A13011" s="198"/>
    </row>
    <row r="13012" spans="1:1" s="199" customFormat="1" ht="12" hidden="1" customHeight="1">
      <c r="A13012" s="198"/>
    </row>
    <row r="13013" spans="1:1" s="199" customFormat="1" ht="12" hidden="1" customHeight="1">
      <c r="A13013" s="198"/>
    </row>
    <row r="13014" spans="1:1" s="199" customFormat="1" ht="12" hidden="1" customHeight="1">
      <c r="A13014" s="198"/>
    </row>
    <row r="13015" spans="1:1" s="199" customFormat="1" ht="12" hidden="1" customHeight="1">
      <c r="A13015" s="198"/>
    </row>
    <row r="13016" spans="1:1" s="199" customFormat="1" ht="12" hidden="1" customHeight="1">
      <c r="A13016" s="198"/>
    </row>
    <row r="13017" spans="1:1" s="199" customFormat="1" ht="12" hidden="1" customHeight="1">
      <c r="A13017" s="198"/>
    </row>
    <row r="13018" spans="1:1" s="199" customFormat="1" ht="12" hidden="1" customHeight="1">
      <c r="A13018" s="198"/>
    </row>
    <row r="13019" spans="1:1" s="199" customFormat="1" ht="12" hidden="1" customHeight="1">
      <c r="A13019" s="198"/>
    </row>
    <row r="13020" spans="1:1" s="199" customFormat="1" ht="12" hidden="1" customHeight="1">
      <c r="A13020" s="198"/>
    </row>
    <row r="13021" spans="1:1" s="199" customFormat="1" ht="12" hidden="1" customHeight="1">
      <c r="A13021" s="198"/>
    </row>
    <row r="13022" spans="1:1" s="199" customFormat="1" ht="12" hidden="1" customHeight="1">
      <c r="A13022" s="198"/>
    </row>
    <row r="13023" spans="1:1" s="199" customFormat="1" ht="12" hidden="1" customHeight="1">
      <c r="A13023" s="198"/>
    </row>
    <row r="13024" spans="1:1" s="199" customFormat="1" ht="12" hidden="1" customHeight="1">
      <c r="A13024" s="198"/>
    </row>
    <row r="13025" spans="1:1" s="199" customFormat="1" ht="12" hidden="1" customHeight="1">
      <c r="A13025" s="198"/>
    </row>
    <row r="13026" spans="1:1" s="199" customFormat="1" ht="12" hidden="1" customHeight="1">
      <c r="A13026" s="198"/>
    </row>
    <row r="13027" spans="1:1" s="199" customFormat="1" ht="12" hidden="1" customHeight="1">
      <c r="A13027" s="198"/>
    </row>
    <row r="13028" spans="1:1" s="199" customFormat="1" ht="12" hidden="1" customHeight="1">
      <c r="A13028" s="198"/>
    </row>
    <row r="13029" spans="1:1" s="199" customFormat="1" ht="12" hidden="1" customHeight="1">
      <c r="A13029" s="198"/>
    </row>
    <row r="13030" spans="1:1" s="199" customFormat="1" ht="12" hidden="1" customHeight="1">
      <c r="A13030" s="198"/>
    </row>
    <row r="13031" spans="1:1" s="199" customFormat="1" ht="12" hidden="1" customHeight="1">
      <c r="A13031" s="198"/>
    </row>
    <row r="13032" spans="1:1" s="199" customFormat="1" ht="12" hidden="1" customHeight="1">
      <c r="A13032" s="198"/>
    </row>
    <row r="13033" spans="1:1" s="199" customFormat="1" ht="12" hidden="1" customHeight="1">
      <c r="A13033" s="198"/>
    </row>
    <row r="13034" spans="1:1" s="199" customFormat="1" ht="12" hidden="1" customHeight="1">
      <c r="A13034" s="198"/>
    </row>
    <row r="13035" spans="1:1" s="199" customFormat="1" ht="12" hidden="1" customHeight="1">
      <c r="A13035" s="198"/>
    </row>
    <row r="13036" spans="1:1" s="199" customFormat="1" ht="12" hidden="1" customHeight="1">
      <c r="A13036" s="198"/>
    </row>
    <row r="13037" spans="1:1" s="199" customFormat="1" ht="12" hidden="1" customHeight="1">
      <c r="A13037" s="198"/>
    </row>
    <row r="13038" spans="1:1" s="199" customFormat="1" ht="12" hidden="1" customHeight="1">
      <c r="A13038" s="198"/>
    </row>
    <row r="13039" spans="1:1" s="199" customFormat="1" ht="12" hidden="1" customHeight="1">
      <c r="A13039" s="198"/>
    </row>
    <row r="13040" spans="1:1" s="199" customFormat="1" ht="12" hidden="1" customHeight="1">
      <c r="A13040" s="198"/>
    </row>
    <row r="13041" spans="1:1" s="199" customFormat="1" ht="12" hidden="1" customHeight="1">
      <c r="A13041" s="198"/>
    </row>
    <row r="13042" spans="1:1" s="199" customFormat="1" ht="12" hidden="1" customHeight="1">
      <c r="A13042" s="198"/>
    </row>
    <row r="13043" spans="1:1" s="199" customFormat="1" ht="12" hidden="1" customHeight="1">
      <c r="A13043" s="198"/>
    </row>
    <row r="13044" spans="1:1" s="199" customFormat="1" ht="12" hidden="1" customHeight="1">
      <c r="A13044" s="198"/>
    </row>
    <row r="13045" spans="1:1" s="199" customFormat="1" ht="12" hidden="1" customHeight="1">
      <c r="A13045" s="198"/>
    </row>
    <row r="13046" spans="1:1" s="199" customFormat="1" ht="12" hidden="1" customHeight="1">
      <c r="A13046" s="198"/>
    </row>
    <row r="13047" spans="1:1" s="199" customFormat="1" ht="12" hidden="1" customHeight="1">
      <c r="A13047" s="198"/>
    </row>
    <row r="13048" spans="1:1" s="199" customFormat="1" ht="12" hidden="1" customHeight="1">
      <c r="A13048" s="198"/>
    </row>
    <row r="13049" spans="1:1" s="199" customFormat="1" ht="12" hidden="1" customHeight="1">
      <c r="A13049" s="198"/>
    </row>
    <row r="13050" spans="1:1" s="199" customFormat="1" ht="12" hidden="1" customHeight="1">
      <c r="A13050" s="198"/>
    </row>
    <row r="13051" spans="1:1" s="199" customFormat="1" ht="12" hidden="1" customHeight="1">
      <c r="A13051" s="198"/>
    </row>
    <row r="13052" spans="1:1" s="199" customFormat="1" ht="12" hidden="1" customHeight="1">
      <c r="A13052" s="198"/>
    </row>
    <row r="13053" spans="1:1" s="199" customFormat="1" ht="12" hidden="1" customHeight="1">
      <c r="A13053" s="198"/>
    </row>
    <row r="13054" spans="1:1" s="199" customFormat="1" ht="12" hidden="1" customHeight="1">
      <c r="A13054" s="198"/>
    </row>
    <row r="13055" spans="1:1" s="199" customFormat="1" ht="12" hidden="1" customHeight="1">
      <c r="A13055" s="198"/>
    </row>
    <row r="13056" spans="1:1" s="199" customFormat="1" ht="12" hidden="1" customHeight="1">
      <c r="A13056" s="198"/>
    </row>
    <row r="13057" spans="1:1" s="199" customFormat="1" ht="12" hidden="1" customHeight="1">
      <c r="A13057" s="198"/>
    </row>
    <row r="13058" spans="1:1" s="199" customFormat="1" ht="12" hidden="1" customHeight="1">
      <c r="A13058" s="198"/>
    </row>
    <row r="13059" spans="1:1" s="199" customFormat="1" ht="12" hidden="1" customHeight="1">
      <c r="A13059" s="198"/>
    </row>
    <row r="13060" spans="1:1" s="199" customFormat="1" ht="12" hidden="1" customHeight="1">
      <c r="A13060" s="198"/>
    </row>
    <row r="13061" spans="1:1" s="199" customFormat="1" ht="12" hidden="1" customHeight="1">
      <c r="A13061" s="198"/>
    </row>
    <row r="13062" spans="1:1" s="199" customFormat="1" ht="12" hidden="1" customHeight="1">
      <c r="A13062" s="198"/>
    </row>
    <row r="13063" spans="1:1" s="199" customFormat="1" ht="12" hidden="1" customHeight="1">
      <c r="A13063" s="198"/>
    </row>
    <row r="13064" spans="1:1" s="199" customFormat="1" ht="12" hidden="1" customHeight="1">
      <c r="A13064" s="198"/>
    </row>
    <row r="13065" spans="1:1" s="199" customFormat="1" ht="12" hidden="1" customHeight="1">
      <c r="A13065" s="198"/>
    </row>
    <row r="13066" spans="1:1" s="199" customFormat="1" ht="12" hidden="1" customHeight="1">
      <c r="A13066" s="198"/>
    </row>
    <row r="13067" spans="1:1" s="199" customFormat="1" ht="12" hidden="1" customHeight="1">
      <c r="A13067" s="198"/>
    </row>
    <row r="13068" spans="1:1" s="199" customFormat="1" ht="12" hidden="1" customHeight="1">
      <c r="A13068" s="198"/>
    </row>
    <row r="13069" spans="1:1" s="199" customFormat="1" ht="12" hidden="1" customHeight="1">
      <c r="A13069" s="198"/>
    </row>
    <row r="13070" spans="1:1" s="199" customFormat="1" ht="12" hidden="1" customHeight="1">
      <c r="A13070" s="198"/>
    </row>
    <row r="13071" spans="1:1" s="199" customFormat="1" ht="12" hidden="1" customHeight="1">
      <c r="A13071" s="198"/>
    </row>
    <row r="13072" spans="1:1" s="199" customFormat="1" ht="12" hidden="1" customHeight="1">
      <c r="A13072" s="198"/>
    </row>
    <row r="13073" spans="1:1" s="199" customFormat="1" ht="12" hidden="1" customHeight="1">
      <c r="A13073" s="198"/>
    </row>
    <row r="13074" spans="1:1" s="199" customFormat="1" ht="12" hidden="1" customHeight="1">
      <c r="A13074" s="198"/>
    </row>
    <row r="13075" spans="1:1" s="199" customFormat="1" ht="12" hidden="1" customHeight="1">
      <c r="A13075" s="198"/>
    </row>
    <row r="13076" spans="1:1" s="199" customFormat="1" ht="12" hidden="1" customHeight="1">
      <c r="A13076" s="198"/>
    </row>
    <row r="13077" spans="1:1" s="199" customFormat="1" ht="12" hidden="1" customHeight="1">
      <c r="A13077" s="198"/>
    </row>
    <row r="13078" spans="1:1" s="199" customFormat="1" ht="12" hidden="1" customHeight="1">
      <c r="A13078" s="198"/>
    </row>
    <row r="13079" spans="1:1" s="199" customFormat="1" ht="12" hidden="1" customHeight="1">
      <c r="A13079" s="198"/>
    </row>
    <row r="13080" spans="1:1" s="199" customFormat="1" ht="12" hidden="1" customHeight="1">
      <c r="A13080" s="198"/>
    </row>
    <row r="13081" spans="1:1" s="199" customFormat="1" ht="12" hidden="1" customHeight="1">
      <c r="A13081" s="198"/>
    </row>
    <row r="13082" spans="1:1" s="199" customFormat="1" ht="12" hidden="1" customHeight="1">
      <c r="A13082" s="198"/>
    </row>
    <row r="13083" spans="1:1" s="199" customFormat="1" ht="12" hidden="1" customHeight="1">
      <c r="A13083" s="198"/>
    </row>
    <row r="13084" spans="1:1" s="199" customFormat="1" ht="12" hidden="1" customHeight="1">
      <c r="A13084" s="198"/>
    </row>
    <row r="13085" spans="1:1" s="199" customFormat="1" ht="12" hidden="1" customHeight="1">
      <c r="A13085" s="198"/>
    </row>
    <row r="13086" spans="1:1" s="199" customFormat="1" ht="12" hidden="1" customHeight="1">
      <c r="A13086" s="198"/>
    </row>
    <row r="13087" spans="1:1" s="199" customFormat="1" ht="12" hidden="1" customHeight="1">
      <c r="A13087" s="198"/>
    </row>
    <row r="13088" spans="1:1" s="199" customFormat="1" ht="12" hidden="1" customHeight="1">
      <c r="A13088" s="198"/>
    </row>
    <row r="13089" spans="1:1" s="199" customFormat="1" ht="12" hidden="1" customHeight="1">
      <c r="A13089" s="198"/>
    </row>
    <row r="13090" spans="1:1" s="199" customFormat="1" ht="12" hidden="1" customHeight="1">
      <c r="A13090" s="198"/>
    </row>
    <row r="13091" spans="1:1" s="199" customFormat="1" ht="12" hidden="1" customHeight="1">
      <c r="A13091" s="198"/>
    </row>
    <row r="13092" spans="1:1" s="199" customFormat="1" ht="12" hidden="1" customHeight="1">
      <c r="A13092" s="198"/>
    </row>
    <row r="13093" spans="1:1" s="199" customFormat="1" ht="12" hidden="1" customHeight="1">
      <c r="A13093" s="198"/>
    </row>
    <row r="13094" spans="1:1" s="199" customFormat="1" ht="12" hidden="1" customHeight="1">
      <c r="A13094" s="198"/>
    </row>
    <row r="13095" spans="1:1" s="199" customFormat="1" ht="12" hidden="1" customHeight="1">
      <c r="A13095" s="198"/>
    </row>
    <row r="13096" spans="1:1" s="199" customFormat="1" ht="12" hidden="1" customHeight="1">
      <c r="A13096" s="198"/>
    </row>
    <row r="13097" spans="1:1" s="199" customFormat="1" ht="12" hidden="1" customHeight="1">
      <c r="A13097" s="198"/>
    </row>
    <row r="13098" spans="1:1" s="199" customFormat="1" ht="12" hidden="1" customHeight="1">
      <c r="A13098" s="198"/>
    </row>
    <row r="13099" spans="1:1" s="199" customFormat="1" ht="12" hidden="1" customHeight="1">
      <c r="A13099" s="198"/>
    </row>
    <row r="13100" spans="1:1" s="199" customFormat="1" ht="12" hidden="1" customHeight="1">
      <c r="A13100" s="198"/>
    </row>
    <row r="13101" spans="1:1" s="199" customFormat="1" ht="12" hidden="1" customHeight="1">
      <c r="A13101" s="198"/>
    </row>
    <row r="13102" spans="1:1" s="199" customFormat="1" ht="12" hidden="1" customHeight="1">
      <c r="A13102" s="198"/>
    </row>
    <row r="13103" spans="1:1" s="199" customFormat="1" ht="12" hidden="1" customHeight="1">
      <c r="A13103" s="198"/>
    </row>
    <row r="13104" spans="1:1" s="199" customFormat="1" ht="12" hidden="1" customHeight="1">
      <c r="A13104" s="198"/>
    </row>
    <row r="13105" spans="1:1" s="199" customFormat="1" ht="12" hidden="1" customHeight="1">
      <c r="A13105" s="198"/>
    </row>
    <row r="13106" spans="1:1" s="199" customFormat="1" ht="12" hidden="1" customHeight="1">
      <c r="A13106" s="198"/>
    </row>
    <row r="13107" spans="1:1" s="199" customFormat="1" ht="12" hidden="1" customHeight="1">
      <c r="A13107" s="198"/>
    </row>
    <row r="13108" spans="1:1" s="199" customFormat="1" ht="12" hidden="1" customHeight="1">
      <c r="A13108" s="198"/>
    </row>
    <row r="13109" spans="1:1" s="199" customFormat="1" ht="12" hidden="1" customHeight="1">
      <c r="A13109" s="198"/>
    </row>
    <row r="13110" spans="1:1" s="199" customFormat="1" ht="12" hidden="1" customHeight="1">
      <c r="A13110" s="198"/>
    </row>
    <row r="13111" spans="1:1" s="199" customFormat="1" ht="12" hidden="1" customHeight="1">
      <c r="A13111" s="198"/>
    </row>
    <row r="13112" spans="1:1" s="199" customFormat="1" ht="12" hidden="1" customHeight="1">
      <c r="A13112" s="198"/>
    </row>
    <row r="13113" spans="1:1" s="199" customFormat="1" ht="12" hidden="1" customHeight="1">
      <c r="A13113" s="198"/>
    </row>
    <row r="13114" spans="1:1" s="199" customFormat="1" ht="12" hidden="1" customHeight="1">
      <c r="A13114" s="198"/>
    </row>
    <row r="13115" spans="1:1" s="199" customFormat="1" ht="12" hidden="1" customHeight="1">
      <c r="A13115" s="198"/>
    </row>
    <row r="13116" spans="1:1" s="199" customFormat="1" ht="12" hidden="1" customHeight="1">
      <c r="A13116" s="198"/>
    </row>
    <row r="13117" spans="1:1" s="199" customFormat="1" ht="12" hidden="1" customHeight="1">
      <c r="A13117" s="198"/>
    </row>
    <row r="13118" spans="1:1" s="199" customFormat="1" ht="12" hidden="1" customHeight="1">
      <c r="A13118" s="198"/>
    </row>
    <row r="13119" spans="1:1" s="199" customFormat="1" ht="12" hidden="1" customHeight="1">
      <c r="A13119" s="198"/>
    </row>
    <row r="13120" spans="1:1" s="199" customFormat="1" ht="12" hidden="1" customHeight="1">
      <c r="A13120" s="198"/>
    </row>
    <row r="13121" spans="1:1" s="199" customFormat="1" ht="12" hidden="1" customHeight="1">
      <c r="A13121" s="198"/>
    </row>
    <row r="13122" spans="1:1" s="199" customFormat="1" ht="12" hidden="1" customHeight="1">
      <c r="A13122" s="198"/>
    </row>
    <row r="13123" spans="1:1" s="199" customFormat="1" ht="12" hidden="1" customHeight="1">
      <c r="A13123" s="198"/>
    </row>
    <row r="13124" spans="1:1" s="199" customFormat="1" ht="12" hidden="1" customHeight="1">
      <c r="A13124" s="198"/>
    </row>
    <row r="13125" spans="1:1" s="199" customFormat="1" ht="12" hidden="1" customHeight="1">
      <c r="A13125" s="198"/>
    </row>
    <row r="13126" spans="1:1" s="199" customFormat="1" ht="12" hidden="1" customHeight="1">
      <c r="A13126" s="198"/>
    </row>
    <row r="13127" spans="1:1" s="199" customFormat="1" ht="12" hidden="1" customHeight="1">
      <c r="A13127" s="198"/>
    </row>
    <row r="13128" spans="1:1" s="199" customFormat="1" ht="12" hidden="1" customHeight="1">
      <c r="A13128" s="198"/>
    </row>
    <row r="13129" spans="1:1" s="199" customFormat="1" ht="12" hidden="1" customHeight="1">
      <c r="A13129" s="198"/>
    </row>
    <row r="13130" spans="1:1" s="199" customFormat="1" ht="12" hidden="1" customHeight="1">
      <c r="A13130" s="198"/>
    </row>
    <row r="13131" spans="1:1" s="199" customFormat="1" ht="12" hidden="1" customHeight="1">
      <c r="A13131" s="198"/>
    </row>
    <row r="13132" spans="1:1" s="199" customFormat="1" ht="12" hidden="1" customHeight="1">
      <c r="A13132" s="198"/>
    </row>
    <row r="13133" spans="1:1" s="199" customFormat="1" ht="12" hidden="1" customHeight="1">
      <c r="A13133" s="198"/>
    </row>
    <row r="13134" spans="1:1" s="199" customFormat="1" ht="12" hidden="1" customHeight="1">
      <c r="A13134" s="198"/>
    </row>
    <row r="13135" spans="1:1" s="199" customFormat="1" ht="12" hidden="1" customHeight="1">
      <c r="A13135" s="198"/>
    </row>
    <row r="13136" spans="1:1" s="199" customFormat="1" ht="12" hidden="1" customHeight="1">
      <c r="A13136" s="198"/>
    </row>
    <row r="13137" spans="1:1" s="199" customFormat="1" ht="12" hidden="1" customHeight="1">
      <c r="A13137" s="198"/>
    </row>
    <row r="13138" spans="1:1" s="199" customFormat="1" ht="12" hidden="1" customHeight="1">
      <c r="A13138" s="198"/>
    </row>
    <row r="13139" spans="1:1" s="199" customFormat="1" ht="12" hidden="1" customHeight="1">
      <c r="A13139" s="198"/>
    </row>
    <row r="13140" spans="1:1" s="199" customFormat="1" ht="12" hidden="1" customHeight="1">
      <c r="A13140" s="198"/>
    </row>
    <row r="13141" spans="1:1" s="199" customFormat="1" ht="12" hidden="1" customHeight="1">
      <c r="A13141" s="198"/>
    </row>
    <row r="13142" spans="1:1" s="199" customFormat="1" ht="12" hidden="1" customHeight="1">
      <c r="A13142" s="198"/>
    </row>
    <row r="13143" spans="1:1" s="199" customFormat="1" ht="12" hidden="1" customHeight="1">
      <c r="A13143" s="198"/>
    </row>
    <row r="13144" spans="1:1" s="199" customFormat="1" ht="12" hidden="1" customHeight="1">
      <c r="A13144" s="198"/>
    </row>
    <row r="13145" spans="1:1" s="199" customFormat="1" ht="12" hidden="1" customHeight="1">
      <c r="A13145" s="198"/>
    </row>
    <row r="13146" spans="1:1" s="199" customFormat="1" ht="12" hidden="1" customHeight="1">
      <c r="A13146" s="198"/>
    </row>
    <row r="13147" spans="1:1" s="199" customFormat="1" ht="12" hidden="1" customHeight="1">
      <c r="A13147" s="198"/>
    </row>
    <row r="13148" spans="1:1" s="199" customFormat="1" ht="12" hidden="1" customHeight="1">
      <c r="A13148" s="198"/>
    </row>
    <row r="13149" spans="1:1" s="199" customFormat="1" ht="12" hidden="1" customHeight="1">
      <c r="A13149" s="198"/>
    </row>
    <row r="13150" spans="1:1" s="199" customFormat="1" ht="12" hidden="1" customHeight="1">
      <c r="A13150" s="198"/>
    </row>
    <row r="13151" spans="1:1" s="199" customFormat="1" ht="12" hidden="1" customHeight="1">
      <c r="A13151" s="198"/>
    </row>
    <row r="13152" spans="1:1" s="199" customFormat="1" ht="12" hidden="1" customHeight="1">
      <c r="A13152" s="198"/>
    </row>
    <row r="13153" spans="1:1" s="199" customFormat="1" ht="12" hidden="1" customHeight="1">
      <c r="A13153" s="198"/>
    </row>
    <row r="13154" spans="1:1" s="199" customFormat="1" ht="12" hidden="1" customHeight="1">
      <c r="A13154" s="198"/>
    </row>
    <row r="13155" spans="1:1" s="199" customFormat="1" ht="12" hidden="1" customHeight="1">
      <c r="A13155" s="198"/>
    </row>
    <row r="13156" spans="1:1" s="199" customFormat="1" ht="12" hidden="1" customHeight="1">
      <c r="A13156" s="198"/>
    </row>
    <row r="13157" spans="1:1" s="199" customFormat="1" ht="12" hidden="1" customHeight="1">
      <c r="A13157" s="198"/>
    </row>
    <row r="13158" spans="1:1" s="199" customFormat="1" ht="12" hidden="1" customHeight="1">
      <c r="A13158" s="198"/>
    </row>
    <row r="13159" spans="1:1" s="199" customFormat="1" ht="12" hidden="1" customHeight="1">
      <c r="A13159" s="198"/>
    </row>
    <row r="13160" spans="1:1" s="199" customFormat="1" ht="12" hidden="1" customHeight="1">
      <c r="A13160" s="198"/>
    </row>
    <row r="13161" spans="1:1" s="199" customFormat="1" ht="12" hidden="1" customHeight="1">
      <c r="A13161" s="198"/>
    </row>
    <row r="13162" spans="1:1" s="199" customFormat="1" ht="12" hidden="1" customHeight="1">
      <c r="A13162" s="198"/>
    </row>
    <row r="13163" spans="1:1" s="199" customFormat="1" ht="12" hidden="1" customHeight="1">
      <c r="A13163" s="198"/>
    </row>
    <row r="13164" spans="1:1" s="199" customFormat="1" ht="12" hidden="1" customHeight="1">
      <c r="A13164" s="198"/>
    </row>
    <row r="13165" spans="1:1" s="199" customFormat="1" ht="12" hidden="1" customHeight="1">
      <c r="A13165" s="198"/>
    </row>
    <row r="13166" spans="1:1" s="199" customFormat="1" ht="12" hidden="1" customHeight="1">
      <c r="A13166" s="198"/>
    </row>
    <row r="13167" spans="1:1" s="199" customFormat="1" ht="12" hidden="1" customHeight="1">
      <c r="A13167" s="198"/>
    </row>
    <row r="13168" spans="1:1" s="199" customFormat="1" ht="12" hidden="1" customHeight="1">
      <c r="A13168" s="198"/>
    </row>
    <row r="13169" spans="1:1" s="199" customFormat="1" ht="12" hidden="1" customHeight="1">
      <c r="A13169" s="198"/>
    </row>
    <row r="13170" spans="1:1" s="199" customFormat="1" ht="12" hidden="1" customHeight="1">
      <c r="A13170" s="198"/>
    </row>
    <row r="13171" spans="1:1" s="199" customFormat="1" ht="12" hidden="1" customHeight="1">
      <c r="A13171" s="198"/>
    </row>
    <row r="13172" spans="1:1" s="199" customFormat="1" ht="12" hidden="1" customHeight="1">
      <c r="A13172" s="198"/>
    </row>
    <row r="13173" spans="1:1" s="199" customFormat="1" ht="12" hidden="1" customHeight="1">
      <c r="A13173" s="198"/>
    </row>
    <row r="13174" spans="1:1" s="199" customFormat="1" ht="12" hidden="1" customHeight="1">
      <c r="A13174" s="198"/>
    </row>
    <row r="13175" spans="1:1" s="199" customFormat="1" ht="12" hidden="1" customHeight="1">
      <c r="A13175" s="198"/>
    </row>
    <row r="13176" spans="1:1" s="199" customFormat="1" ht="12" hidden="1" customHeight="1">
      <c r="A13176" s="198"/>
    </row>
    <row r="13177" spans="1:1" s="199" customFormat="1" ht="12" hidden="1" customHeight="1">
      <c r="A13177" s="198"/>
    </row>
    <row r="13178" spans="1:1" s="199" customFormat="1" ht="12" hidden="1" customHeight="1">
      <c r="A13178" s="198"/>
    </row>
    <row r="13179" spans="1:1" s="199" customFormat="1" ht="12" hidden="1" customHeight="1">
      <c r="A13179" s="198"/>
    </row>
    <row r="13180" spans="1:1" s="199" customFormat="1" ht="12" hidden="1" customHeight="1">
      <c r="A13180" s="198"/>
    </row>
    <row r="13181" spans="1:1" s="199" customFormat="1" ht="12" hidden="1" customHeight="1">
      <c r="A13181" s="198"/>
    </row>
    <row r="13182" spans="1:1" s="199" customFormat="1" ht="12" hidden="1" customHeight="1">
      <c r="A13182" s="198"/>
    </row>
    <row r="13183" spans="1:1" s="199" customFormat="1" ht="12" hidden="1" customHeight="1">
      <c r="A13183" s="198"/>
    </row>
    <row r="13184" spans="1:1" s="199" customFormat="1" ht="12" hidden="1" customHeight="1">
      <c r="A13184" s="198"/>
    </row>
    <row r="13185" spans="1:1" s="199" customFormat="1" ht="12" hidden="1" customHeight="1">
      <c r="A13185" s="198"/>
    </row>
    <row r="13186" spans="1:1" s="199" customFormat="1" ht="12" hidden="1" customHeight="1">
      <c r="A13186" s="198"/>
    </row>
    <row r="13187" spans="1:1" s="199" customFormat="1" ht="12" hidden="1" customHeight="1">
      <c r="A13187" s="198"/>
    </row>
    <row r="13188" spans="1:1" s="199" customFormat="1" ht="12" hidden="1" customHeight="1">
      <c r="A13188" s="198"/>
    </row>
    <row r="13189" spans="1:1" s="199" customFormat="1" ht="12" hidden="1" customHeight="1">
      <c r="A13189" s="198"/>
    </row>
    <row r="13190" spans="1:1" s="199" customFormat="1" ht="12" hidden="1" customHeight="1">
      <c r="A13190" s="198"/>
    </row>
    <row r="13191" spans="1:1" s="199" customFormat="1" ht="12" hidden="1" customHeight="1">
      <c r="A13191" s="198"/>
    </row>
    <row r="13192" spans="1:1" s="199" customFormat="1" ht="12" hidden="1" customHeight="1">
      <c r="A13192" s="198"/>
    </row>
    <row r="13193" spans="1:1" s="199" customFormat="1" ht="12" hidden="1" customHeight="1">
      <c r="A13193" s="198"/>
    </row>
    <row r="13194" spans="1:1" s="199" customFormat="1" ht="12" hidden="1" customHeight="1">
      <c r="A13194" s="198"/>
    </row>
    <row r="13195" spans="1:1" s="199" customFormat="1" ht="12" hidden="1" customHeight="1">
      <c r="A13195" s="198"/>
    </row>
    <row r="13196" spans="1:1" s="199" customFormat="1" ht="12" hidden="1" customHeight="1">
      <c r="A13196" s="198"/>
    </row>
    <row r="13197" spans="1:1" s="199" customFormat="1" ht="12" hidden="1" customHeight="1">
      <c r="A13197" s="198"/>
    </row>
    <row r="13198" spans="1:1" s="199" customFormat="1" ht="12" hidden="1" customHeight="1">
      <c r="A13198" s="198"/>
    </row>
    <row r="13199" spans="1:1" s="199" customFormat="1" ht="12" hidden="1" customHeight="1">
      <c r="A13199" s="198"/>
    </row>
    <row r="13200" spans="1:1" s="199" customFormat="1" ht="12" hidden="1" customHeight="1">
      <c r="A13200" s="198"/>
    </row>
    <row r="13201" spans="1:1" s="199" customFormat="1" ht="12" hidden="1" customHeight="1">
      <c r="A13201" s="198"/>
    </row>
    <row r="13202" spans="1:1" s="199" customFormat="1" ht="12" hidden="1" customHeight="1">
      <c r="A13202" s="198"/>
    </row>
    <row r="13203" spans="1:1" s="199" customFormat="1" ht="12" hidden="1" customHeight="1">
      <c r="A13203" s="198"/>
    </row>
    <row r="13204" spans="1:1" s="199" customFormat="1" ht="12" hidden="1" customHeight="1">
      <c r="A13204" s="198"/>
    </row>
    <row r="13205" spans="1:1" s="199" customFormat="1" ht="12" hidden="1" customHeight="1">
      <c r="A13205" s="198"/>
    </row>
    <row r="13206" spans="1:1" s="199" customFormat="1" ht="12" hidden="1" customHeight="1">
      <c r="A13206" s="198"/>
    </row>
    <row r="13207" spans="1:1" s="199" customFormat="1" ht="12" hidden="1" customHeight="1">
      <c r="A13207" s="198"/>
    </row>
    <row r="13208" spans="1:1" s="199" customFormat="1" ht="12" hidden="1" customHeight="1">
      <c r="A13208" s="198"/>
    </row>
    <row r="13209" spans="1:1" s="199" customFormat="1" ht="12" hidden="1" customHeight="1">
      <c r="A13209" s="198"/>
    </row>
    <row r="13210" spans="1:1" s="199" customFormat="1" ht="12" hidden="1" customHeight="1">
      <c r="A13210" s="198"/>
    </row>
    <row r="13211" spans="1:1" s="199" customFormat="1" ht="12" hidden="1" customHeight="1">
      <c r="A13211" s="198"/>
    </row>
    <row r="13212" spans="1:1" s="199" customFormat="1" ht="12" hidden="1" customHeight="1">
      <c r="A13212" s="198"/>
    </row>
    <row r="13213" spans="1:1" s="199" customFormat="1" ht="12" hidden="1" customHeight="1">
      <c r="A13213" s="198"/>
    </row>
    <row r="13214" spans="1:1" s="199" customFormat="1" ht="12" hidden="1" customHeight="1">
      <c r="A13214" s="198"/>
    </row>
    <row r="13215" spans="1:1" s="199" customFormat="1" ht="12" hidden="1" customHeight="1">
      <c r="A13215" s="198"/>
    </row>
    <row r="13216" spans="1:1" s="199" customFormat="1" ht="12" hidden="1" customHeight="1">
      <c r="A13216" s="198"/>
    </row>
    <row r="13217" spans="1:1" s="199" customFormat="1" ht="12" hidden="1" customHeight="1">
      <c r="A13217" s="198"/>
    </row>
    <row r="13218" spans="1:1" s="199" customFormat="1" ht="12" hidden="1" customHeight="1">
      <c r="A13218" s="198"/>
    </row>
    <row r="13219" spans="1:1" s="199" customFormat="1" ht="12" hidden="1" customHeight="1">
      <c r="A13219" s="198"/>
    </row>
    <row r="13220" spans="1:1" s="199" customFormat="1" ht="12" hidden="1" customHeight="1">
      <c r="A13220" s="198"/>
    </row>
    <row r="13221" spans="1:1" s="199" customFormat="1" ht="12" hidden="1" customHeight="1">
      <c r="A13221" s="198"/>
    </row>
    <row r="13222" spans="1:1" s="199" customFormat="1" ht="12" hidden="1" customHeight="1">
      <c r="A13222" s="198"/>
    </row>
    <row r="13223" spans="1:1" s="199" customFormat="1" ht="12" hidden="1" customHeight="1">
      <c r="A13223" s="198"/>
    </row>
    <row r="13224" spans="1:1" s="199" customFormat="1" ht="12" hidden="1" customHeight="1">
      <c r="A13224" s="198"/>
    </row>
    <row r="13225" spans="1:1" s="199" customFormat="1" ht="12" hidden="1" customHeight="1">
      <c r="A13225" s="198"/>
    </row>
    <row r="13226" spans="1:1" s="199" customFormat="1" ht="12" hidden="1" customHeight="1">
      <c r="A13226" s="198"/>
    </row>
    <row r="13227" spans="1:1" s="199" customFormat="1" ht="12" hidden="1" customHeight="1">
      <c r="A13227" s="198"/>
    </row>
    <row r="13228" spans="1:1" s="199" customFormat="1" ht="12" hidden="1" customHeight="1">
      <c r="A13228" s="198"/>
    </row>
    <row r="13229" spans="1:1" s="199" customFormat="1" ht="12" hidden="1" customHeight="1">
      <c r="A13229" s="198"/>
    </row>
    <row r="13230" spans="1:1" s="199" customFormat="1" ht="12" hidden="1" customHeight="1">
      <c r="A13230" s="198"/>
    </row>
    <row r="13231" spans="1:1" s="199" customFormat="1" ht="12" hidden="1" customHeight="1">
      <c r="A13231" s="198"/>
    </row>
    <row r="13232" spans="1:1" s="199" customFormat="1" ht="12" hidden="1" customHeight="1">
      <c r="A13232" s="198"/>
    </row>
    <row r="13233" spans="1:1" s="199" customFormat="1" ht="12" hidden="1" customHeight="1">
      <c r="A13233" s="198"/>
    </row>
    <row r="13234" spans="1:1" s="199" customFormat="1" ht="12" hidden="1" customHeight="1">
      <c r="A13234" s="198"/>
    </row>
    <row r="13235" spans="1:1" s="199" customFormat="1" ht="12" hidden="1" customHeight="1">
      <c r="A13235" s="198"/>
    </row>
    <row r="13236" spans="1:1" s="199" customFormat="1" ht="12" hidden="1" customHeight="1">
      <c r="A13236" s="198"/>
    </row>
    <row r="13237" spans="1:1" s="199" customFormat="1" ht="12" hidden="1" customHeight="1">
      <c r="A13237" s="198"/>
    </row>
    <row r="13238" spans="1:1" s="199" customFormat="1" ht="12" hidden="1" customHeight="1">
      <c r="A13238" s="198"/>
    </row>
    <row r="13239" spans="1:1" s="199" customFormat="1" ht="12" hidden="1" customHeight="1">
      <c r="A13239" s="198"/>
    </row>
    <row r="13240" spans="1:1" s="199" customFormat="1" ht="12" hidden="1" customHeight="1">
      <c r="A13240" s="198"/>
    </row>
    <row r="13241" spans="1:1" s="199" customFormat="1" ht="12" hidden="1" customHeight="1">
      <c r="A13241" s="198"/>
    </row>
    <row r="13242" spans="1:1" s="199" customFormat="1" ht="12" hidden="1" customHeight="1">
      <c r="A13242" s="198"/>
    </row>
    <row r="13243" spans="1:1" s="199" customFormat="1" ht="12" hidden="1" customHeight="1">
      <c r="A13243" s="198"/>
    </row>
    <row r="13244" spans="1:1" s="199" customFormat="1" ht="12" hidden="1" customHeight="1">
      <c r="A13244" s="198"/>
    </row>
    <row r="13245" spans="1:1" s="199" customFormat="1" ht="12" hidden="1" customHeight="1">
      <c r="A13245" s="198"/>
    </row>
    <row r="13246" spans="1:1" s="199" customFormat="1" ht="12" hidden="1" customHeight="1">
      <c r="A13246" s="198"/>
    </row>
    <row r="13247" spans="1:1" s="199" customFormat="1" ht="12" hidden="1" customHeight="1">
      <c r="A13247" s="198"/>
    </row>
    <row r="13248" spans="1:1" s="199" customFormat="1" ht="12" hidden="1" customHeight="1">
      <c r="A13248" s="198"/>
    </row>
    <row r="13249" spans="1:1" s="199" customFormat="1" ht="12" hidden="1" customHeight="1">
      <c r="A13249" s="198"/>
    </row>
    <row r="13250" spans="1:1" s="199" customFormat="1" ht="12" hidden="1" customHeight="1">
      <c r="A13250" s="198"/>
    </row>
    <row r="13251" spans="1:1" s="199" customFormat="1" ht="12" hidden="1" customHeight="1">
      <c r="A13251" s="198"/>
    </row>
    <row r="13252" spans="1:1" s="199" customFormat="1" ht="12" hidden="1" customHeight="1">
      <c r="A13252" s="198"/>
    </row>
    <row r="13253" spans="1:1" s="199" customFormat="1" ht="12" hidden="1" customHeight="1">
      <c r="A13253" s="198"/>
    </row>
    <row r="13254" spans="1:1" s="199" customFormat="1" ht="12" hidden="1" customHeight="1">
      <c r="A13254" s="198"/>
    </row>
    <row r="13255" spans="1:1" s="199" customFormat="1" ht="12" hidden="1" customHeight="1">
      <c r="A13255" s="198"/>
    </row>
    <row r="13256" spans="1:1" s="199" customFormat="1" ht="12" hidden="1" customHeight="1">
      <c r="A13256" s="198"/>
    </row>
    <row r="13257" spans="1:1" s="199" customFormat="1" ht="12" hidden="1" customHeight="1">
      <c r="A13257" s="198"/>
    </row>
    <row r="13258" spans="1:1" s="199" customFormat="1" ht="12" hidden="1" customHeight="1">
      <c r="A13258" s="198"/>
    </row>
    <row r="13259" spans="1:1" s="199" customFormat="1" ht="12" hidden="1" customHeight="1">
      <c r="A13259" s="198"/>
    </row>
    <row r="13260" spans="1:1" s="199" customFormat="1" ht="12" hidden="1" customHeight="1">
      <c r="A13260" s="198"/>
    </row>
    <row r="13261" spans="1:1" s="199" customFormat="1" ht="12" hidden="1" customHeight="1">
      <c r="A13261" s="198"/>
    </row>
    <row r="13262" spans="1:1" s="199" customFormat="1" ht="12" hidden="1" customHeight="1">
      <c r="A13262" s="198"/>
    </row>
    <row r="13263" spans="1:1" s="199" customFormat="1" ht="12" hidden="1" customHeight="1">
      <c r="A13263" s="198"/>
    </row>
    <row r="13264" spans="1:1" s="199" customFormat="1" ht="12" hidden="1" customHeight="1">
      <c r="A13264" s="198"/>
    </row>
    <row r="13265" spans="1:1" s="199" customFormat="1" ht="12" hidden="1" customHeight="1">
      <c r="A13265" s="198"/>
    </row>
    <row r="13266" spans="1:1" s="199" customFormat="1" ht="12" hidden="1" customHeight="1">
      <c r="A13266" s="198"/>
    </row>
    <row r="13267" spans="1:1" s="199" customFormat="1" ht="12" hidden="1" customHeight="1">
      <c r="A13267" s="198"/>
    </row>
    <row r="13268" spans="1:1" s="199" customFormat="1" ht="12" hidden="1" customHeight="1">
      <c r="A13268" s="198"/>
    </row>
    <row r="13269" spans="1:1" s="199" customFormat="1" ht="12" hidden="1" customHeight="1">
      <c r="A13269" s="198"/>
    </row>
    <row r="13270" spans="1:1" s="199" customFormat="1" ht="12" hidden="1" customHeight="1">
      <c r="A13270" s="198"/>
    </row>
    <row r="13271" spans="1:1" s="199" customFormat="1" ht="12" hidden="1" customHeight="1">
      <c r="A13271" s="198"/>
    </row>
    <row r="13272" spans="1:1" s="199" customFormat="1" ht="12" hidden="1" customHeight="1">
      <c r="A13272" s="198"/>
    </row>
    <row r="13273" spans="1:1" s="199" customFormat="1" ht="12" hidden="1" customHeight="1">
      <c r="A13273" s="198"/>
    </row>
    <row r="13274" spans="1:1" s="199" customFormat="1" ht="12" hidden="1" customHeight="1">
      <c r="A13274" s="198"/>
    </row>
    <row r="13275" spans="1:1" s="199" customFormat="1" ht="12" hidden="1" customHeight="1">
      <c r="A13275" s="198"/>
    </row>
    <row r="13276" spans="1:1" s="199" customFormat="1" ht="12" hidden="1" customHeight="1">
      <c r="A13276" s="198"/>
    </row>
    <row r="13277" spans="1:1" s="199" customFormat="1" ht="12" hidden="1" customHeight="1">
      <c r="A13277" s="198"/>
    </row>
    <row r="13278" spans="1:1" s="199" customFormat="1" ht="12" hidden="1" customHeight="1">
      <c r="A13278" s="198"/>
    </row>
    <row r="13279" spans="1:1" s="199" customFormat="1" ht="12" hidden="1" customHeight="1">
      <c r="A13279" s="198"/>
    </row>
    <row r="13280" spans="1:1" s="199" customFormat="1" ht="12" hidden="1" customHeight="1">
      <c r="A13280" s="198"/>
    </row>
    <row r="13281" spans="1:1" s="199" customFormat="1" ht="12" hidden="1" customHeight="1">
      <c r="A13281" s="198"/>
    </row>
    <row r="13282" spans="1:1" s="199" customFormat="1" ht="12" hidden="1" customHeight="1">
      <c r="A13282" s="198"/>
    </row>
    <row r="13283" spans="1:1" s="199" customFormat="1" ht="12" hidden="1" customHeight="1">
      <c r="A13283" s="198"/>
    </row>
    <row r="13284" spans="1:1" s="199" customFormat="1" ht="12" hidden="1" customHeight="1">
      <c r="A13284" s="198"/>
    </row>
    <row r="13285" spans="1:1" s="199" customFormat="1" ht="12" hidden="1" customHeight="1">
      <c r="A13285" s="198"/>
    </row>
    <row r="13286" spans="1:1" s="199" customFormat="1" ht="12" hidden="1" customHeight="1">
      <c r="A13286" s="198"/>
    </row>
    <row r="13287" spans="1:1" s="199" customFormat="1" ht="12" hidden="1" customHeight="1">
      <c r="A13287" s="198"/>
    </row>
    <row r="13288" spans="1:1" s="199" customFormat="1" ht="12" hidden="1" customHeight="1">
      <c r="A13288" s="198"/>
    </row>
    <row r="13289" spans="1:1" s="199" customFormat="1" ht="12" hidden="1" customHeight="1">
      <c r="A13289" s="198"/>
    </row>
    <row r="13290" spans="1:1" s="199" customFormat="1" ht="12" hidden="1" customHeight="1">
      <c r="A13290" s="198"/>
    </row>
    <row r="13291" spans="1:1" s="199" customFormat="1" ht="12" hidden="1" customHeight="1">
      <c r="A13291" s="198"/>
    </row>
    <row r="13292" spans="1:1" s="199" customFormat="1" ht="12" hidden="1" customHeight="1">
      <c r="A13292" s="198"/>
    </row>
    <row r="13293" spans="1:1" s="199" customFormat="1" ht="12" hidden="1" customHeight="1">
      <c r="A13293" s="198"/>
    </row>
    <row r="13294" spans="1:1" s="199" customFormat="1" ht="12" hidden="1" customHeight="1">
      <c r="A13294" s="198"/>
    </row>
    <row r="13295" spans="1:1" s="199" customFormat="1" ht="12" hidden="1" customHeight="1">
      <c r="A13295" s="198"/>
    </row>
    <row r="13296" spans="1:1" s="199" customFormat="1" ht="12" hidden="1" customHeight="1">
      <c r="A13296" s="198"/>
    </row>
    <row r="13297" spans="1:1" s="199" customFormat="1" ht="12" hidden="1" customHeight="1">
      <c r="A13297" s="198"/>
    </row>
    <row r="13298" spans="1:1" s="199" customFormat="1" ht="12" hidden="1" customHeight="1">
      <c r="A13298" s="198"/>
    </row>
    <row r="13299" spans="1:1" s="199" customFormat="1" ht="12" hidden="1" customHeight="1">
      <c r="A13299" s="198"/>
    </row>
    <row r="13300" spans="1:1" s="199" customFormat="1" ht="12" hidden="1" customHeight="1">
      <c r="A13300" s="198"/>
    </row>
    <row r="13301" spans="1:1" s="199" customFormat="1" ht="12" hidden="1" customHeight="1">
      <c r="A13301" s="198"/>
    </row>
    <row r="13302" spans="1:1" s="199" customFormat="1" ht="12" hidden="1" customHeight="1">
      <c r="A13302" s="198"/>
    </row>
    <row r="13303" spans="1:1" s="199" customFormat="1" ht="12" hidden="1" customHeight="1">
      <c r="A13303" s="198"/>
    </row>
    <row r="13304" spans="1:1" s="199" customFormat="1" ht="12" hidden="1" customHeight="1">
      <c r="A13304" s="198"/>
    </row>
    <row r="13305" spans="1:1" s="199" customFormat="1" ht="12" hidden="1" customHeight="1">
      <c r="A13305" s="198"/>
    </row>
    <row r="13306" spans="1:1" s="199" customFormat="1" ht="12" hidden="1" customHeight="1">
      <c r="A13306" s="198"/>
    </row>
    <row r="13307" spans="1:1" s="199" customFormat="1" ht="12" hidden="1" customHeight="1">
      <c r="A13307" s="198"/>
    </row>
    <row r="13308" spans="1:1" s="199" customFormat="1" ht="12" hidden="1" customHeight="1">
      <c r="A13308" s="198"/>
    </row>
    <row r="13309" spans="1:1" s="199" customFormat="1" ht="12" hidden="1" customHeight="1">
      <c r="A13309" s="198"/>
    </row>
    <row r="13310" spans="1:1" s="199" customFormat="1" ht="12" hidden="1" customHeight="1">
      <c r="A13310" s="198"/>
    </row>
    <row r="13311" spans="1:1" s="199" customFormat="1" ht="12" hidden="1" customHeight="1">
      <c r="A13311" s="198"/>
    </row>
    <row r="13312" spans="1:1" s="199" customFormat="1" ht="12" hidden="1" customHeight="1">
      <c r="A13312" s="198"/>
    </row>
    <row r="13313" spans="1:1" s="199" customFormat="1" ht="12" hidden="1" customHeight="1">
      <c r="A13313" s="198"/>
    </row>
    <row r="13314" spans="1:1" s="199" customFormat="1" ht="12" hidden="1" customHeight="1">
      <c r="A13314" s="198"/>
    </row>
    <row r="13315" spans="1:1" s="199" customFormat="1" ht="12" hidden="1" customHeight="1">
      <c r="A13315" s="198"/>
    </row>
    <row r="13316" spans="1:1" s="199" customFormat="1" ht="12" hidden="1" customHeight="1">
      <c r="A13316" s="198"/>
    </row>
    <row r="13317" spans="1:1" s="199" customFormat="1" ht="12" hidden="1" customHeight="1">
      <c r="A13317" s="198"/>
    </row>
    <row r="13318" spans="1:1" s="199" customFormat="1" ht="12" hidden="1" customHeight="1">
      <c r="A13318" s="198"/>
    </row>
    <row r="13319" spans="1:1" s="199" customFormat="1" ht="12" hidden="1" customHeight="1">
      <c r="A13319" s="198"/>
    </row>
    <row r="13320" spans="1:1" s="199" customFormat="1" ht="12" hidden="1" customHeight="1">
      <c r="A13320" s="198"/>
    </row>
    <row r="13321" spans="1:1" s="199" customFormat="1" ht="12" hidden="1" customHeight="1">
      <c r="A13321" s="198"/>
    </row>
    <row r="13322" spans="1:1" s="199" customFormat="1" ht="12" hidden="1" customHeight="1">
      <c r="A13322" s="198"/>
    </row>
    <row r="13323" spans="1:1" s="199" customFormat="1" ht="12" hidden="1" customHeight="1">
      <c r="A13323" s="198"/>
    </row>
    <row r="13324" spans="1:1" s="199" customFormat="1" ht="12" hidden="1" customHeight="1">
      <c r="A13324" s="198"/>
    </row>
    <row r="13325" spans="1:1" s="199" customFormat="1" ht="12" hidden="1" customHeight="1">
      <c r="A13325" s="198"/>
    </row>
    <row r="13326" spans="1:1" s="199" customFormat="1" ht="12" hidden="1" customHeight="1">
      <c r="A13326" s="198"/>
    </row>
    <row r="13327" spans="1:1" s="199" customFormat="1" ht="12" hidden="1" customHeight="1">
      <c r="A13327" s="198"/>
    </row>
    <row r="13328" spans="1:1" s="199" customFormat="1" ht="12" hidden="1" customHeight="1">
      <c r="A13328" s="198"/>
    </row>
    <row r="13329" spans="1:1" s="199" customFormat="1" ht="12" hidden="1" customHeight="1">
      <c r="A13329" s="198"/>
    </row>
    <row r="13330" spans="1:1" s="199" customFormat="1" ht="12" hidden="1" customHeight="1">
      <c r="A13330" s="198"/>
    </row>
    <row r="13331" spans="1:1" s="199" customFormat="1" ht="12" hidden="1" customHeight="1">
      <c r="A13331" s="198"/>
    </row>
    <row r="13332" spans="1:1" s="199" customFormat="1" ht="12" hidden="1" customHeight="1">
      <c r="A13332" s="198"/>
    </row>
    <row r="13333" spans="1:1" s="199" customFormat="1" ht="12" hidden="1" customHeight="1">
      <c r="A13333" s="198"/>
    </row>
    <row r="13334" spans="1:1" s="199" customFormat="1" ht="12" hidden="1" customHeight="1">
      <c r="A13334" s="198"/>
    </row>
    <row r="13335" spans="1:1" s="199" customFormat="1" ht="12" hidden="1" customHeight="1">
      <c r="A13335" s="198"/>
    </row>
    <row r="13336" spans="1:1" s="199" customFormat="1" ht="12" hidden="1" customHeight="1">
      <c r="A13336" s="198"/>
    </row>
    <row r="13337" spans="1:1" s="199" customFormat="1" ht="12" hidden="1" customHeight="1">
      <c r="A13337" s="198"/>
    </row>
    <row r="13338" spans="1:1" s="199" customFormat="1" ht="12" hidden="1" customHeight="1">
      <c r="A13338" s="198"/>
    </row>
    <row r="13339" spans="1:1" s="199" customFormat="1" ht="12" hidden="1" customHeight="1">
      <c r="A13339" s="198"/>
    </row>
    <row r="13340" spans="1:1" s="199" customFormat="1" ht="12" hidden="1" customHeight="1">
      <c r="A13340" s="198"/>
    </row>
    <row r="13341" spans="1:1" s="199" customFormat="1" ht="12" hidden="1" customHeight="1">
      <c r="A13341" s="198"/>
    </row>
    <row r="13342" spans="1:1" s="199" customFormat="1" ht="12" hidden="1" customHeight="1">
      <c r="A13342" s="198"/>
    </row>
    <row r="13343" spans="1:1" s="199" customFormat="1" ht="12" hidden="1" customHeight="1">
      <c r="A13343" s="198"/>
    </row>
    <row r="13344" spans="1:1" s="199" customFormat="1" ht="12" hidden="1" customHeight="1">
      <c r="A13344" s="198"/>
    </row>
    <row r="13345" spans="1:1" s="199" customFormat="1" ht="12" hidden="1" customHeight="1">
      <c r="A13345" s="198"/>
    </row>
    <row r="13346" spans="1:1" s="199" customFormat="1" ht="12" hidden="1" customHeight="1">
      <c r="A13346" s="198"/>
    </row>
    <row r="13347" spans="1:1" s="199" customFormat="1" ht="12" hidden="1" customHeight="1">
      <c r="A13347" s="198"/>
    </row>
    <row r="13348" spans="1:1" s="199" customFormat="1" ht="12" hidden="1" customHeight="1">
      <c r="A13348" s="198"/>
    </row>
    <row r="13349" spans="1:1" s="199" customFormat="1" ht="12" hidden="1" customHeight="1">
      <c r="A13349" s="198"/>
    </row>
    <row r="13350" spans="1:1" s="199" customFormat="1" ht="12" hidden="1" customHeight="1">
      <c r="A13350" s="198"/>
    </row>
    <row r="13351" spans="1:1" s="199" customFormat="1" ht="12" hidden="1" customHeight="1">
      <c r="A13351" s="198"/>
    </row>
    <row r="13352" spans="1:1" s="199" customFormat="1" ht="12" hidden="1" customHeight="1">
      <c r="A13352" s="198"/>
    </row>
    <row r="13353" spans="1:1" s="199" customFormat="1" ht="12" hidden="1" customHeight="1">
      <c r="A13353" s="198"/>
    </row>
    <row r="13354" spans="1:1" s="199" customFormat="1" ht="12" hidden="1" customHeight="1">
      <c r="A13354" s="198"/>
    </row>
    <row r="13355" spans="1:1" s="199" customFormat="1" ht="12" hidden="1" customHeight="1">
      <c r="A13355" s="198"/>
    </row>
    <row r="13356" spans="1:1" s="199" customFormat="1" ht="12" hidden="1" customHeight="1">
      <c r="A13356" s="198"/>
    </row>
    <row r="13357" spans="1:1" s="199" customFormat="1" ht="12" hidden="1" customHeight="1">
      <c r="A13357" s="198"/>
    </row>
    <row r="13358" spans="1:1" s="199" customFormat="1" ht="12" hidden="1" customHeight="1">
      <c r="A13358" s="198"/>
    </row>
    <row r="13359" spans="1:1" s="199" customFormat="1" ht="12" hidden="1" customHeight="1">
      <c r="A13359" s="198"/>
    </row>
    <row r="13360" spans="1:1" s="199" customFormat="1" ht="12" hidden="1" customHeight="1">
      <c r="A13360" s="198"/>
    </row>
    <row r="13361" spans="1:1" s="199" customFormat="1" ht="12" hidden="1" customHeight="1">
      <c r="A13361" s="198"/>
    </row>
    <row r="13362" spans="1:1" s="199" customFormat="1" ht="12" hidden="1" customHeight="1">
      <c r="A13362" s="198"/>
    </row>
    <row r="13363" spans="1:1" s="199" customFormat="1" ht="12" hidden="1" customHeight="1">
      <c r="A13363" s="198"/>
    </row>
    <row r="13364" spans="1:1" s="199" customFormat="1" ht="12" hidden="1" customHeight="1">
      <c r="A13364" s="198"/>
    </row>
    <row r="13365" spans="1:1" s="199" customFormat="1" ht="12" hidden="1" customHeight="1">
      <c r="A13365" s="198"/>
    </row>
    <row r="13366" spans="1:1" s="199" customFormat="1" ht="12" hidden="1" customHeight="1">
      <c r="A13366" s="198"/>
    </row>
    <row r="13367" spans="1:1" s="199" customFormat="1" ht="12" hidden="1" customHeight="1">
      <c r="A13367" s="198"/>
    </row>
    <row r="13368" spans="1:1" s="199" customFormat="1" ht="12" hidden="1" customHeight="1">
      <c r="A13368" s="198"/>
    </row>
    <row r="13369" spans="1:1" s="199" customFormat="1" ht="12" hidden="1" customHeight="1">
      <c r="A13369" s="198"/>
    </row>
    <row r="13370" spans="1:1" s="199" customFormat="1" ht="12" hidden="1" customHeight="1">
      <c r="A13370" s="198"/>
    </row>
    <row r="13371" spans="1:1" s="199" customFormat="1" ht="12" hidden="1" customHeight="1">
      <c r="A13371" s="198"/>
    </row>
    <row r="13372" spans="1:1" s="199" customFormat="1" ht="12" hidden="1" customHeight="1">
      <c r="A13372" s="198"/>
    </row>
    <row r="13373" spans="1:1" s="199" customFormat="1" ht="12" hidden="1" customHeight="1">
      <c r="A13373" s="198"/>
    </row>
    <row r="13374" spans="1:1" s="199" customFormat="1" ht="12" hidden="1" customHeight="1">
      <c r="A13374" s="198"/>
    </row>
    <row r="13375" spans="1:1" s="199" customFormat="1" ht="12" hidden="1" customHeight="1">
      <c r="A13375" s="198"/>
    </row>
    <row r="13376" spans="1:1" s="199" customFormat="1" ht="12" hidden="1" customHeight="1">
      <c r="A13376" s="198"/>
    </row>
    <row r="13377" spans="1:1" s="199" customFormat="1" ht="12" hidden="1" customHeight="1">
      <c r="A13377" s="198"/>
    </row>
    <row r="13378" spans="1:1" s="199" customFormat="1" ht="12" hidden="1" customHeight="1">
      <c r="A13378" s="198"/>
    </row>
    <row r="13379" spans="1:1" s="199" customFormat="1" ht="12" hidden="1" customHeight="1">
      <c r="A13379" s="198"/>
    </row>
    <row r="13380" spans="1:1" s="199" customFormat="1" ht="12" hidden="1" customHeight="1">
      <c r="A13380" s="198"/>
    </row>
    <row r="13381" spans="1:1" s="199" customFormat="1" ht="12" hidden="1" customHeight="1">
      <c r="A13381" s="198"/>
    </row>
    <row r="13382" spans="1:1" s="199" customFormat="1" ht="12" hidden="1" customHeight="1">
      <c r="A13382" s="198"/>
    </row>
    <row r="13383" spans="1:1" s="199" customFormat="1" ht="12" hidden="1" customHeight="1">
      <c r="A13383" s="198"/>
    </row>
    <row r="13384" spans="1:1" s="199" customFormat="1" ht="12" hidden="1" customHeight="1">
      <c r="A13384" s="198"/>
    </row>
    <row r="13385" spans="1:1" s="199" customFormat="1" ht="12" hidden="1" customHeight="1">
      <c r="A13385" s="198"/>
    </row>
    <row r="13386" spans="1:1" s="199" customFormat="1" ht="12" hidden="1" customHeight="1">
      <c r="A13386" s="198"/>
    </row>
    <row r="13387" spans="1:1" s="199" customFormat="1" ht="12" hidden="1" customHeight="1">
      <c r="A13387" s="198"/>
    </row>
    <row r="13388" spans="1:1" s="199" customFormat="1" ht="12" hidden="1" customHeight="1">
      <c r="A13388" s="198"/>
    </row>
    <row r="13389" spans="1:1" s="199" customFormat="1" ht="12" hidden="1" customHeight="1">
      <c r="A13389" s="198"/>
    </row>
    <row r="13390" spans="1:1" s="199" customFormat="1" ht="12" hidden="1" customHeight="1">
      <c r="A13390" s="198"/>
    </row>
    <row r="13391" spans="1:1" s="199" customFormat="1" ht="12" hidden="1" customHeight="1">
      <c r="A13391" s="198"/>
    </row>
    <row r="13392" spans="1:1" s="199" customFormat="1" ht="12" hidden="1" customHeight="1">
      <c r="A13392" s="198"/>
    </row>
    <row r="13393" spans="1:1" s="199" customFormat="1" ht="12" hidden="1" customHeight="1">
      <c r="A13393" s="198"/>
    </row>
    <row r="13394" spans="1:1" s="199" customFormat="1" ht="12" hidden="1" customHeight="1">
      <c r="A13394" s="198"/>
    </row>
    <row r="13395" spans="1:1" s="199" customFormat="1" ht="12" hidden="1" customHeight="1">
      <c r="A13395" s="198"/>
    </row>
    <row r="13396" spans="1:1" s="199" customFormat="1" ht="12" hidden="1" customHeight="1">
      <c r="A13396" s="198"/>
    </row>
    <row r="13397" spans="1:1" s="199" customFormat="1" ht="12" hidden="1" customHeight="1">
      <c r="A13397" s="198"/>
    </row>
    <row r="13398" spans="1:1" s="199" customFormat="1" ht="12" hidden="1" customHeight="1">
      <c r="A13398" s="198"/>
    </row>
    <row r="13399" spans="1:1" s="199" customFormat="1" ht="12" hidden="1" customHeight="1">
      <c r="A13399" s="198"/>
    </row>
    <row r="13400" spans="1:1" s="199" customFormat="1" ht="12" hidden="1" customHeight="1">
      <c r="A13400" s="198"/>
    </row>
    <row r="13401" spans="1:1" s="199" customFormat="1" ht="12" hidden="1" customHeight="1">
      <c r="A13401" s="198"/>
    </row>
    <row r="13402" spans="1:1" s="199" customFormat="1" ht="12" hidden="1" customHeight="1">
      <c r="A13402" s="198"/>
    </row>
    <row r="13403" spans="1:1" s="199" customFormat="1" ht="12" hidden="1" customHeight="1">
      <c r="A13403" s="198"/>
    </row>
    <row r="13404" spans="1:1" s="199" customFormat="1" ht="12" hidden="1" customHeight="1">
      <c r="A13404" s="198"/>
    </row>
    <row r="13405" spans="1:1" s="199" customFormat="1" ht="12" hidden="1" customHeight="1">
      <c r="A13405" s="198"/>
    </row>
    <row r="13406" spans="1:1" s="199" customFormat="1" ht="12" hidden="1" customHeight="1">
      <c r="A13406" s="198"/>
    </row>
    <row r="13407" spans="1:1" s="199" customFormat="1" ht="12" hidden="1" customHeight="1">
      <c r="A13407" s="198"/>
    </row>
    <row r="13408" spans="1:1" s="199" customFormat="1" ht="12" hidden="1" customHeight="1">
      <c r="A13408" s="198"/>
    </row>
    <row r="13409" spans="1:1" s="199" customFormat="1" ht="12" hidden="1" customHeight="1">
      <c r="A13409" s="198"/>
    </row>
    <row r="13410" spans="1:1" s="199" customFormat="1" ht="12" hidden="1" customHeight="1">
      <c r="A13410" s="198"/>
    </row>
    <row r="13411" spans="1:1" s="199" customFormat="1" ht="12" hidden="1" customHeight="1">
      <c r="A13411" s="198"/>
    </row>
    <row r="13412" spans="1:1" s="199" customFormat="1" ht="12" hidden="1" customHeight="1">
      <c r="A13412" s="198"/>
    </row>
    <row r="13413" spans="1:1" s="199" customFormat="1" ht="12" hidden="1" customHeight="1">
      <c r="A13413" s="198"/>
    </row>
    <row r="13414" spans="1:1" s="199" customFormat="1" ht="12" hidden="1" customHeight="1">
      <c r="A13414" s="198"/>
    </row>
    <row r="13415" spans="1:1" s="199" customFormat="1" ht="12" hidden="1" customHeight="1">
      <c r="A13415" s="198"/>
    </row>
    <row r="13416" spans="1:1" s="199" customFormat="1" ht="12" hidden="1" customHeight="1">
      <c r="A13416" s="198"/>
    </row>
    <row r="13417" spans="1:1" s="199" customFormat="1" ht="12" hidden="1" customHeight="1">
      <c r="A13417" s="198"/>
    </row>
    <row r="13418" spans="1:1" s="199" customFormat="1" ht="12" hidden="1" customHeight="1">
      <c r="A13418" s="198"/>
    </row>
    <row r="13419" spans="1:1" s="199" customFormat="1" ht="12" hidden="1" customHeight="1">
      <c r="A13419" s="198"/>
    </row>
    <row r="13420" spans="1:1" s="199" customFormat="1" ht="12" hidden="1" customHeight="1">
      <c r="A13420" s="198"/>
    </row>
    <row r="13421" spans="1:1" s="199" customFormat="1" ht="12" hidden="1" customHeight="1">
      <c r="A13421" s="198"/>
    </row>
    <row r="13422" spans="1:1" s="199" customFormat="1" ht="12" hidden="1" customHeight="1">
      <c r="A13422" s="198"/>
    </row>
    <row r="13423" spans="1:1" s="199" customFormat="1" ht="12" hidden="1" customHeight="1">
      <c r="A13423" s="198"/>
    </row>
    <row r="13424" spans="1:1" s="199" customFormat="1" ht="12" hidden="1" customHeight="1">
      <c r="A13424" s="198"/>
    </row>
    <row r="13425" spans="1:1" s="199" customFormat="1" ht="12" hidden="1" customHeight="1">
      <c r="A13425" s="198"/>
    </row>
    <row r="13426" spans="1:1" s="199" customFormat="1" ht="12" hidden="1" customHeight="1">
      <c r="A13426" s="198"/>
    </row>
    <row r="13427" spans="1:1" s="199" customFormat="1" ht="12" hidden="1" customHeight="1">
      <c r="A13427" s="198"/>
    </row>
    <row r="13428" spans="1:1" s="199" customFormat="1" ht="12" hidden="1" customHeight="1">
      <c r="A13428" s="198"/>
    </row>
    <row r="13429" spans="1:1" s="199" customFormat="1" ht="12" hidden="1" customHeight="1">
      <c r="A13429" s="198"/>
    </row>
    <row r="13430" spans="1:1" s="199" customFormat="1" ht="12" hidden="1" customHeight="1">
      <c r="A13430" s="198"/>
    </row>
    <row r="13431" spans="1:1" s="199" customFormat="1" ht="12" hidden="1" customHeight="1">
      <c r="A13431" s="198"/>
    </row>
    <row r="13432" spans="1:1" s="199" customFormat="1" ht="12" hidden="1" customHeight="1">
      <c r="A13432" s="198"/>
    </row>
    <row r="13433" spans="1:1" s="199" customFormat="1" ht="12" hidden="1" customHeight="1">
      <c r="A13433" s="198"/>
    </row>
    <row r="13434" spans="1:1" s="199" customFormat="1" ht="12" hidden="1" customHeight="1">
      <c r="A13434" s="198"/>
    </row>
    <row r="13435" spans="1:1" s="199" customFormat="1" ht="12" hidden="1" customHeight="1">
      <c r="A13435" s="198"/>
    </row>
    <row r="13436" spans="1:1" s="199" customFormat="1" ht="12" hidden="1" customHeight="1">
      <c r="A13436" s="198"/>
    </row>
    <row r="13437" spans="1:1" s="199" customFormat="1" ht="12" hidden="1" customHeight="1">
      <c r="A13437" s="198"/>
    </row>
    <row r="13438" spans="1:1" s="199" customFormat="1" ht="12" hidden="1" customHeight="1">
      <c r="A13438" s="198"/>
    </row>
    <row r="13439" spans="1:1" s="199" customFormat="1" ht="12" hidden="1" customHeight="1">
      <c r="A13439" s="198"/>
    </row>
    <row r="13440" spans="1:1" s="199" customFormat="1" ht="12" hidden="1" customHeight="1">
      <c r="A13440" s="198"/>
    </row>
    <row r="13441" spans="1:1" s="199" customFormat="1" ht="12" hidden="1" customHeight="1">
      <c r="A13441" s="198"/>
    </row>
    <row r="13442" spans="1:1" s="199" customFormat="1" ht="12" hidden="1" customHeight="1">
      <c r="A13442" s="198"/>
    </row>
    <row r="13443" spans="1:1" s="199" customFormat="1" ht="12" hidden="1" customHeight="1">
      <c r="A13443" s="198"/>
    </row>
    <row r="13444" spans="1:1" s="199" customFormat="1" ht="12" hidden="1" customHeight="1">
      <c r="A13444" s="198"/>
    </row>
    <row r="13445" spans="1:1" s="199" customFormat="1" ht="12" hidden="1" customHeight="1">
      <c r="A13445" s="198"/>
    </row>
    <row r="13446" spans="1:1" s="199" customFormat="1" ht="12" hidden="1" customHeight="1">
      <c r="A13446" s="198"/>
    </row>
    <row r="13447" spans="1:1" s="199" customFormat="1" ht="12" hidden="1" customHeight="1">
      <c r="A13447" s="198"/>
    </row>
    <row r="13448" spans="1:1" s="199" customFormat="1" ht="12" hidden="1" customHeight="1">
      <c r="A13448" s="198"/>
    </row>
    <row r="13449" spans="1:1" s="199" customFormat="1" ht="12" hidden="1" customHeight="1">
      <c r="A13449" s="198"/>
    </row>
    <row r="13450" spans="1:1" s="199" customFormat="1" ht="12" hidden="1" customHeight="1">
      <c r="A13450" s="198"/>
    </row>
    <row r="13451" spans="1:1" s="199" customFormat="1" ht="12" hidden="1" customHeight="1">
      <c r="A13451" s="198"/>
    </row>
    <row r="13452" spans="1:1" s="199" customFormat="1" ht="12" hidden="1" customHeight="1">
      <c r="A13452" s="198"/>
    </row>
    <row r="13453" spans="1:1" s="199" customFormat="1" ht="12" hidden="1" customHeight="1">
      <c r="A13453" s="198"/>
    </row>
    <row r="13454" spans="1:1" s="199" customFormat="1" ht="12" hidden="1" customHeight="1">
      <c r="A13454" s="198"/>
    </row>
    <row r="13455" spans="1:1" s="199" customFormat="1" ht="12" hidden="1" customHeight="1">
      <c r="A13455" s="198"/>
    </row>
    <row r="13456" spans="1:1" s="199" customFormat="1" ht="12" hidden="1" customHeight="1">
      <c r="A13456" s="198"/>
    </row>
    <row r="13457" spans="1:1" s="199" customFormat="1" ht="12" hidden="1" customHeight="1">
      <c r="A13457" s="198"/>
    </row>
    <row r="13458" spans="1:1" s="199" customFormat="1" ht="12" hidden="1" customHeight="1">
      <c r="A13458" s="198"/>
    </row>
    <row r="13459" spans="1:1" s="199" customFormat="1" ht="12" hidden="1" customHeight="1">
      <c r="A13459" s="198"/>
    </row>
    <row r="13460" spans="1:1" s="199" customFormat="1" ht="12" hidden="1" customHeight="1">
      <c r="A13460" s="198"/>
    </row>
    <row r="13461" spans="1:1" s="199" customFormat="1" ht="12" hidden="1" customHeight="1">
      <c r="A13461" s="198"/>
    </row>
    <row r="13462" spans="1:1" s="199" customFormat="1" ht="12" hidden="1" customHeight="1">
      <c r="A13462" s="198"/>
    </row>
    <row r="13463" spans="1:1" s="199" customFormat="1" ht="12" hidden="1" customHeight="1">
      <c r="A13463" s="198"/>
    </row>
    <row r="13464" spans="1:1" s="199" customFormat="1" ht="12" hidden="1" customHeight="1">
      <c r="A13464" s="198"/>
    </row>
    <row r="13465" spans="1:1" s="199" customFormat="1" ht="12" hidden="1" customHeight="1">
      <c r="A13465" s="198"/>
    </row>
    <row r="13466" spans="1:1" s="199" customFormat="1" ht="12" hidden="1" customHeight="1">
      <c r="A13466" s="198"/>
    </row>
    <row r="13467" spans="1:1" s="199" customFormat="1" ht="12" hidden="1" customHeight="1">
      <c r="A13467" s="198"/>
    </row>
    <row r="13468" spans="1:1" s="199" customFormat="1" ht="12" hidden="1" customHeight="1">
      <c r="A13468" s="198"/>
    </row>
    <row r="13469" spans="1:1" s="199" customFormat="1" ht="12" hidden="1" customHeight="1">
      <c r="A13469" s="198"/>
    </row>
    <row r="13470" spans="1:1" s="199" customFormat="1" ht="12" hidden="1" customHeight="1">
      <c r="A13470" s="198"/>
    </row>
    <row r="13471" spans="1:1" s="199" customFormat="1" ht="12" hidden="1" customHeight="1">
      <c r="A13471" s="198"/>
    </row>
    <row r="13472" spans="1:1" s="199" customFormat="1" ht="12" hidden="1" customHeight="1">
      <c r="A13472" s="198"/>
    </row>
    <row r="13473" spans="1:1" s="199" customFormat="1" ht="12" hidden="1" customHeight="1">
      <c r="A13473" s="198"/>
    </row>
    <row r="13474" spans="1:1" s="199" customFormat="1" ht="12" hidden="1" customHeight="1">
      <c r="A13474" s="198"/>
    </row>
    <row r="13475" spans="1:1" s="199" customFormat="1" ht="12" hidden="1" customHeight="1">
      <c r="A13475" s="198"/>
    </row>
    <row r="13476" spans="1:1" s="199" customFormat="1" ht="12" hidden="1" customHeight="1">
      <c r="A13476" s="198"/>
    </row>
    <row r="13477" spans="1:1" s="199" customFormat="1" ht="12" hidden="1" customHeight="1">
      <c r="A13477" s="198"/>
    </row>
    <row r="13478" spans="1:1" s="199" customFormat="1" ht="12" hidden="1" customHeight="1">
      <c r="A13478" s="198"/>
    </row>
    <row r="13479" spans="1:1" s="199" customFormat="1" ht="12" hidden="1" customHeight="1">
      <c r="A13479" s="198"/>
    </row>
    <row r="13480" spans="1:1" s="199" customFormat="1" ht="12" hidden="1" customHeight="1">
      <c r="A13480" s="198"/>
    </row>
    <row r="13481" spans="1:1" s="199" customFormat="1" ht="12" hidden="1" customHeight="1">
      <c r="A13481" s="198"/>
    </row>
    <row r="13482" spans="1:1" s="199" customFormat="1" ht="12" hidden="1" customHeight="1">
      <c r="A13482" s="198"/>
    </row>
    <row r="13483" spans="1:1" s="199" customFormat="1" ht="12" hidden="1" customHeight="1">
      <c r="A13483" s="198"/>
    </row>
    <row r="13484" spans="1:1" s="199" customFormat="1" ht="12" hidden="1" customHeight="1">
      <c r="A13484" s="198"/>
    </row>
    <row r="13485" spans="1:1" s="199" customFormat="1" ht="12" hidden="1" customHeight="1">
      <c r="A13485" s="198"/>
    </row>
    <row r="13486" spans="1:1" s="199" customFormat="1" ht="12" hidden="1" customHeight="1">
      <c r="A13486" s="198"/>
    </row>
    <row r="13487" spans="1:1" s="199" customFormat="1" ht="12" hidden="1" customHeight="1">
      <c r="A13487" s="198"/>
    </row>
    <row r="13488" spans="1:1" s="199" customFormat="1" ht="12" hidden="1" customHeight="1">
      <c r="A13488" s="198"/>
    </row>
    <row r="13489" spans="1:1" s="199" customFormat="1" ht="12" hidden="1" customHeight="1">
      <c r="A13489" s="198"/>
    </row>
    <row r="13490" spans="1:1" s="199" customFormat="1" ht="12" hidden="1" customHeight="1">
      <c r="A13490" s="198"/>
    </row>
    <row r="13491" spans="1:1" s="199" customFormat="1" ht="12" hidden="1" customHeight="1">
      <c r="A13491" s="198"/>
    </row>
    <row r="13492" spans="1:1" s="199" customFormat="1" ht="12" hidden="1" customHeight="1">
      <c r="A13492" s="198"/>
    </row>
    <row r="13493" spans="1:1" s="199" customFormat="1" ht="12" hidden="1" customHeight="1">
      <c r="A13493" s="198"/>
    </row>
    <row r="13494" spans="1:1" s="199" customFormat="1" ht="12" hidden="1" customHeight="1">
      <c r="A13494" s="198"/>
    </row>
    <row r="13495" spans="1:1" s="199" customFormat="1" ht="12" hidden="1" customHeight="1">
      <c r="A13495" s="198"/>
    </row>
    <row r="13496" spans="1:1" s="199" customFormat="1" ht="12" hidden="1" customHeight="1">
      <c r="A13496" s="198"/>
    </row>
    <row r="13497" spans="1:1" s="199" customFormat="1" ht="12" hidden="1" customHeight="1">
      <c r="A13497" s="198"/>
    </row>
    <row r="13498" spans="1:1" s="199" customFormat="1" ht="12" hidden="1" customHeight="1">
      <c r="A13498" s="198"/>
    </row>
    <row r="13499" spans="1:1" s="199" customFormat="1" ht="12" hidden="1" customHeight="1">
      <c r="A13499" s="198"/>
    </row>
    <row r="13500" spans="1:1" s="199" customFormat="1" ht="12" hidden="1" customHeight="1">
      <c r="A13500" s="198"/>
    </row>
    <row r="13501" spans="1:1" s="199" customFormat="1" ht="12" hidden="1" customHeight="1">
      <c r="A13501" s="198"/>
    </row>
    <row r="13502" spans="1:1" s="199" customFormat="1" ht="12" hidden="1" customHeight="1">
      <c r="A13502" s="198"/>
    </row>
    <row r="13503" spans="1:1" s="199" customFormat="1" ht="12" hidden="1" customHeight="1">
      <c r="A13503" s="198"/>
    </row>
    <row r="13504" spans="1:1" s="199" customFormat="1" ht="12" hidden="1" customHeight="1">
      <c r="A13504" s="198"/>
    </row>
    <row r="13505" spans="1:1" s="199" customFormat="1" ht="12" hidden="1" customHeight="1">
      <c r="A13505" s="198"/>
    </row>
    <row r="13506" spans="1:1" s="199" customFormat="1" ht="12" hidden="1" customHeight="1">
      <c r="A13506" s="198"/>
    </row>
    <row r="13507" spans="1:1" s="199" customFormat="1" ht="12" hidden="1" customHeight="1">
      <c r="A13507" s="198"/>
    </row>
    <row r="13508" spans="1:1" s="199" customFormat="1" ht="12" hidden="1" customHeight="1">
      <c r="A13508" s="198"/>
    </row>
    <row r="13509" spans="1:1" s="199" customFormat="1" ht="12" hidden="1" customHeight="1">
      <c r="A13509" s="198"/>
    </row>
    <row r="13510" spans="1:1" s="199" customFormat="1" ht="12" hidden="1" customHeight="1">
      <c r="A13510" s="198"/>
    </row>
    <row r="13511" spans="1:1" s="199" customFormat="1" ht="12" hidden="1" customHeight="1">
      <c r="A13511" s="198"/>
    </row>
    <row r="13512" spans="1:1" s="199" customFormat="1" ht="12" hidden="1" customHeight="1">
      <c r="A13512" s="198"/>
    </row>
    <row r="13513" spans="1:1" s="199" customFormat="1" ht="12" hidden="1" customHeight="1">
      <c r="A13513" s="198"/>
    </row>
    <row r="13514" spans="1:1" s="199" customFormat="1" ht="12" hidden="1" customHeight="1">
      <c r="A13514" s="198"/>
    </row>
    <row r="13515" spans="1:1" s="199" customFormat="1" ht="12" hidden="1" customHeight="1">
      <c r="A13515" s="198"/>
    </row>
    <row r="13516" spans="1:1" s="199" customFormat="1" ht="12" hidden="1" customHeight="1">
      <c r="A13516" s="198"/>
    </row>
    <row r="13517" spans="1:1" s="199" customFormat="1" ht="12" hidden="1" customHeight="1">
      <c r="A13517" s="198"/>
    </row>
    <row r="13518" spans="1:1" s="199" customFormat="1" ht="12" hidden="1" customHeight="1">
      <c r="A13518" s="198"/>
    </row>
    <row r="13519" spans="1:1" s="199" customFormat="1" ht="12" hidden="1" customHeight="1">
      <c r="A13519" s="198"/>
    </row>
    <row r="13520" spans="1:1" s="199" customFormat="1" ht="12" hidden="1" customHeight="1">
      <c r="A13520" s="198"/>
    </row>
    <row r="13521" spans="1:1" s="199" customFormat="1" ht="12" hidden="1" customHeight="1">
      <c r="A13521" s="198"/>
    </row>
    <row r="13522" spans="1:1" s="199" customFormat="1" ht="12" hidden="1" customHeight="1">
      <c r="A13522" s="198"/>
    </row>
    <row r="13523" spans="1:1" s="199" customFormat="1" ht="12" hidden="1" customHeight="1">
      <c r="A13523" s="198"/>
    </row>
    <row r="13524" spans="1:1" s="199" customFormat="1" ht="12" hidden="1" customHeight="1">
      <c r="A13524" s="198"/>
    </row>
    <row r="13525" spans="1:1" s="199" customFormat="1" ht="12" hidden="1" customHeight="1">
      <c r="A13525" s="198"/>
    </row>
    <row r="13526" spans="1:1" s="199" customFormat="1" ht="12" hidden="1" customHeight="1">
      <c r="A13526" s="198"/>
    </row>
    <row r="13527" spans="1:1" s="199" customFormat="1" ht="12" hidden="1" customHeight="1">
      <c r="A13527" s="198"/>
    </row>
    <row r="13528" spans="1:1" s="199" customFormat="1" ht="12" hidden="1" customHeight="1">
      <c r="A13528" s="198"/>
    </row>
    <row r="13529" spans="1:1" s="199" customFormat="1" ht="12" hidden="1" customHeight="1">
      <c r="A13529" s="198"/>
    </row>
    <row r="13530" spans="1:1" s="199" customFormat="1" ht="12" hidden="1" customHeight="1">
      <c r="A13530" s="198"/>
    </row>
    <row r="13531" spans="1:1" s="199" customFormat="1" ht="12" hidden="1" customHeight="1">
      <c r="A13531" s="198"/>
    </row>
    <row r="13532" spans="1:1" s="199" customFormat="1" ht="12" hidden="1" customHeight="1">
      <c r="A13532" s="198"/>
    </row>
    <row r="13533" spans="1:1" s="199" customFormat="1" ht="12" hidden="1" customHeight="1">
      <c r="A13533" s="198"/>
    </row>
    <row r="13534" spans="1:1" s="199" customFormat="1" ht="12" hidden="1" customHeight="1">
      <c r="A13534" s="198"/>
    </row>
    <row r="13535" spans="1:1" s="199" customFormat="1" ht="12" hidden="1" customHeight="1">
      <c r="A13535" s="198"/>
    </row>
    <row r="13536" spans="1:1" s="199" customFormat="1" ht="12" hidden="1" customHeight="1">
      <c r="A13536" s="198"/>
    </row>
    <row r="13537" spans="1:1" s="199" customFormat="1" ht="12" hidden="1" customHeight="1">
      <c r="A13537" s="198"/>
    </row>
    <row r="13538" spans="1:1" s="199" customFormat="1" ht="12" hidden="1" customHeight="1">
      <c r="A13538" s="198"/>
    </row>
    <row r="13539" spans="1:1" s="199" customFormat="1" ht="12" hidden="1" customHeight="1">
      <c r="A13539" s="198"/>
    </row>
    <row r="13540" spans="1:1" s="199" customFormat="1" ht="12" hidden="1" customHeight="1">
      <c r="A13540" s="198"/>
    </row>
    <row r="13541" spans="1:1" s="199" customFormat="1" ht="12" hidden="1" customHeight="1">
      <c r="A13541" s="198"/>
    </row>
    <row r="13542" spans="1:1" s="199" customFormat="1" ht="12" hidden="1" customHeight="1">
      <c r="A13542" s="198"/>
    </row>
    <row r="13543" spans="1:1" s="199" customFormat="1" ht="12" hidden="1" customHeight="1">
      <c r="A13543" s="198"/>
    </row>
    <row r="13544" spans="1:1" s="199" customFormat="1" ht="12" hidden="1" customHeight="1">
      <c r="A13544" s="198"/>
    </row>
    <row r="13545" spans="1:1" s="199" customFormat="1" ht="12" hidden="1" customHeight="1">
      <c r="A13545" s="198"/>
    </row>
    <row r="13546" spans="1:1" s="199" customFormat="1" ht="12" hidden="1" customHeight="1">
      <c r="A13546" s="198"/>
    </row>
    <row r="13547" spans="1:1" s="199" customFormat="1" ht="12" hidden="1" customHeight="1">
      <c r="A13547" s="198"/>
    </row>
    <row r="13548" spans="1:1" s="199" customFormat="1" ht="12" hidden="1" customHeight="1">
      <c r="A13548" s="198"/>
    </row>
    <row r="13549" spans="1:1" s="199" customFormat="1" ht="12" hidden="1" customHeight="1">
      <c r="A13549" s="198"/>
    </row>
    <row r="13550" spans="1:1" s="199" customFormat="1" ht="12" hidden="1" customHeight="1">
      <c r="A13550" s="198"/>
    </row>
    <row r="13551" spans="1:1" s="199" customFormat="1" ht="12" hidden="1" customHeight="1">
      <c r="A13551" s="198"/>
    </row>
    <row r="13552" spans="1:1" s="199" customFormat="1" ht="12" hidden="1" customHeight="1">
      <c r="A13552" s="198"/>
    </row>
    <row r="13553" spans="1:1" s="199" customFormat="1" ht="12" hidden="1" customHeight="1">
      <c r="A13553" s="198"/>
    </row>
    <row r="13554" spans="1:1" s="199" customFormat="1" ht="12" hidden="1" customHeight="1">
      <c r="A13554" s="198"/>
    </row>
    <row r="13555" spans="1:1" s="199" customFormat="1" ht="12" hidden="1" customHeight="1">
      <c r="A13555" s="198"/>
    </row>
    <row r="13556" spans="1:1" s="199" customFormat="1" ht="12" hidden="1" customHeight="1">
      <c r="A13556" s="198"/>
    </row>
    <row r="13557" spans="1:1" s="199" customFormat="1" ht="12" hidden="1" customHeight="1">
      <c r="A13557" s="198"/>
    </row>
    <row r="13558" spans="1:1" s="199" customFormat="1" ht="12" hidden="1" customHeight="1">
      <c r="A13558" s="198"/>
    </row>
    <row r="13559" spans="1:1" s="199" customFormat="1" ht="12" hidden="1" customHeight="1">
      <c r="A13559" s="198"/>
    </row>
    <row r="13560" spans="1:1" s="199" customFormat="1" ht="12" hidden="1" customHeight="1">
      <c r="A13560" s="198"/>
    </row>
    <row r="13561" spans="1:1" s="199" customFormat="1" ht="12" hidden="1" customHeight="1">
      <c r="A13561" s="198"/>
    </row>
    <row r="13562" spans="1:1" s="199" customFormat="1" ht="12" hidden="1" customHeight="1">
      <c r="A13562" s="198"/>
    </row>
    <row r="13563" spans="1:1" s="199" customFormat="1" ht="12" hidden="1" customHeight="1">
      <c r="A13563" s="198"/>
    </row>
    <row r="13564" spans="1:1" s="199" customFormat="1" ht="12" hidden="1" customHeight="1">
      <c r="A13564" s="198"/>
    </row>
    <row r="13565" spans="1:1" s="199" customFormat="1" ht="12" hidden="1" customHeight="1">
      <c r="A13565" s="198"/>
    </row>
    <row r="13566" spans="1:1" s="199" customFormat="1" ht="12" hidden="1" customHeight="1">
      <c r="A13566" s="198"/>
    </row>
    <row r="13567" spans="1:1" s="199" customFormat="1" ht="12" hidden="1" customHeight="1">
      <c r="A13567" s="198"/>
    </row>
    <row r="13568" spans="1:1" s="199" customFormat="1" ht="12" hidden="1" customHeight="1">
      <c r="A13568" s="198"/>
    </row>
    <row r="13569" spans="1:1" s="199" customFormat="1" ht="12" hidden="1" customHeight="1">
      <c r="A13569" s="198"/>
    </row>
    <row r="13570" spans="1:1" s="199" customFormat="1" ht="12" hidden="1" customHeight="1">
      <c r="A13570" s="198"/>
    </row>
    <row r="13571" spans="1:1" s="199" customFormat="1" ht="12" hidden="1" customHeight="1">
      <c r="A13571" s="198"/>
    </row>
    <row r="13572" spans="1:1" s="199" customFormat="1" ht="12" hidden="1" customHeight="1">
      <c r="A13572" s="198"/>
    </row>
    <row r="13573" spans="1:1" s="199" customFormat="1" ht="12" hidden="1" customHeight="1">
      <c r="A13573" s="198"/>
    </row>
    <row r="13574" spans="1:1" s="199" customFormat="1" ht="12" hidden="1" customHeight="1">
      <c r="A13574" s="198"/>
    </row>
    <row r="13575" spans="1:1" s="199" customFormat="1" ht="12" hidden="1" customHeight="1">
      <c r="A13575" s="198"/>
    </row>
    <row r="13576" spans="1:1" s="199" customFormat="1" ht="12" hidden="1" customHeight="1">
      <c r="A13576" s="198"/>
    </row>
    <row r="13577" spans="1:1" s="199" customFormat="1" ht="12" hidden="1" customHeight="1">
      <c r="A13577" s="198"/>
    </row>
    <row r="13578" spans="1:1" s="199" customFormat="1" ht="12" hidden="1" customHeight="1">
      <c r="A13578" s="198"/>
    </row>
    <row r="13579" spans="1:1" s="199" customFormat="1" ht="12" hidden="1" customHeight="1">
      <c r="A13579" s="198"/>
    </row>
    <row r="13580" spans="1:1" s="199" customFormat="1" ht="12" hidden="1" customHeight="1">
      <c r="A13580" s="198"/>
    </row>
    <row r="13581" spans="1:1" s="199" customFormat="1" ht="12" hidden="1" customHeight="1">
      <c r="A13581" s="198"/>
    </row>
    <row r="13582" spans="1:1" s="199" customFormat="1" ht="12" hidden="1" customHeight="1">
      <c r="A13582" s="198"/>
    </row>
    <row r="13583" spans="1:1" s="199" customFormat="1" ht="12" hidden="1" customHeight="1">
      <c r="A13583" s="198"/>
    </row>
    <row r="13584" spans="1:1" s="199" customFormat="1" ht="12" hidden="1" customHeight="1">
      <c r="A13584" s="198"/>
    </row>
    <row r="13585" spans="1:1" s="199" customFormat="1" ht="12" hidden="1" customHeight="1">
      <c r="A13585" s="198"/>
    </row>
    <row r="13586" spans="1:1" s="199" customFormat="1" ht="12" hidden="1" customHeight="1">
      <c r="A13586" s="198"/>
    </row>
    <row r="13587" spans="1:1" s="199" customFormat="1" ht="12" hidden="1" customHeight="1">
      <c r="A13587" s="198"/>
    </row>
    <row r="13588" spans="1:1" s="199" customFormat="1" ht="12" hidden="1" customHeight="1">
      <c r="A13588" s="198"/>
    </row>
    <row r="13589" spans="1:1" s="199" customFormat="1" ht="12" hidden="1" customHeight="1">
      <c r="A13589" s="198"/>
    </row>
    <row r="13590" spans="1:1" s="199" customFormat="1" ht="12" hidden="1" customHeight="1">
      <c r="A13590" s="198"/>
    </row>
    <row r="13591" spans="1:1" s="199" customFormat="1" ht="12" hidden="1" customHeight="1">
      <c r="A13591" s="198"/>
    </row>
    <row r="13592" spans="1:1" s="199" customFormat="1" ht="12" hidden="1" customHeight="1">
      <c r="A13592" s="198"/>
    </row>
    <row r="13593" spans="1:1" s="199" customFormat="1" ht="12" hidden="1" customHeight="1">
      <c r="A13593" s="198"/>
    </row>
    <row r="13594" spans="1:1" s="199" customFormat="1" ht="12" hidden="1" customHeight="1">
      <c r="A13594" s="198"/>
    </row>
    <row r="13595" spans="1:1" s="199" customFormat="1" ht="12" hidden="1" customHeight="1">
      <c r="A13595" s="198"/>
    </row>
    <row r="13596" spans="1:1" s="199" customFormat="1" ht="12" hidden="1" customHeight="1">
      <c r="A13596" s="198"/>
    </row>
    <row r="13597" spans="1:1" s="199" customFormat="1" ht="12" hidden="1" customHeight="1">
      <c r="A13597" s="198"/>
    </row>
    <row r="13598" spans="1:1" s="199" customFormat="1" ht="12" hidden="1" customHeight="1">
      <c r="A13598" s="198"/>
    </row>
    <row r="13599" spans="1:1" s="199" customFormat="1" ht="12" hidden="1" customHeight="1">
      <c r="A13599" s="198"/>
    </row>
    <row r="13600" spans="1:1" s="199" customFormat="1" ht="12" hidden="1" customHeight="1">
      <c r="A13600" s="198"/>
    </row>
    <row r="13601" spans="1:1" s="199" customFormat="1" ht="12" hidden="1" customHeight="1">
      <c r="A13601" s="198"/>
    </row>
    <row r="13602" spans="1:1" s="199" customFormat="1" ht="12" hidden="1" customHeight="1">
      <c r="A13602" s="198"/>
    </row>
    <row r="13603" spans="1:1" s="199" customFormat="1" ht="12" hidden="1" customHeight="1">
      <c r="A13603" s="198"/>
    </row>
    <row r="13604" spans="1:1" s="199" customFormat="1" ht="12" hidden="1" customHeight="1">
      <c r="A13604" s="198"/>
    </row>
    <row r="13605" spans="1:1" s="199" customFormat="1" ht="12" hidden="1" customHeight="1">
      <c r="A13605" s="198"/>
    </row>
    <row r="13606" spans="1:1" s="199" customFormat="1" ht="12" hidden="1" customHeight="1">
      <c r="A13606" s="198"/>
    </row>
    <row r="13607" spans="1:1" s="199" customFormat="1" ht="12" hidden="1" customHeight="1">
      <c r="A13607" s="198"/>
    </row>
    <row r="13608" spans="1:1" s="199" customFormat="1" ht="12" hidden="1" customHeight="1">
      <c r="A13608" s="198"/>
    </row>
    <row r="13609" spans="1:1" s="199" customFormat="1" ht="12" hidden="1" customHeight="1">
      <c r="A13609" s="198"/>
    </row>
    <row r="13610" spans="1:1" s="199" customFormat="1" ht="12" hidden="1" customHeight="1">
      <c r="A13610" s="198"/>
    </row>
    <row r="13611" spans="1:1" s="199" customFormat="1" ht="12" hidden="1" customHeight="1">
      <c r="A13611" s="198"/>
    </row>
    <row r="13612" spans="1:1" s="199" customFormat="1" ht="12" hidden="1" customHeight="1">
      <c r="A13612" s="198"/>
    </row>
    <row r="13613" spans="1:1" s="199" customFormat="1" ht="12" hidden="1" customHeight="1">
      <c r="A13613" s="198"/>
    </row>
    <row r="13614" spans="1:1" s="199" customFormat="1" ht="12" hidden="1" customHeight="1">
      <c r="A13614" s="198"/>
    </row>
    <row r="13615" spans="1:1" s="199" customFormat="1" ht="12" hidden="1" customHeight="1">
      <c r="A13615" s="198"/>
    </row>
    <row r="13616" spans="1:1" s="199" customFormat="1" ht="12" hidden="1" customHeight="1">
      <c r="A13616" s="198"/>
    </row>
    <row r="13617" spans="1:1" s="199" customFormat="1" ht="12" hidden="1" customHeight="1">
      <c r="A13617" s="198"/>
    </row>
    <row r="13618" spans="1:1" s="199" customFormat="1" ht="12" hidden="1" customHeight="1">
      <c r="A13618" s="198"/>
    </row>
    <row r="13619" spans="1:1" s="199" customFormat="1" ht="12" hidden="1" customHeight="1">
      <c r="A13619" s="198"/>
    </row>
    <row r="13620" spans="1:1" s="199" customFormat="1" ht="12" hidden="1" customHeight="1">
      <c r="A13620" s="198"/>
    </row>
    <row r="13621" spans="1:1" s="199" customFormat="1" ht="12" hidden="1" customHeight="1">
      <c r="A13621" s="198"/>
    </row>
    <row r="13622" spans="1:1" s="199" customFormat="1" ht="12" hidden="1" customHeight="1">
      <c r="A13622" s="198"/>
    </row>
    <row r="13623" spans="1:1" s="199" customFormat="1" ht="12" hidden="1" customHeight="1">
      <c r="A13623" s="198"/>
    </row>
    <row r="13624" spans="1:1" s="199" customFormat="1" ht="12" hidden="1" customHeight="1">
      <c r="A13624" s="198"/>
    </row>
    <row r="13625" spans="1:1" s="199" customFormat="1" ht="12" hidden="1" customHeight="1">
      <c r="A13625" s="198"/>
    </row>
    <row r="13626" spans="1:1" s="199" customFormat="1" ht="12" hidden="1" customHeight="1">
      <c r="A13626" s="198"/>
    </row>
    <row r="13627" spans="1:1" s="199" customFormat="1" ht="12" hidden="1" customHeight="1">
      <c r="A13627" s="198"/>
    </row>
    <row r="13628" spans="1:1" s="199" customFormat="1" ht="12" hidden="1" customHeight="1">
      <c r="A13628" s="198"/>
    </row>
    <row r="13629" spans="1:1" s="199" customFormat="1" ht="12" hidden="1" customHeight="1">
      <c r="A13629" s="198"/>
    </row>
    <row r="13630" spans="1:1" s="199" customFormat="1" ht="12" hidden="1" customHeight="1">
      <c r="A13630" s="198"/>
    </row>
    <row r="13631" spans="1:1" s="199" customFormat="1" ht="12" hidden="1" customHeight="1">
      <c r="A13631" s="198"/>
    </row>
    <row r="13632" spans="1:1" s="199" customFormat="1" ht="12" hidden="1" customHeight="1">
      <c r="A13632" s="198"/>
    </row>
    <row r="13633" spans="1:1" s="199" customFormat="1" ht="12" hidden="1" customHeight="1">
      <c r="A13633" s="198"/>
    </row>
    <row r="13634" spans="1:1" s="199" customFormat="1" ht="12" hidden="1" customHeight="1">
      <c r="A13634" s="198"/>
    </row>
    <row r="13635" spans="1:1" s="199" customFormat="1" ht="12" hidden="1" customHeight="1">
      <c r="A13635" s="198"/>
    </row>
    <row r="13636" spans="1:1" s="199" customFormat="1" ht="12" hidden="1" customHeight="1">
      <c r="A13636" s="198"/>
    </row>
    <row r="13637" spans="1:1" s="199" customFormat="1" ht="12" hidden="1" customHeight="1">
      <c r="A13637" s="198"/>
    </row>
    <row r="13638" spans="1:1" s="199" customFormat="1" ht="12" hidden="1" customHeight="1">
      <c r="A13638" s="198"/>
    </row>
    <row r="13639" spans="1:1" s="199" customFormat="1" ht="12" hidden="1" customHeight="1">
      <c r="A13639" s="198"/>
    </row>
    <row r="13640" spans="1:1" s="199" customFormat="1" ht="12" hidden="1" customHeight="1">
      <c r="A13640" s="198"/>
    </row>
    <row r="13641" spans="1:1" s="199" customFormat="1" ht="12" hidden="1" customHeight="1">
      <c r="A13641" s="198"/>
    </row>
    <row r="13642" spans="1:1" s="199" customFormat="1" ht="12" hidden="1" customHeight="1">
      <c r="A13642" s="198"/>
    </row>
    <row r="13643" spans="1:1" s="199" customFormat="1" ht="12" hidden="1" customHeight="1">
      <c r="A13643" s="198"/>
    </row>
    <row r="13644" spans="1:1" s="199" customFormat="1" ht="12" hidden="1" customHeight="1">
      <c r="A13644" s="198"/>
    </row>
    <row r="13645" spans="1:1" s="199" customFormat="1" ht="12" hidden="1" customHeight="1">
      <c r="A13645" s="198"/>
    </row>
    <row r="13646" spans="1:1" s="199" customFormat="1" ht="12" hidden="1" customHeight="1">
      <c r="A13646" s="198"/>
    </row>
    <row r="13647" spans="1:1" s="199" customFormat="1" ht="12" hidden="1" customHeight="1">
      <c r="A13647" s="198"/>
    </row>
    <row r="13648" spans="1:1" s="199" customFormat="1" ht="12" hidden="1" customHeight="1">
      <c r="A13648" s="198"/>
    </row>
    <row r="13649" spans="1:1" s="199" customFormat="1" ht="12" hidden="1" customHeight="1">
      <c r="A13649" s="198"/>
    </row>
    <row r="13650" spans="1:1" s="199" customFormat="1" ht="12" hidden="1" customHeight="1">
      <c r="A13650" s="198"/>
    </row>
    <row r="13651" spans="1:1" s="199" customFormat="1" ht="12" hidden="1" customHeight="1">
      <c r="A13651" s="198"/>
    </row>
    <row r="13652" spans="1:1" s="199" customFormat="1" ht="12" hidden="1" customHeight="1">
      <c r="A13652" s="198"/>
    </row>
    <row r="13653" spans="1:1" s="199" customFormat="1" ht="12" hidden="1" customHeight="1">
      <c r="A13653" s="198"/>
    </row>
    <row r="13654" spans="1:1" s="199" customFormat="1" ht="12" hidden="1" customHeight="1">
      <c r="A13654" s="198"/>
    </row>
    <row r="13655" spans="1:1" s="199" customFormat="1" ht="12" hidden="1" customHeight="1">
      <c r="A13655" s="198"/>
    </row>
    <row r="13656" spans="1:1" s="199" customFormat="1" ht="12" hidden="1" customHeight="1">
      <c r="A13656" s="198"/>
    </row>
    <row r="13657" spans="1:1" s="199" customFormat="1" ht="12" hidden="1" customHeight="1">
      <c r="A13657" s="198"/>
    </row>
    <row r="13658" spans="1:1" s="199" customFormat="1" ht="12" hidden="1" customHeight="1">
      <c r="A13658" s="198"/>
    </row>
    <row r="13659" spans="1:1" s="199" customFormat="1" ht="12" hidden="1" customHeight="1">
      <c r="A13659" s="198"/>
    </row>
    <row r="13660" spans="1:1" s="199" customFormat="1" ht="12" hidden="1" customHeight="1">
      <c r="A13660" s="198"/>
    </row>
    <row r="13661" spans="1:1" s="199" customFormat="1" ht="12" hidden="1" customHeight="1">
      <c r="A13661" s="198"/>
    </row>
    <row r="13662" spans="1:1" s="199" customFormat="1" ht="12" hidden="1" customHeight="1">
      <c r="A13662" s="198"/>
    </row>
    <row r="13663" spans="1:1" s="199" customFormat="1" ht="12" hidden="1" customHeight="1">
      <c r="A13663" s="198"/>
    </row>
    <row r="13664" spans="1:1" s="199" customFormat="1" ht="12" hidden="1" customHeight="1">
      <c r="A13664" s="198"/>
    </row>
    <row r="13665" spans="1:1" s="199" customFormat="1" ht="12" hidden="1" customHeight="1">
      <c r="A13665" s="198"/>
    </row>
    <row r="13666" spans="1:1" s="199" customFormat="1" ht="12" hidden="1" customHeight="1">
      <c r="A13666" s="198"/>
    </row>
    <row r="13667" spans="1:1" s="199" customFormat="1" ht="12" hidden="1" customHeight="1">
      <c r="A13667" s="198"/>
    </row>
    <row r="13668" spans="1:1" s="199" customFormat="1" ht="12" hidden="1" customHeight="1">
      <c r="A13668" s="198"/>
    </row>
    <row r="13669" spans="1:1" s="199" customFormat="1" ht="12" hidden="1" customHeight="1">
      <c r="A13669" s="198"/>
    </row>
    <row r="13670" spans="1:1" s="199" customFormat="1" ht="12" hidden="1" customHeight="1">
      <c r="A13670" s="198"/>
    </row>
    <row r="13671" spans="1:1" s="199" customFormat="1" ht="12" hidden="1" customHeight="1">
      <c r="A13671" s="198"/>
    </row>
    <row r="13672" spans="1:1" s="199" customFormat="1" ht="12" hidden="1" customHeight="1">
      <c r="A13672" s="198"/>
    </row>
    <row r="13673" spans="1:1" s="199" customFormat="1" ht="12" hidden="1" customHeight="1">
      <c r="A13673" s="198"/>
    </row>
    <row r="13674" spans="1:1" s="199" customFormat="1" ht="12" hidden="1" customHeight="1">
      <c r="A13674" s="198"/>
    </row>
    <row r="13675" spans="1:1" s="199" customFormat="1" ht="12" hidden="1" customHeight="1">
      <c r="A13675" s="198"/>
    </row>
    <row r="13676" spans="1:1" s="199" customFormat="1" ht="12" hidden="1" customHeight="1">
      <c r="A13676" s="198"/>
    </row>
    <row r="13677" spans="1:1" s="199" customFormat="1" ht="12" hidden="1" customHeight="1">
      <c r="A13677" s="198"/>
    </row>
    <row r="13678" spans="1:1" s="199" customFormat="1" ht="12" hidden="1" customHeight="1">
      <c r="A13678" s="198"/>
    </row>
    <row r="13679" spans="1:1" s="199" customFormat="1" ht="12" hidden="1" customHeight="1">
      <c r="A13679" s="198"/>
    </row>
    <row r="13680" spans="1:1" s="199" customFormat="1" ht="12" hidden="1" customHeight="1">
      <c r="A13680" s="198"/>
    </row>
    <row r="13681" spans="1:1" s="199" customFormat="1" ht="12" hidden="1" customHeight="1">
      <c r="A13681" s="198"/>
    </row>
    <row r="13682" spans="1:1" s="199" customFormat="1" ht="12" hidden="1" customHeight="1">
      <c r="A13682" s="198"/>
    </row>
    <row r="13683" spans="1:1" s="199" customFormat="1" ht="12" hidden="1" customHeight="1">
      <c r="A13683" s="198"/>
    </row>
    <row r="13684" spans="1:1" s="199" customFormat="1" ht="12" hidden="1" customHeight="1">
      <c r="A13684" s="198"/>
    </row>
    <row r="13685" spans="1:1" s="199" customFormat="1" ht="12" hidden="1" customHeight="1">
      <c r="A13685" s="198"/>
    </row>
    <row r="13686" spans="1:1" s="199" customFormat="1" ht="12" hidden="1" customHeight="1">
      <c r="A13686" s="198"/>
    </row>
    <row r="13687" spans="1:1" s="199" customFormat="1" ht="12" hidden="1" customHeight="1">
      <c r="A13687" s="198"/>
    </row>
    <row r="13688" spans="1:1" s="199" customFormat="1" ht="12" hidden="1" customHeight="1">
      <c r="A13688" s="198"/>
    </row>
    <row r="13689" spans="1:1" s="199" customFormat="1" ht="12" hidden="1" customHeight="1">
      <c r="A13689" s="198"/>
    </row>
    <row r="13690" spans="1:1" s="199" customFormat="1" ht="12" hidden="1" customHeight="1">
      <c r="A13690" s="198"/>
    </row>
    <row r="13691" spans="1:1" s="199" customFormat="1" ht="12" hidden="1" customHeight="1">
      <c r="A13691" s="198"/>
    </row>
    <row r="13692" spans="1:1" s="199" customFormat="1" ht="12" hidden="1" customHeight="1">
      <c r="A13692" s="198"/>
    </row>
    <row r="13693" spans="1:1" s="199" customFormat="1" ht="12" hidden="1" customHeight="1">
      <c r="A13693" s="198"/>
    </row>
    <row r="13694" spans="1:1" s="199" customFormat="1" ht="12" hidden="1" customHeight="1">
      <c r="A13694" s="198"/>
    </row>
    <row r="13695" spans="1:1" s="199" customFormat="1" ht="12" hidden="1" customHeight="1">
      <c r="A13695" s="198"/>
    </row>
    <row r="13696" spans="1:1" s="199" customFormat="1" ht="12" hidden="1" customHeight="1">
      <c r="A13696" s="198"/>
    </row>
    <row r="13697" spans="1:1" s="199" customFormat="1" ht="12" hidden="1" customHeight="1">
      <c r="A13697" s="198"/>
    </row>
    <row r="13698" spans="1:1" s="199" customFormat="1" ht="12" hidden="1" customHeight="1">
      <c r="A13698" s="198"/>
    </row>
    <row r="13699" spans="1:1" s="199" customFormat="1" ht="12" hidden="1" customHeight="1">
      <c r="A13699" s="198"/>
    </row>
    <row r="13700" spans="1:1" s="199" customFormat="1" ht="12" hidden="1" customHeight="1">
      <c r="A13700" s="198"/>
    </row>
    <row r="13701" spans="1:1" s="199" customFormat="1" ht="12" hidden="1" customHeight="1">
      <c r="A13701" s="198"/>
    </row>
    <row r="13702" spans="1:1" s="199" customFormat="1" ht="12" hidden="1" customHeight="1">
      <c r="A13702" s="198"/>
    </row>
    <row r="13703" spans="1:1" s="199" customFormat="1" ht="12" hidden="1" customHeight="1">
      <c r="A13703" s="198"/>
    </row>
    <row r="13704" spans="1:1" s="199" customFormat="1" ht="12" hidden="1" customHeight="1">
      <c r="A13704" s="198"/>
    </row>
    <row r="13705" spans="1:1" s="199" customFormat="1" ht="12" hidden="1" customHeight="1">
      <c r="A13705" s="198"/>
    </row>
    <row r="13706" spans="1:1" s="199" customFormat="1" ht="12" hidden="1" customHeight="1">
      <c r="A13706" s="198"/>
    </row>
    <row r="13707" spans="1:1" s="199" customFormat="1" ht="12" hidden="1" customHeight="1">
      <c r="A13707" s="198"/>
    </row>
    <row r="13708" spans="1:1" s="199" customFormat="1" ht="12" hidden="1" customHeight="1">
      <c r="A13708" s="198"/>
    </row>
    <row r="13709" spans="1:1" s="199" customFormat="1" ht="12" hidden="1" customHeight="1">
      <c r="A13709" s="198"/>
    </row>
    <row r="13710" spans="1:1" s="199" customFormat="1" ht="12" hidden="1" customHeight="1">
      <c r="A13710" s="198"/>
    </row>
    <row r="13711" spans="1:1" s="199" customFormat="1" ht="12" hidden="1" customHeight="1">
      <c r="A13711" s="198"/>
    </row>
    <row r="13712" spans="1:1" s="199" customFormat="1" ht="12" hidden="1" customHeight="1">
      <c r="A13712" s="198"/>
    </row>
    <row r="13713" spans="1:1" s="199" customFormat="1" ht="12" hidden="1" customHeight="1">
      <c r="A13713" s="198"/>
    </row>
    <row r="13714" spans="1:1" s="199" customFormat="1" ht="12" hidden="1" customHeight="1">
      <c r="A13714" s="198"/>
    </row>
    <row r="13715" spans="1:1" s="199" customFormat="1" ht="12" hidden="1" customHeight="1">
      <c r="A13715" s="198"/>
    </row>
    <row r="13716" spans="1:1" s="199" customFormat="1" ht="12" hidden="1" customHeight="1">
      <c r="A13716" s="198"/>
    </row>
    <row r="13717" spans="1:1" s="199" customFormat="1" ht="12" hidden="1" customHeight="1">
      <c r="A13717" s="198"/>
    </row>
    <row r="13718" spans="1:1" s="199" customFormat="1" ht="12" hidden="1" customHeight="1">
      <c r="A13718" s="198"/>
    </row>
    <row r="13719" spans="1:1" s="199" customFormat="1" ht="12" hidden="1" customHeight="1">
      <c r="A13719" s="198"/>
    </row>
    <row r="13720" spans="1:1" s="199" customFormat="1" ht="12" hidden="1" customHeight="1">
      <c r="A13720" s="198"/>
    </row>
    <row r="13721" spans="1:1" s="199" customFormat="1" ht="12" hidden="1" customHeight="1">
      <c r="A13721" s="198"/>
    </row>
    <row r="13722" spans="1:1" s="199" customFormat="1" ht="12" hidden="1" customHeight="1">
      <c r="A13722" s="198"/>
    </row>
    <row r="13723" spans="1:1" s="199" customFormat="1" ht="12" hidden="1" customHeight="1">
      <c r="A13723" s="198"/>
    </row>
    <row r="13724" spans="1:1" s="199" customFormat="1" ht="12" hidden="1" customHeight="1">
      <c r="A13724" s="198"/>
    </row>
    <row r="13725" spans="1:1" s="199" customFormat="1" ht="12" hidden="1" customHeight="1">
      <c r="A13725" s="198"/>
    </row>
    <row r="13726" spans="1:1" s="199" customFormat="1" ht="12" hidden="1" customHeight="1">
      <c r="A13726" s="198"/>
    </row>
    <row r="13727" spans="1:1" s="199" customFormat="1" ht="12" hidden="1" customHeight="1">
      <c r="A13727" s="198"/>
    </row>
    <row r="13728" spans="1:1" s="199" customFormat="1" ht="12" hidden="1" customHeight="1">
      <c r="A13728" s="198"/>
    </row>
    <row r="13729" spans="1:1" s="199" customFormat="1" ht="12" hidden="1" customHeight="1">
      <c r="A13729" s="198"/>
    </row>
    <row r="13730" spans="1:1" s="199" customFormat="1" ht="12" hidden="1" customHeight="1">
      <c r="A13730" s="198"/>
    </row>
    <row r="13731" spans="1:1" s="199" customFormat="1" ht="12" hidden="1" customHeight="1">
      <c r="A13731" s="198"/>
    </row>
    <row r="13732" spans="1:1" s="199" customFormat="1" ht="12" hidden="1" customHeight="1">
      <c r="A13732" s="198"/>
    </row>
    <row r="13733" spans="1:1" s="199" customFormat="1" ht="12" hidden="1" customHeight="1">
      <c r="A13733" s="198"/>
    </row>
    <row r="13734" spans="1:1" s="199" customFormat="1" ht="12" hidden="1" customHeight="1">
      <c r="A13734" s="198"/>
    </row>
    <row r="13735" spans="1:1" s="199" customFormat="1" ht="12" hidden="1" customHeight="1">
      <c r="A13735" s="198"/>
    </row>
    <row r="13736" spans="1:1" s="199" customFormat="1" ht="12" hidden="1" customHeight="1">
      <c r="A13736" s="198"/>
    </row>
    <row r="13737" spans="1:1" s="199" customFormat="1" ht="12" hidden="1" customHeight="1">
      <c r="A13737" s="198"/>
    </row>
    <row r="13738" spans="1:1" s="199" customFormat="1" ht="12" hidden="1" customHeight="1">
      <c r="A13738" s="198"/>
    </row>
    <row r="13739" spans="1:1" s="199" customFormat="1" ht="12" hidden="1" customHeight="1">
      <c r="A13739" s="198"/>
    </row>
    <row r="13740" spans="1:1" s="199" customFormat="1" ht="12" hidden="1" customHeight="1">
      <c r="A13740" s="198"/>
    </row>
    <row r="13741" spans="1:1" s="199" customFormat="1" ht="12" hidden="1" customHeight="1">
      <c r="A13741" s="198"/>
    </row>
    <row r="13742" spans="1:1" s="199" customFormat="1" ht="12" hidden="1" customHeight="1">
      <c r="A13742" s="198"/>
    </row>
    <row r="13743" spans="1:1" s="199" customFormat="1" ht="12" hidden="1" customHeight="1">
      <c r="A13743" s="198"/>
    </row>
    <row r="13744" spans="1:1" s="199" customFormat="1" ht="12" hidden="1" customHeight="1">
      <c r="A13744" s="198"/>
    </row>
    <row r="13745" spans="1:1" s="199" customFormat="1" ht="12" hidden="1" customHeight="1">
      <c r="A13745" s="198"/>
    </row>
    <row r="13746" spans="1:1" s="199" customFormat="1" ht="12" hidden="1" customHeight="1">
      <c r="A13746" s="198"/>
    </row>
    <row r="13747" spans="1:1" s="199" customFormat="1" ht="12" hidden="1" customHeight="1">
      <c r="A13747" s="198"/>
    </row>
    <row r="13748" spans="1:1" s="199" customFormat="1" ht="12" hidden="1" customHeight="1">
      <c r="A13748" s="198"/>
    </row>
    <row r="13749" spans="1:1" s="199" customFormat="1" ht="12" hidden="1" customHeight="1">
      <c r="A13749" s="198"/>
    </row>
    <row r="13750" spans="1:1" s="199" customFormat="1" ht="12" hidden="1" customHeight="1">
      <c r="A13750" s="198"/>
    </row>
    <row r="13751" spans="1:1" s="199" customFormat="1" ht="12" hidden="1" customHeight="1">
      <c r="A13751" s="198"/>
    </row>
    <row r="13752" spans="1:1" s="199" customFormat="1" ht="12" hidden="1" customHeight="1">
      <c r="A13752" s="198"/>
    </row>
    <row r="13753" spans="1:1" s="199" customFormat="1" ht="12" hidden="1" customHeight="1">
      <c r="A13753" s="198"/>
    </row>
    <row r="13754" spans="1:1" s="199" customFormat="1" ht="12" hidden="1" customHeight="1">
      <c r="A13754" s="198"/>
    </row>
    <row r="13755" spans="1:1" s="199" customFormat="1" ht="12" hidden="1" customHeight="1">
      <c r="A13755" s="198"/>
    </row>
    <row r="13756" spans="1:1" s="199" customFormat="1" ht="12" hidden="1" customHeight="1">
      <c r="A13756" s="198"/>
    </row>
    <row r="13757" spans="1:1" s="199" customFormat="1" ht="12" hidden="1" customHeight="1">
      <c r="A13757" s="198"/>
    </row>
    <row r="13758" spans="1:1" s="199" customFormat="1" ht="12" hidden="1" customHeight="1">
      <c r="A13758" s="198"/>
    </row>
    <row r="13759" spans="1:1" s="199" customFormat="1" ht="12" hidden="1" customHeight="1">
      <c r="A13759" s="198"/>
    </row>
    <row r="13760" spans="1:1" s="199" customFormat="1" ht="12" hidden="1" customHeight="1">
      <c r="A13760" s="198"/>
    </row>
    <row r="13761" spans="1:1" s="199" customFormat="1" ht="12" hidden="1" customHeight="1">
      <c r="A13761" s="198"/>
    </row>
    <row r="13762" spans="1:1" s="199" customFormat="1" ht="12" hidden="1" customHeight="1">
      <c r="A13762" s="198"/>
    </row>
    <row r="13763" spans="1:1" s="199" customFormat="1" ht="12" hidden="1" customHeight="1">
      <c r="A13763" s="198"/>
    </row>
    <row r="13764" spans="1:1" s="199" customFormat="1" ht="12" hidden="1" customHeight="1">
      <c r="A13764" s="198"/>
    </row>
    <row r="13765" spans="1:1" s="199" customFormat="1" ht="12" hidden="1" customHeight="1">
      <c r="A13765" s="198"/>
    </row>
    <row r="13766" spans="1:1" s="199" customFormat="1" ht="12" hidden="1" customHeight="1">
      <c r="A13766" s="198"/>
    </row>
    <row r="13767" spans="1:1" s="199" customFormat="1" ht="12" hidden="1" customHeight="1">
      <c r="A13767" s="198"/>
    </row>
    <row r="13768" spans="1:1" s="199" customFormat="1" ht="12" hidden="1" customHeight="1">
      <c r="A13768" s="198"/>
    </row>
    <row r="13769" spans="1:1" s="199" customFormat="1" ht="12" hidden="1" customHeight="1">
      <c r="A13769" s="198"/>
    </row>
    <row r="13770" spans="1:1" s="199" customFormat="1" ht="12" hidden="1" customHeight="1">
      <c r="A13770" s="198"/>
    </row>
    <row r="13771" spans="1:1" s="199" customFormat="1" ht="12" hidden="1" customHeight="1">
      <c r="A13771" s="198"/>
    </row>
    <row r="13772" spans="1:1" s="199" customFormat="1" ht="12" hidden="1" customHeight="1">
      <c r="A13772" s="198"/>
    </row>
    <row r="13773" spans="1:1" s="199" customFormat="1" ht="12" hidden="1" customHeight="1">
      <c r="A13773" s="198"/>
    </row>
    <row r="13774" spans="1:1" s="199" customFormat="1" ht="12" hidden="1" customHeight="1">
      <c r="A13774" s="198"/>
    </row>
    <row r="13775" spans="1:1" s="199" customFormat="1" ht="12" hidden="1" customHeight="1">
      <c r="A13775" s="198"/>
    </row>
    <row r="13776" spans="1:1" s="199" customFormat="1" ht="12" hidden="1" customHeight="1">
      <c r="A13776" s="198"/>
    </row>
    <row r="13777" spans="1:1" s="199" customFormat="1" ht="12" hidden="1" customHeight="1">
      <c r="A13777" s="198"/>
    </row>
    <row r="13778" spans="1:1" s="199" customFormat="1" ht="12" hidden="1" customHeight="1">
      <c r="A13778" s="198"/>
    </row>
    <row r="13779" spans="1:1" s="199" customFormat="1" ht="12" hidden="1" customHeight="1">
      <c r="A13779" s="198"/>
    </row>
    <row r="13780" spans="1:1" s="199" customFormat="1" ht="12" hidden="1" customHeight="1">
      <c r="A13780" s="198"/>
    </row>
    <row r="13781" spans="1:1" s="199" customFormat="1" ht="12" hidden="1" customHeight="1">
      <c r="A13781" s="198"/>
    </row>
    <row r="13782" spans="1:1" s="199" customFormat="1" ht="12" hidden="1" customHeight="1">
      <c r="A13782" s="198"/>
    </row>
    <row r="13783" spans="1:1" s="199" customFormat="1" ht="12" hidden="1" customHeight="1">
      <c r="A13783" s="198"/>
    </row>
    <row r="13784" spans="1:1" s="199" customFormat="1" ht="12" hidden="1" customHeight="1">
      <c r="A13784" s="198"/>
    </row>
    <row r="13785" spans="1:1" s="199" customFormat="1" ht="12" hidden="1" customHeight="1">
      <c r="A13785" s="198"/>
    </row>
    <row r="13786" spans="1:1" s="199" customFormat="1" ht="12" hidden="1" customHeight="1">
      <c r="A13786" s="198"/>
    </row>
    <row r="13787" spans="1:1" s="199" customFormat="1" ht="12" hidden="1" customHeight="1">
      <c r="A13787" s="198"/>
    </row>
    <row r="13788" spans="1:1" s="199" customFormat="1" ht="12" hidden="1" customHeight="1">
      <c r="A13788" s="198"/>
    </row>
    <row r="13789" spans="1:1" s="199" customFormat="1" ht="12" hidden="1" customHeight="1">
      <c r="A13789" s="198"/>
    </row>
    <row r="13790" spans="1:1" s="199" customFormat="1" ht="12" hidden="1" customHeight="1">
      <c r="A13790" s="198"/>
    </row>
    <row r="13791" spans="1:1" s="199" customFormat="1" ht="12" hidden="1" customHeight="1">
      <c r="A13791" s="198"/>
    </row>
    <row r="13792" spans="1:1" s="199" customFormat="1" ht="12" hidden="1" customHeight="1">
      <c r="A13792" s="198"/>
    </row>
    <row r="13793" spans="1:1" s="199" customFormat="1" ht="12" hidden="1" customHeight="1">
      <c r="A13793" s="198"/>
    </row>
    <row r="13794" spans="1:1" s="199" customFormat="1" ht="12" hidden="1" customHeight="1">
      <c r="A13794" s="198"/>
    </row>
    <row r="13795" spans="1:1" s="199" customFormat="1" ht="12" hidden="1" customHeight="1">
      <c r="A13795" s="198"/>
    </row>
    <row r="13796" spans="1:1" s="199" customFormat="1" ht="12" hidden="1" customHeight="1">
      <c r="A13796" s="198"/>
    </row>
    <row r="13797" spans="1:1" s="199" customFormat="1" ht="12" hidden="1" customHeight="1">
      <c r="A13797" s="198"/>
    </row>
    <row r="13798" spans="1:1" s="199" customFormat="1" ht="12" hidden="1" customHeight="1">
      <c r="A13798" s="198"/>
    </row>
    <row r="13799" spans="1:1" s="199" customFormat="1" ht="12" hidden="1" customHeight="1">
      <c r="A13799" s="198"/>
    </row>
    <row r="13800" spans="1:1" s="199" customFormat="1" ht="12" hidden="1" customHeight="1">
      <c r="A13800" s="198"/>
    </row>
    <row r="13801" spans="1:1" s="199" customFormat="1" ht="12" hidden="1" customHeight="1">
      <c r="A13801" s="198"/>
    </row>
    <row r="13802" spans="1:1" s="199" customFormat="1" ht="12" hidden="1" customHeight="1">
      <c r="A13802" s="198"/>
    </row>
    <row r="13803" spans="1:1" s="199" customFormat="1" ht="12" hidden="1" customHeight="1">
      <c r="A13803" s="198"/>
    </row>
    <row r="13804" spans="1:1" s="199" customFormat="1" ht="12" hidden="1" customHeight="1">
      <c r="A13804" s="198"/>
    </row>
    <row r="13805" spans="1:1" s="199" customFormat="1" ht="12" hidden="1" customHeight="1">
      <c r="A13805" s="198"/>
    </row>
    <row r="13806" spans="1:1" s="199" customFormat="1" ht="12" hidden="1" customHeight="1">
      <c r="A13806" s="198"/>
    </row>
    <row r="13807" spans="1:1" s="199" customFormat="1" ht="12" hidden="1" customHeight="1">
      <c r="A13807" s="198"/>
    </row>
    <row r="13808" spans="1:1" s="199" customFormat="1" ht="12" hidden="1" customHeight="1">
      <c r="A13808" s="198"/>
    </row>
    <row r="13809" spans="1:1" s="199" customFormat="1" ht="12" hidden="1" customHeight="1">
      <c r="A13809" s="198"/>
    </row>
    <row r="13810" spans="1:1" s="199" customFormat="1" ht="12" hidden="1" customHeight="1">
      <c r="A13810" s="198"/>
    </row>
    <row r="13811" spans="1:1" s="199" customFormat="1" ht="12" hidden="1" customHeight="1">
      <c r="A13811" s="198"/>
    </row>
    <row r="13812" spans="1:1" s="199" customFormat="1" ht="12" hidden="1" customHeight="1">
      <c r="A13812" s="198"/>
    </row>
    <row r="13813" spans="1:1" s="199" customFormat="1" ht="12" hidden="1" customHeight="1">
      <c r="A13813" s="198"/>
    </row>
    <row r="13814" spans="1:1" s="199" customFormat="1" ht="12" hidden="1" customHeight="1">
      <c r="A13814" s="198"/>
    </row>
    <row r="13815" spans="1:1" s="199" customFormat="1" ht="12" hidden="1" customHeight="1">
      <c r="A13815" s="198"/>
    </row>
    <row r="13816" spans="1:1" s="199" customFormat="1" ht="12" hidden="1" customHeight="1">
      <c r="A13816" s="198"/>
    </row>
    <row r="13817" spans="1:1" s="199" customFormat="1" ht="12" hidden="1" customHeight="1">
      <c r="A13817" s="198"/>
    </row>
    <row r="13818" spans="1:1" s="199" customFormat="1" ht="12" hidden="1" customHeight="1">
      <c r="A13818" s="198"/>
    </row>
    <row r="13819" spans="1:1" s="199" customFormat="1" ht="12" hidden="1" customHeight="1">
      <c r="A13819" s="198"/>
    </row>
    <row r="13820" spans="1:1" s="199" customFormat="1" ht="12" hidden="1" customHeight="1">
      <c r="A13820" s="198"/>
    </row>
    <row r="13821" spans="1:1" s="199" customFormat="1" ht="12" hidden="1" customHeight="1">
      <c r="A13821" s="198"/>
    </row>
    <row r="13822" spans="1:1" s="199" customFormat="1" ht="12" hidden="1" customHeight="1">
      <c r="A13822" s="198"/>
    </row>
    <row r="13823" spans="1:1" s="199" customFormat="1" ht="12" hidden="1" customHeight="1">
      <c r="A13823" s="198"/>
    </row>
    <row r="13824" spans="1:1" s="199" customFormat="1" ht="12" hidden="1" customHeight="1">
      <c r="A13824" s="198"/>
    </row>
    <row r="13825" spans="1:1" s="199" customFormat="1" ht="12" hidden="1" customHeight="1">
      <c r="A13825" s="198"/>
    </row>
    <row r="13826" spans="1:1" s="199" customFormat="1" ht="12" hidden="1" customHeight="1">
      <c r="A13826" s="198"/>
    </row>
    <row r="13827" spans="1:1" s="199" customFormat="1" ht="12" hidden="1" customHeight="1">
      <c r="A13827" s="198"/>
    </row>
    <row r="13828" spans="1:1" s="199" customFormat="1" ht="12" hidden="1" customHeight="1">
      <c r="A13828" s="198"/>
    </row>
    <row r="13829" spans="1:1" s="199" customFormat="1" ht="12" hidden="1" customHeight="1">
      <c r="A13829" s="198"/>
    </row>
    <row r="13830" spans="1:1" s="199" customFormat="1" ht="12" hidden="1" customHeight="1">
      <c r="A13830" s="198"/>
    </row>
    <row r="13831" spans="1:1" s="199" customFormat="1" ht="12" hidden="1" customHeight="1">
      <c r="A13831" s="198"/>
    </row>
    <row r="13832" spans="1:1" s="199" customFormat="1" ht="12" hidden="1" customHeight="1">
      <c r="A13832" s="198"/>
    </row>
    <row r="13833" spans="1:1" s="199" customFormat="1" ht="12" hidden="1" customHeight="1">
      <c r="A13833" s="198"/>
    </row>
    <row r="13834" spans="1:1" s="199" customFormat="1" ht="12" hidden="1" customHeight="1">
      <c r="A13834" s="198"/>
    </row>
    <row r="13835" spans="1:1" s="199" customFormat="1" ht="12" hidden="1" customHeight="1">
      <c r="A13835" s="198"/>
    </row>
    <row r="13836" spans="1:1" s="199" customFormat="1" ht="12" hidden="1" customHeight="1">
      <c r="A13836" s="198"/>
    </row>
    <row r="13837" spans="1:1" s="199" customFormat="1" ht="12" hidden="1" customHeight="1">
      <c r="A13837" s="198"/>
    </row>
    <row r="13838" spans="1:1" s="199" customFormat="1" ht="12" hidden="1" customHeight="1">
      <c r="A13838" s="198"/>
    </row>
    <row r="13839" spans="1:1" s="199" customFormat="1" ht="12" hidden="1" customHeight="1">
      <c r="A13839" s="198"/>
    </row>
    <row r="13840" spans="1:1" s="199" customFormat="1" ht="12" hidden="1" customHeight="1">
      <c r="A13840" s="198"/>
    </row>
    <row r="13841" spans="1:1" s="199" customFormat="1" ht="12" hidden="1" customHeight="1">
      <c r="A13841" s="198"/>
    </row>
    <row r="13842" spans="1:1" s="199" customFormat="1" ht="12" hidden="1" customHeight="1">
      <c r="A13842" s="198"/>
    </row>
    <row r="13843" spans="1:1" s="199" customFormat="1" ht="12" hidden="1" customHeight="1">
      <c r="A13843" s="198"/>
    </row>
    <row r="13844" spans="1:1" s="199" customFormat="1" ht="12" hidden="1" customHeight="1">
      <c r="A13844" s="198"/>
    </row>
    <row r="13845" spans="1:1" s="199" customFormat="1" ht="12" hidden="1" customHeight="1">
      <c r="A13845" s="198"/>
    </row>
    <row r="13846" spans="1:1" s="199" customFormat="1" ht="12" hidden="1" customHeight="1">
      <c r="A13846" s="198"/>
    </row>
    <row r="13847" spans="1:1" s="199" customFormat="1" ht="12" hidden="1" customHeight="1">
      <c r="A13847" s="198"/>
    </row>
    <row r="13848" spans="1:1" s="199" customFormat="1" ht="12" hidden="1" customHeight="1">
      <c r="A13848" s="198"/>
    </row>
    <row r="13849" spans="1:1" s="199" customFormat="1" ht="12" hidden="1" customHeight="1">
      <c r="A13849" s="198"/>
    </row>
    <row r="13850" spans="1:1" s="199" customFormat="1" ht="12" hidden="1" customHeight="1">
      <c r="A13850" s="198"/>
    </row>
    <row r="13851" spans="1:1" s="199" customFormat="1" ht="12" hidden="1" customHeight="1">
      <c r="A13851" s="198"/>
    </row>
    <row r="13852" spans="1:1" s="199" customFormat="1" ht="12" hidden="1" customHeight="1">
      <c r="A13852" s="198"/>
    </row>
    <row r="13853" spans="1:1" s="199" customFormat="1" ht="12" hidden="1" customHeight="1">
      <c r="A13853" s="198"/>
    </row>
    <row r="13854" spans="1:1" s="199" customFormat="1" ht="12" hidden="1" customHeight="1">
      <c r="A13854" s="198"/>
    </row>
    <row r="13855" spans="1:1" s="199" customFormat="1" ht="12" hidden="1" customHeight="1">
      <c r="A13855" s="198"/>
    </row>
    <row r="13856" spans="1:1" s="199" customFormat="1" ht="12" hidden="1" customHeight="1">
      <c r="A13856" s="198"/>
    </row>
    <row r="13857" spans="1:1" s="199" customFormat="1" ht="12" hidden="1" customHeight="1">
      <c r="A13857" s="198"/>
    </row>
    <row r="13858" spans="1:1" s="199" customFormat="1" ht="12" hidden="1" customHeight="1">
      <c r="A13858" s="198"/>
    </row>
    <row r="13859" spans="1:1" s="199" customFormat="1" ht="12" hidden="1" customHeight="1">
      <c r="A13859" s="198"/>
    </row>
    <row r="13860" spans="1:1" s="199" customFormat="1" ht="12" hidden="1" customHeight="1">
      <c r="A13860" s="198"/>
    </row>
    <row r="13861" spans="1:1" s="199" customFormat="1" ht="12" hidden="1" customHeight="1">
      <c r="A13861" s="198"/>
    </row>
    <row r="13862" spans="1:1" s="199" customFormat="1" ht="12" hidden="1" customHeight="1">
      <c r="A13862" s="198"/>
    </row>
    <row r="13863" spans="1:1" s="199" customFormat="1" ht="12" hidden="1" customHeight="1">
      <c r="A13863" s="198"/>
    </row>
    <row r="13864" spans="1:1" s="199" customFormat="1" ht="12" hidden="1" customHeight="1">
      <c r="A13864" s="198"/>
    </row>
    <row r="13865" spans="1:1" s="199" customFormat="1" ht="12" hidden="1" customHeight="1">
      <c r="A13865" s="198"/>
    </row>
    <row r="13866" spans="1:1" s="199" customFormat="1" ht="12" hidden="1" customHeight="1">
      <c r="A13866" s="198"/>
    </row>
    <row r="13867" spans="1:1" s="199" customFormat="1" ht="12" hidden="1" customHeight="1">
      <c r="A13867" s="198"/>
    </row>
    <row r="13868" spans="1:1" s="199" customFormat="1" ht="12" hidden="1" customHeight="1">
      <c r="A13868" s="198"/>
    </row>
    <row r="13869" spans="1:1" s="199" customFormat="1" ht="12" hidden="1" customHeight="1">
      <c r="A13869" s="198"/>
    </row>
    <row r="13870" spans="1:1" s="199" customFormat="1" ht="12" hidden="1" customHeight="1">
      <c r="A13870" s="198"/>
    </row>
    <row r="13871" spans="1:1" s="199" customFormat="1" ht="12" hidden="1" customHeight="1">
      <c r="A13871" s="198"/>
    </row>
    <row r="13872" spans="1:1" s="199" customFormat="1" ht="12" hidden="1" customHeight="1">
      <c r="A13872" s="198"/>
    </row>
    <row r="13873" spans="1:1" s="199" customFormat="1" ht="12" hidden="1" customHeight="1">
      <c r="A13873" s="198"/>
    </row>
    <row r="13874" spans="1:1" s="199" customFormat="1" ht="12" hidden="1" customHeight="1">
      <c r="A13874" s="198"/>
    </row>
    <row r="13875" spans="1:1" s="199" customFormat="1" ht="12" hidden="1" customHeight="1">
      <c r="A13875" s="198"/>
    </row>
    <row r="13876" spans="1:1" s="199" customFormat="1" ht="12" hidden="1" customHeight="1">
      <c r="A13876" s="198"/>
    </row>
    <row r="13877" spans="1:1" s="199" customFormat="1" ht="12" hidden="1" customHeight="1">
      <c r="A13877" s="198"/>
    </row>
    <row r="13878" spans="1:1" s="199" customFormat="1" ht="12" hidden="1" customHeight="1">
      <c r="A13878" s="198"/>
    </row>
    <row r="13879" spans="1:1" s="199" customFormat="1" ht="12" hidden="1" customHeight="1">
      <c r="A13879" s="198"/>
    </row>
    <row r="13880" spans="1:1" s="199" customFormat="1" ht="12" hidden="1" customHeight="1">
      <c r="A13880" s="198"/>
    </row>
    <row r="13881" spans="1:1" s="199" customFormat="1" ht="12" hidden="1" customHeight="1">
      <c r="A13881" s="198"/>
    </row>
    <row r="13882" spans="1:1" s="199" customFormat="1" ht="12" hidden="1" customHeight="1">
      <c r="A13882" s="198"/>
    </row>
    <row r="13883" spans="1:1" s="199" customFormat="1" ht="12" hidden="1" customHeight="1">
      <c r="A13883" s="198"/>
    </row>
    <row r="13884" spans="1:1" s="199" customFormat="1" ht="12" hidden="1" customHeight="1">
      <c r="A13884" s="198"/>
    </row>
    <row r="13885" spans="1:1" s="199" customFormat="1" ht="12" hidden="1" customHeight="1">
      <c r="A13885" s="198"/>
    </row>
    <row r="13886" spans="1:1" s="199" customFormat="1" ht="12" hidden="1" customHeight="1">
      <c r="A13886" s="198"/>
    </row>
    <row r="13887" spans="1:1" s="199" customFormat="1" ht="12" hidden="1" customHeight="1">
      <c r="A13887" s="198"/>
    </row>
    <row r="13888" spans="1:1" s="199" customFormat="1" ht="12" hidden="1" customHeight="1">
      <c r="A13888" s="198"/>
    </row>
    <row r="13889" spans="1:1" s="199" customFormat="1" ht="12" hidden="1" customHeight="1">
      <c r="A13889" s="198"/>
    </row>
    <row r="13890" spans="1:1" s="199" customFormat="1" ht="12" hidden="1" customHeight="1">
      <c r="A13890" s="198"/>
    </row>
    <row r="13891" spans="1:1" s="199" customFormat="1" ht="12" hidden="1" customHeight="1">
      <c r="A13891" s="198"/>
    </row>
    <row r="13892" spans="1:1" s="199" customFormat="1" ht="12" hidden="1" customHeight="1">
      <c r="A13892" s="198"/>
    </row>
    <row r="13893" spans="1:1" s="199" customFormat="1" ht="12" hidden="1" customHeight="1">
      <c r="A13893" s="198"/>
    </row>
    <row r="13894" spans="1:1" s="199" customFormat="1" ht="12" hidden="1" customHeight="1">
      <c r="A13894" s="198"/>
    </row>
    <row r="13895" spans="1:1" s="199" customFormat="1" ht="12" hidden="1" customHeight="1">
      <c r="A13895" s="198"/>
    </row>
    <row r="13896" spans="1:1" s="199" customFormat="1" ht="12" hidden="1" customHeight="1">
      <c r="A13896" s="198"/>
    </row>
    <row r="13897" spans="1:1" s="199" customFormat="1" ht="12" hidden="1" customHeight="1">
      <c r="A13897" s="198"/>
    </row>
    <row r="13898" spans="1:1" s="199" customFormat="1" ht="12" hidden="1" customHeight="1">
      <c r="A13898" s="198"/>
    </row>
    <row r="13899" spans="1:1" s="199" customFormat="1" ht="12" hidden="1" customHeight="1">
      <c r="A13899" s="198"/>
    </row>
    <row r="13900" spans="1:1" s="199" customFormat="1" ht="12" hidden="1" customHeight="1">
      <c r="A13900" s="198"/>
    </row>
    <row r="13901" spans="1:1" s="199" customFormat="1" ht="12" hidden="1" customHeight="1">
      <c r="A13901" s="198"/>
    </row>
    <row r="13902" spans="1:1" s="199" customFormat="1" ht="12" hidden="1" customHeight="1">
      <c r="A13902" s="198"/>
    </row>
    <row r="13903" spans="1:1" s="199" customFormat="1" ht="12" hidden="1" customHeight="1">
      <c r="A13903" s="198"/>
    </row>
    <row r="13904" spans="1:1" s="199" customFormat="1" ht="12" hidden="1" customHeight="1">
      <c r="A13904" s="198"/>
    </row>
    <row r="13905" spans="1:1" s="199" customFormat="1" ht="12" hidden="1" customHeight="1">
      <c r="A13905" s="198"/>
    </row>
    <row r="13906" spans="1:1" s="199" customFormat="1" ht="12" hidden="1" customHeight="1">
      <c r="A13906" s="198"/>
    </row>
    <row r="13907" spans="1:1" s="199" customFormat="1" ht="12" hidden="1" customHeight="1">
      <c r="A13907" s="198"/>
    </row>
    <row r="13908" spans="1:1" s="199" customFormat="1" ht="12" hidden="1" customHeight="1">
      <c r="A13908" s="198"/>
    </row>
    <row r="13909" spans="1:1" s="199" customFormat="1" ht="12" hidden="1" customHeight="1">
      <c r="A13909" s="198"/>
    </row>
    <row r="13910" spans="1:1" s="199" customFormat="1" ht="12" hidden="1" customHeight="1">
      <c r="A13910" s="198"/>
    </row>
    <row r="13911" spans="1:1" s="199" customFormat="1" ht="12" hidden="1" customHeight="1">
      <c r="A13911" s="198"/>
    </row>
    <row r="13912" spans="1:1" s="199" customFormat="1" ht="12" hidden="1" customHeight="1">
      <c r="A13912" s="198"/>
    </row>
    <row r="13913" spans="1:1" s="199" customFormat="1" ht="12" hidden="1" customHeight="1">
      <c r="A13913" s="198"/>
    </row>
    <row r="13914" spans="1:1" s="199" customFormat="1" ht="12" hidden="1" customHeight="1">
      <c r="A13914" s="198"/>
    </row>
    <row r="13915" spans="1:1" s="199" customFormat="1" ht="12" hidden="1" customHeight="1">
      <c r="A13915" s="198"/>
    </row>
    <row r="13916" spans="1:1" s="199" customFormat="1" ht="12" hidden="1" customHeight="1">
      <c r="A13916" s="198"/>
    </row>
    <row r="13917" spans="1:1" s="199" customFormat="1" ht="12" hidden="1" customHeight="1">
      <c r="A13917" s="198"/>
    </row>
    <row r="13918" spans="1:1" s="199" customFormat="1" ht="12" hidden="1" customHeight="1">
      <c r="A13918" s="198"/>
    </row>
    <row r="13919" spans="1:1" s="199" customFormat="1" ht="12" hidden="1" customHeight="1">
      <c r="A13919" s="198"/>
    </row>
    <row r="13920" spans="1:1" s="199" customFormat="1" ht="12" hidden="1" customHeight="1">
      <c r="A13920" s="198"/>
    </row>
    <row r="13921" spans="1:1" s="199" customFormat="1" ht="12" hidden="1" customHeight="1">
      <c r="A13921" s="198"/>
    </row>
    <row r="13922" spans="1:1" s="199" customFormat="1" ht="12" hidden="1" customHeight="1">
      <c r="A13922" s="198"/>
    </row>
    <row r="13923" spans="1:1" s="199" customFormat="1" ht="12" hidden="1" customHeight="1">
      <c r="A13923" s="198"/>
    </row>
    <row r="13924" spans="1:1" s="199" customFormat="1" ht="12" hidden="1" customHeight="1">
      <c r="A13924" s="198"/>
    </row>
    <row r="13925" spans="1:1" s="199" customFormat="1" ht="12" hidden="1" customHeight="1">
      <c r="A13925" s="198"/>
    </row>
    <row r="13926" spans="1:1" s="199" customFormat="1" ht="12" hidden="1" customHeight="1">
      <c r="A13926" s="198"/>
    </row>
    <row r="13927" spans="1:1" s="199" customFormat="1" ht="12" hidden="1" customHeight="1">
      <c r="A13927" s="198"/>
    </row>
    <row r="13928" spans="1:1" s="199" customFormat="1" ht="12" hidden="1" customHeight="1">
      <c r="A13928" s="198"/>
    </row>
    <row r="13929" spans="1:1" s="199" customFormat="1" ht="12" hidden="1" customHeight="1">
      <c r="A13929" s="198"/>
    </row>
    <row r="13930" spans="1:1" s="199" customFormat="1" ht="12" hidden="1" customHeight="1">
      <c r="A13930" s="198"/>
    </row>
    <row r="13931" spans="1:1" s="199" customFormat="1" ht="12" hidden="1" customHeight="1">
      <c r="A13931" s="198"/>
    </row>
    <row r="13932" spans="1:1" s="199" customFormat="1" ht="12" hidden="1" customHeight="1">
      <c r="A13932" s="198"/>
    </row>
    <row r="13933" spans="1:1" s="199" customFormat="1" ht="12" hidden="1" customHeight="1">
      <c r="A13933" s="198"/>
    </row>
    <row r="13934" spans="1:1" s="199" customFormat="1" ht="12" hidden="1" customHeight="1">
      <c r="A13934" s="198"/>
    </row>
    <row r="13935" spans="1:1" s="199" customFormat="1" ht="12" hidden="1" customHeight="1">
      <c r="A13935" s="198"/>
    </row>
    <row r="13936" spans="1:1" s="199" customFormat="1" ht="12" hidden="1" customHeight="1">
      <c r="A13936" s="198"/>
    </row>
    <row r="13937" spans="1:1" s="199" customFormat="1" ht="12" hidden="1" customHeight="1">
      <c r="A13937" s="198"/>
    </row>
    <row r="13938" spans="1:1" s="199" customFormat="1" ht="12" hidden="1" customHeight="1">
      <c r="A13938" s="198"/>
    </row>
    <row r="13939" spans="1:1" s="199" customFormat="1" ht="12" hidden="1" customHeight="1">
      <c r="A13939" s="198"/>
    </row>
    <row r="13940" spans="1:1" s="199" customFormat="1" ht="12" hidden="1" customHeight="1">
      <c r="A13940" s="198"/>
    </row>
    <row r="13941" spans="1:1" s="199" customFormat="1" ht="12" hidden="1" customHeight="1">
      <c r="A13941" s="198"/>
    </row>
    <row r="13942" spans="1:1" s="199" customFormat="1" ht="12" hidden="1" customHeight="1">
      <c r="A13942" s="198"/>
    </row>
    <row r="13943" spans="1:1" s="199" customFormat="1" ht="12" hidden="1" customHeight="1">
      <c r="A13943" s="198"/>
    </row>
    <row r="13944" spans="1:1" s="199" customFormat="1" ht="12" hidden="1" customHeight="1">
      <c r="A13944" s="198"/>
    </row>
    <row r="13945" spans="1:1" s="199" customFormat="1" ht="12" hidden="1" customHeight="1">
      <c r="A13945" s="198"/>
    </row>
    <row r="13946" spans="1:1" s="199" customFormat="1" ht="12" hidden="1" customHeight="1">
      <c r="A13946" s="198"/>
    </row>
    <row r="13947" spans="1:1" s="199" customFormat="1" ht="12" hidden="1" customHeight="1">
      <c r="A13947" s="198"/>
    </row>
    <row r="13948" spans="1:1" s="199" customFormat="1" ht="12" hidden="1" customHeight="1">
      <c r="A13948" s="198"/>
    </row>
    <row r="13949" spans="1:1" s="199" customFormat="1" ht="12" hidden="1" customHeight="1">
      <c r="A13949" s="198"/>
    </row>
    <row r="13950" spans="1:1" s="199" customFormat="1" ht="12" hidden="1" customHeight="1">
      <c r="A13950" s="198"/>
    </row>
    <row r="13951" spans="1:1" s="199" customFormat="1" ht="12" hidden="1" customHeight="1">
      <c r="A13951" s="198"/>
    </row>
    <row r="13952" spans="1:1" s="199" customFormat="1" ht="12" hidden="1" customHeight="1">
      <c r="A13952" s="198"/>
    </row>
    <row r="13953" spans="1:1" s="199" customFormat="1" ht="12" hidden="1" customHeight="1">
      <c r="A13953" s="198"/>
    </row>
    <row r="13954" spans="1:1" s="199" customFormat="1" ht="12" hidden="1" customHeight="1">
      <c r="A13954" s="198"/>
    </row>
    <row r="13955" spans="1:1" s="199" customFormat="1" ht="12" hidden="1" customHeight="1">
      <c r="A13955" s="198"/>
    </row>
    <row r="13956" spans="1:1" s="199" customFormat="1" ht="12" hidden="1" customHeight="1">
      <c r="A13956" s="198"/>
    </row>
    <row r="13957" spans="1:1" s="199" customFormat="1" ht="12" hidden="1" customHeight="1">
      <c r="A13957" s="198"/>
    </row>
    <row r="13958" spans="1:1" s="199" customFormat="1" ht="12" hidden="1" customHeight="1">
      <c r="A13958" s="198"/>
    </row>
    <row r="13959" spans="1:1" s="199" customFormat="1" ht="12" hidden="1" customHeight="1">
      <c r="A13959" s="198"/>
    </row>
    <row r="13960" spans="1:1" s="199" customFormat="1" ht="12" hidden="1" customHeight="1">
      <c r="A13960" s="198"/>
    </row>
    <row r="13961" spans="1:1" s="199" customFormat="1" ht="12" hidden="1" customHeight="1">
      <c r="A13961" s="198"/>
    </row>
    <row r="13962" spans="1:1" s="199" customFormat="1" ht="12" hidden="1" customHeight="1">
      <c r="A13962" s="198"/>
    </row>
    <row r="13963" spans="1:1" s="199" customFormat="1" ht="12" hidden="1" customHeight="1">
      <c r="A13963" s="198"/>
    </row>
    <row r="13964" spans="1:1" s="199" customFormat="1" ht="12" hidden="1" customHeight="1">
      <c r="A13964" s="198"/>
    </row>
    <row r="13965" spans="1:1" s="199" customFormat="1" ht="12" hidden="1" customHeight="1">
      <c r="A13965" s="198"/>
    </row>
    <row r="13966" spans="1:1" s="199" customFormat="1" ht="12" hidden="1" customHeight="1">
      <c r="A13966" s="198"/>
    </row>
    <row r="13967" spans="1:1" s="199" customFormat="1" ht="12" hidden="1" customHeight="1">
      <c r="A13967" s="198"/>
    </row>
    <row r="13968" spans="1:1" s="199" customFormat="1" ht="12" hidden="1" customHeight="1">
      <c r="A13968" s="198"/>
    </row>
    <row r="13969" spans="1:1" s="199" customFormat="1" ht="12" hidden="1" customHeight="1">
      <c r="A13969" s="198"/>
    </row>
    <row r="13970" spans="1:1" s="199" customFormat="1" ht="12" hidden="1" customHeight="1">
      <c r="A13970" s="198"/>
    </row>
    <row r="13971" spans="1:1" s="199" customFormat="1" ht="12" hidden="1" customHeight="1">
      <c r="A13971" s="198"/>
    </row>
    <row r="13972" spans="1:1" s="199" customFormat="1" ht="12" hidden="1" customHeight="1">
      <c r="A13972" s="198"/>
    </row>
    <row r="13973" spans="1:1" s="199" customFormat="1" ht="12" hidden="1" customHeight="1">
      <c r="A13973" s="198"/>
    </row>
    <row r="13974" spans="1:1" s="199" customFormat="1" ht="12" hidden="1" customHeight="1">
      <c r="A13974" s="198"/>
    </row>
    <row r="13975" spans="1:1" s="199" customFormat="1" ht="12" hidden="1" customHeight="1">
      <c r="A13975" s="198"/>
    </row>
    <row r="13976" spans="1:1" s="199" customFormat="1" ht="12" hidden="1" customHeight="1">
      <c r="A13976" s="198"/>
    </row>
    <row r="13977" spans="1:1" s="199" customFormat="1" ht="12" hidden="1" customHeight="1">
      <c r="A13977" s="198"/>
    </row>
    <row r="13978" spans="1:1" s="199" customFormat="1" ht="12" hidden="1" customHeight="1">
      <c r="A13978" s="198"/>
    </row>
    <row r="13979" spans="1:1" s="199" customFormat="1" ht="12" hidden="1" customHeight="1">
      <c r="A13979" s="198"/>
    </row>
    <row r="13980" spans="1:1" s="199" customFormat="1" ht="12" hidden="1" customHeight="1">
      <c r="A13980" s="198"/>
    </row>
    <row r="13981" spans="1:1" s="199" customFormat="1" ht="12" hidden="1" customHeight="1">
      <c r="A13981" s="198"/>
    </row>
    <row r="13982" spans="1:1" s="199" customFormat="1" ht="12" hidden="1" customHeight="1">
      <c r="A13982" s="198"/>
    </row>
    <row r="13983" spans="1:1" s="199" customFormat="1" ht="12" hidden="1" customHeight="1">
      <c r="A13983" s="198"/>
    </row>
    <row r="13984" spans="1:1" s="199" customFormat="1" ht="12" hidden="1" customHeight="1">
      <c r="A13984" s="198"/>
    </row>
    <row r="13985" spans="1:1" s="199" customFormat="1" ht="12" hidden="1" customHeight="1">
      <c r="A13985" s="198"/>
    </row>
    <row r="13986" spans="1:1" s="199" customFormat="1" ht="12" hidden="1" customHeight="1">
      <c r="A13986" s="198"/>
    </row>
    <row r="13987" spans="1:1" s="199" customFormat="1" ht="12" hidden="1" customHeight="1">
      <c r="A13987" s="198"/>
    </row>
    <row r="13988" spans="1:1" s="199" customFormat="1" ht="12" hidden="1" customHeight="1">
      <c r="A13988" s="198"/>
    </row>
    <row r="13989" spans="1:1" s="199" customFormat="1" ht="12" hidden="1" customHeight="1">
      <c r="A13989" s="198"/>
    </row>
    <row r="13990" spans="1:1" s="199" customFormat="1" ht="12" hidden="1" customHeight="1">
      <c r="A13990" s="198"/>
    </row>
    <row r="13991" spans="1:1" s="199" customFormat="1" ht="12" hidden="1" customHeight="1">
      <c r="A13991" s="198"/>
    </row>
    <row r="13992" spans="1:1" s="199" customFormat="1" ht="12" hidden="1" customHeight="1">
      <c r="A13992" s="198"/>
    </row>
    <row r="13993" spans="1:1" s="199" customFormat="1" ht="12" hidden="1" customHeight="1">
      <c r="A13993" s="198"/>
    </row>
    <row r="13994" spans="1:1" s="199" customFormat="1" ht="12" hidden="1" customHeight="1">
      <c r="A13994" s="198"/>
    </row>
    <row r="13995" spans="1:1" s="199" customFormat="1" ht="12" hidden="1" customHeight="1">
      <c r="A13995" s="198"/>
    </row>
    <row r="13996" spans="1:1" s="199" customFormat="1" ht="12" hidden="1" customHeight="1">
      <c r="A13996" s="198"/>
    </row>
    <row r="13997" spans="1:1" s="199" customFormat="1" ht="12" hidden="1" customHeight="1">
      <c r="A13997" s="198"/>
    </row>
    <row r="13998" spans="1:1" s="199" customFormat="1" ht="12" hidden="1" customHeight="1">
      <c r="A13998" s="198"/>
    </row>
    <row r="13999" spans="1:1" s="199" customFormat="1" ht="12" hidden="1" customHeight="1">
      <c r="A13999" s="198"/>
    </row>
    <row r="14000" spans="1:1" s="199" customFormat="1" ht="12" hidden="1" customHeight="1">
      <c r="A14000" s="198"/>
    </row>
    <row r="14001" spans="1:1" s="199" customFormat="1" ht="12" hidden="1" customHeight="1">
      <c r="A14001" s="198"/>
    </row>
    <row r="14002" spans="1:1" s="199" customFormat="1" ht="12" hidden="1" customHeight="1">
      <c r="A14002" s="198"/>
    </row>
    <row r="14003" spans="1:1" s="199" customFormat="1" ht="12" hidden="1" customHeight="1">
      <c r="A14003" s="198"/>
    </row>
    <row r="14004" spans="1:1" s="199" customFormat="1" ht="12" hidden="1" customHeight="1">
      <c r="A14004" s="198"/>
    </row>
    <row r="14005" spans="1:1" s="199" customFormat="1" ht="12" hidden="1" customHeight="1">
      <c r="A14005" s="198"/>
    </row>
    <row r="14006" spans="1:1" s="199" customFormat="1" ht="12" hidden="1" customHeight="1">
      <c r="A14006" s="198"/>
    </row>
    <row r="14007" spans="1:1" s="199" customFormat="1" ht="12" hidden="1" customHeight="1">
      <c r="A14007" s="198"/>
    </row>
    <row r="14008" spans="1:1" s="199" customFormat="1" ht="12" hidden="1" customHeight="1">
      <c r="A14008" s="198"/>
    </row>
    <row r="14009" spans="1:1" s="199" customFormat="1" ht="12" hidden="1" customHeight="1">
      <c r="A14009" s="198"/>
    </row>
    <row r="14010" spans="1:1" s="199" customFormat="1" ht="12" hidden="1" customHeight="1">
      <c r="A14010" s="198"/>
    </row>
    <row r="14011" spans="1:1" s="199" customFormat="1" ht="12" hidden="1" customHeight="1">
      <c r="A14011" s="198"/>
    </row>
    <row r="14012" spans="1:1" s="199" customFormat="1" ht="12" hidden="1" customHeight="1">
      <c r="A14012" s="198"/>
    </row>
    <row r="14013" spans="1:1" s="199" customFormat="1" ht="12" hidden="1" customHeight="1">
      <c r="A14013" s="198"/>
    </row>
    <row r="14014" spans="1:1" s="199" customFormat="1" ht="12" hidden="1" customHeight="1">
      <c r="A14014" s="198"/>
    </row>
    <row r="14015" spans="1:1" s="199" customFormat="1" ht="12" hidden="1" customHeight="1">
      <c r="A14015" s="198"/>
    </row>
    <row r="14016" spans="1:1" s="199" customFormat="1" ht="12" hidden="1" customHeight="1">
      <c r="A14016" s="198"/>
    </row>
    <row r="14017" spans="1:1" s="199" customFormat="1" ht="12" hidden="1" customHeight="1">
      <c r="A14017" s="198"/>
    </row>
    <row r="14018" spans="1:1" s="199" customFormat="1" ht="12" hidden="1" customHeight="1">
      <c r="A14018" s="198"/>
    </row>
    <row r="14019" spans="1:1" s="199" customFormat="1" ht="12" hidden="1" customHeight="1">
      <c r="A14019" s="198"/>
    </row>
    <row r="14020" spans="1:1" s="199" customFormat="1" ht="12" hidden="1" customHeight="1">
      <c r="A14020" s="198"/>
    </row>
    <row r="14021" spans="1:1" s="199" customFormat="1" ht="12" hidden="1" customHeight="1">
      <c r="A14021" s="198"/>
    </row>
    <row r="14022" spans="1:1" s="199" customFormat="1" ht="12" hidden="1" customHeight="1">
      <c r="A14022" s="198"/>
    </row>
    <row r="14023" spans="1:1" s="199" customFormat="1" ht="12" hidden="1" customHeight="1">
      <c r="A14023" s="198"/>
    </row>
    <row r="14024" spans="1:1" s="199" customFormat="1" ht="12" hidden="1" customHeight="1">
      <c r="A14024" s="198"/>
    </row>
    <row r="14025" spans="1:1" s="199" customFormat="1" ht="12" hidden="1" customHeight="1">
      <c r="A14025" s="198"/>
    </row>
    <row r="14026" spans="1:1" s="199" customFormat="1" ht="12" hidden="1" customHeight="1">
      <c r="A14026" s="198"/>
    </row>
    <row r="14027" spans="1:1" s="199" customFormat="1" ht="12" hidden="1" customHeight="1">
      <c r="A14027" s="198"/>
    </row>
    <row r="14028" spans="1:1" s="199" customFormat="1" ht="12" hidden="1" customHeight="1">
      <c r="A14028" s="198"/>
    </row>
    <row r="14029" spans="1:1" s="199" customFormat="1" ht="12" hidden="1" customHeight="1">
      <c r="A14029" s="198"/>
    </row>
    <row r="14030" spans="1:1" s="199" customFormat="1" ht="12" hidden="1" customHeight="1">
      <c r="A14030" s="198"/>
    </row>
    <row r="14031" spans="1:1" s="199" customFormat="1" ht="12" hidden="1" customHeight="1">
      <c r="A14031" s="198"/>
    </row>
    <row r="14032" spans="1:1" s="199" customFormat="1" ht="12" hidden="1" customHeight="1">
      <c r="A14032" s="198"/>
    </row>
    <row r="14033" spans="1:1" s="199" customFormat="1" ht="12" hidden="1" customHeight="1">
      <c r="A14033" s="198"/>
    </row>
    <row r="14034" spans="1:1" s="199" customFormat="1" ht="12" hidden="1" customHeight="1">
      <c r="A14034" s="198"/>
    </row>
    <row r="14035" spans="1:1" s="199" customFormat="1" ht="12" hidden="1" customHeight="1">
      <c r="A14035" s="198"/>
    </row>
    <row r="14036" spans="1:1" s="199" customFormat="1" ht="12" hidden="1" customHeight="1">
      <c r="A14036" s="198"/>
    </row>
    <row r="14037" spans="1:1" s="199" customFormat="1" ht="12" hidden="1" customHeight="1">
      <c r="A14037" s="198"/>
    </row>
    <row r="14038" spans="1:1" s="199" customFormat="1" ht="12" hidden="1" customHeight="1">
      <c r="A14038" s="198"/>
    </row>
    <row r="14039" spans="1:1" s="199" customFormat="1" ht="12" hidden="1" customHeight="1">
      <c r="A14039" s="198"/>
    </row>
    <row r="14040" spans="1:1" s="199" customFormat="1" ht="12" hidden="1" customHeight="1">
      <c r="A14040" s="198"/>
    </row>
    <row r="14041" spans="1:1" s="199" customFormat="1" ht="12" hidden="1" customHeight="1">
      <c r="A14041" s="198"/>
    </row>
    <row r="14042" spans="1:1" s="199" customFormat="1" ht="12" hidden="1" customHeight="1">
      <c r="A14042" s="198"/>
    </row>
    <row r="14043" spans="1:1" s="199" customFormat="1" ht="12" hidden="1" customHeight="1">
      <c r="A14043" s="198"/>
    </row>
    <row r="14044" spans="1:1" s="199" customFormat="1" ht="12" hidden="1" customHeight="1">
      <c r="A14044" s="198"/>
    </row>
    <row r="14045" spans="1:1" s="199" customFormat="1" ht="12" hidden="1" customHeight="1">
      <c r="A14045" s="198"/>
    </row>
    <row r="14046" spans="1:1" s="199" customFormat="1" ht="12" hidden="1" customHeight="1">
      <c r="A14046" s="198"/>
    </row>
    <row r="14047" spans="1:1" s="199" customFormat="1" ht="12" hidden="1" customHeight="1">
      <c r="A14047" s="198"/>
    </row>
    <row r="14048" spans="1:1" s="199" customFormat="1" ht="12" hidden="1" customHeight="1">
      <c r="A14048" s="198"/>
    </row>
    <row r="14049" spans="1:1" s="199" customFormat="1" ht="12" hidden="1" customHeight="1">
      <c r="A14049" s="198"/>
    </row>
    <row r="14050" spans="1:1" s="199" customFormat="1" ht="12" hidden="1" customHeight="1">
      <c r="A14050" s="198"/>
    </row>
    <row r="14051" spans="1:1" s="199" customFormat="1" ht="12" hidden="1" customHeight="1">
      <c r="A14051" s="198"/>
    </row>
    <row r="14052" spans="1:1" s="199" customFormat="1" ht="12" hidden="1" customHeight="1">
      <c r="A14052" s="198"/>
    </row>
    <row r="14053" spans="1:1" s="199" customFormat="1" ht="12" hidden="1" customHeight="1">
      <c r="A14053" s="198"/>
    </row>
    <row r="14054" spans="1:1" s="199" customFormat="1" ht="12" hidden="1" customHeight="1">
      <c r="A14054" s="198"/>
    </row>
    <row r="14055" spans="1:1" s="199" customFormat="1" ht="12" hidden="1" customHeight="1">
      <c r="A14055" s="198"/>
    </row>
    <row r="14056" spans="1:1" s="199" customFormat="1" ht="12" hidden="1" customHeight="1">
      <c r="A14056" s="198"/>
    </row>
    <row r="14057" spans="1:1" s="199" customFormat="1" ht="12" hidden="1" customHeight="1">
      <c r="A14057" s="198"/>
    </row>
    <row r="14058" spans="1:1" s="199" customFormat="1" ht="12" hidden="1" customHeight="1">
      <c r="A14058" s="198"/>
    </row>
    <row r="14059" spans="1:1" s="199" customFormat="1" ht="12" hidden="1" customHeight="1">
      <c r="A14059" s="198"/>
    </row>
    <row r="14060" spans="1:1" s="199" customFormat="1" ht="12" hidden="1" customHeight="1">
      <c r="A14060" s="198"/>
    </row>
    <row r="14061" spans="1:1" s="199" customFormat="1" ht="12" hidden="1" customHeight="1">
      <c r="A14061" s="198"/>
    </row>
    <row r="14062" spans="1:1" s="199" customFormat="1" ht="12" hidden="1" customHeight="1">
      <c r="A14062" s="198"/>
    </row>
    <row r="14063" spans="1:1" s="199" customFormat="1" ht="12" hidden="1" customHeight="1">
      <c r="A14063" s="198"/>
    </row>
    <row r="14064" spans="1:1" s="199" customFormat="1" ht="12" hidden="1" customHeight="1">
      <c r="A14064" s="198"/>
    </row>
    <row r="14065" spans="1:1" s="199" customFormat="1" ht="12" hidden="1" customHeight="1">
      <c r="A14065" s="198"/>
    </row>
    <row r="14066" spans="1:1" s="199" customFormat="1" ht="12" hidden="1" customHeight="1">
      <c r="A14066" s="198"/>
    </row>
    <row r="14067" spans="1:1" s="199" customFormat="1" ht="12" hidden="1" customHeight="1">
      <c r="A14067" s="198"/>
    </row>
    <row r="14068" spans="1:1" s="199" customFormat="1" ht="12" hidden="1" customHeight="1">
      <c r="A14068" s="198"/>
    </row>
    <row r="14069" spans="1:1" s="199" customFormat="1" ht="12" hidden="1" customHeight="1">
      <c r="A14069" s="198"/>
    </row>
    <row r="14070" spans="1:1" s="199" customFormat="1" ht="12" hidden="1" customHeight="1">
      <c r="A14070" s="198"/>
    </row>
    <row r="14071" spans="1:1" s="199" customFormat="1" ht="12" hidden="1" customHeight="1">
      <c r="A14071" s="198"/>
    </row>
    <row r="14072" spans="1:1" s="199" customFormat="1" ht="12" hidden="1" customHeight="1">
      <c r="A14072" s="198"/>
    </row>
    <row r="14073" spans="1:1" s="199" customFormat="1" ht="12" hidden="1" customHeight="1">
      <c r="A14073" s="198"/>
    </row>
    <row r="14074" spans="1:1" s="199" customFormat="1" ht="12" hidden="1" customHeight="1">
      <c r="A14074" s="198"/>
    </row>
    <row r="14075" spans="1:1" s="199" customFormat="1" ht="12" hidden="1" customHeight="1">
      <c r="A14075" s="198"/>
    </row>
    <row r="14076" spans="1:1" s="199" customFormat="1" ht="12" hidden="1" customHeight="1">
      <c r="A14076" s="198"/>
    </row>
    <row r="14077" spans="1:1" s="199" customFormat="1" ht="12" hidden="1" customHeight="1">
      <c r="A14077" s="198"/>
    </row>
    <row r="14078" spans="1:1" s="199" customFormat="1" ht="12" hidden="1" customHeight="1">
      <c r="A14078" s="198"/>
    </row>
    <row r="14079" spans="1:1" s="199" customFormat="1" ht="12" hidden="1" customHeight="1">
      <c r="A14079" s="198"/>
    </row>
    <row r="14080" spans="1:1" s="199" customFormat="1" ht="12" hidden="1" customHeight="1">
      <c r="A14080" s="198"/>
    </row>
    <row r="14081" spans="1:1" s="199" customFormat="1" ht="12" hidden="1" customHeight="1">
      <c r="A14081" s="198"/>
    </row>
    <row r="14082" spans="1:1" s="199" customFormat="1" ht="12" hidden="1" customHeight="1">
      <c r="A14082" s="198"/>
    </row>
    <row r="14083" spans="1:1" s="199" customFormat="1" ht="12" hidden="1" customHeight="1">
      <c r="A14083" s="198"/>
    </row>
    <row r="14084" spans="1:1" s="199" customFormat="1" ht="12" hidden="1" customHeight="1">
      <c r="A14084" s="198"/>
    </row>
    <row r="14085" spans="1:1" s="199" customFormat="1" ht="12" hidden="1" customHeight="1">
      <c r="A14085" s="198"/>
    </row>
    <row r="14086" spans="1:1" s="199" customFormat="1" ht="12" hidden="1" customHeight="1">
      <c r="A14086" s="198"/>
    </row>
    <row r="14087" spans="1:1" s="199" customFormat="1" ht="12" hidden="1" customHeight="1">
      <c r="A14087" s="198"/>
    </row>
    <row r="14088" spans="1:1" s="199" customFormat="1" ht="12" hidden="1" customHeight="1">
      <c r="A14088" s="198"/>
    </row>
    <row r="14089" spans="1:1" s="199" customFormat="1" ht="12" hidden="1" customHeight="1">
      <c r="A14089" s="198"/>
    </row>
    <row r="14090" spans="1:1" s="199" customFormat="1" ht="12" hidden="1" customHeight="1">
      <c r="A14090" s="198"/>
    </row>
    <row r="14091" spans="1:1" s="199" customFormat="1" ht="12" hidden="1" customHeight="1">
      <c r="A14091" s="198"/>
    </row>
    <row r="14092" spans="1:1" s="199" customFormat="1" ht="12" hidden="1" customHeight="1">
      <c r="A14092" s="198"/>
    </row>
    <row r="14093" spans="1:1" s="199" customFormat="1" ht="12" hidden="1" customHeight="1">
      <c r="A14093" s="198"/>
    </row>
    <row r="14094" spans="1:1" s="199" customFormat="1" ht="12" hidden="1" customHeight="1">
      <c r="A14094" s="198"/>
    </row>
    <row r="14095" spans="1:1" s="199" customFormat="1" ht="12" hidden="1" customHeight="1">
      <c r="A14095" s="198"/>
    </row>
    <row r="14096" spans="1:1" s="199" customFormat="1" ht="12" hidden="1" customHeight="1">
      <c r="A14096" s="198"/>
    </row>
    <row r="14097" spans="1:1" s="199" customFormat="1" ht="12" hidden="1" customHeight="1">
      <c r="A14097" s="198"/>
    </row>
    <row r="14098" spans="1:1" s="199" customFormat="1" ht="12" hidden="1" customHeight="1">
      <c r="A14098" s="198"/>
    </row>
    <row r="14099" spans="1:1" s="199" customFormat="1" ht="12" hidden="1" customHeight="1">
      <c r="A14099" s="198"/>
    </row>
    <row r="14100" spans="1:1" s="199" customFormat="1" ht="12" hidden="1" customHeight="1">
      <c r="A14100" s="198"/>
    </row>
    <row r="14101" spans="1:1" s="199" customFormat="1" ht="12" hidden="1" customHeight="1">
      <c r="A14101" s="198"/>
    </row>
    <row r="14102" spans="1:1" s="199" customFormat="1" ht="12" hidden="1" customHeight="1">
      <c r="A14102" s="198"/>
    </row>
    <row r="14103" spans="1:1" s="199" customFormat="1" ht="12" hidden="1" customHeight="1">
      <c r="A14103" s="198"/>
    </row>
    <row r="14104" spans="1:1" s="199" customFormat="1" ht="12" hidden="1" customHeight="1">
      <c r="A14104" s="198"/>
    </row>
    <row r="14105" spans="1:1" s="199" customFormat="1" ht="12" hidden="1" customHeight="1">
      <c r="A14105" s="198"/>
    </row>
    <row r="14106" spans="1:1" s="199" customFormat="1" ht="12" hidden="1" customHeight="1">
      <c r="A14106" s="198"/>
    </row>
    <row r="14107" spans="1:1" s="199" customFormat="1" ht="12" hidden="1" customHeight="1">
      <c r="A14107" s="198"/>
    </row>
    <row r="14108" spans="1:1" s="199" customFormat="1" ht="12" hidden="1" customHeight="1">
      <c r="A14108" s="198"/>
    </row>
    <row r="14109" spans="1:1" s="199" customFormat="1" ht="12" hidden="1" customHeight="1">
      <c r="A14109" s="198"/>
    </row>
    <row r="14110" spans="1:1" s="199" customFormat="1" ht="12" hidden="1" customHeight="1">
      <c r="A14110" s="198"/>
    </row>
    <row r="14111" spans="1:1" s="199" customFormat="1" ht="12" hidden="1" customHeight="1">
      <c r="A14111" s="198"/>
    </row>
    <row r="14112" spans="1:1" s="199" customFormat="1" ht="12" hidden="1" customHeight="1">
      <c r="A14112" s="198"/>
    </row>
    <row r="14113" spans="1:1" s="199" customFormat="1" ht="12" hidden="1" customHeight="1">
      <c r="A14113" s="198"/>
    </row>
    <row r="14114" spans="1:1" s="199" customFormat="1" ht="12" hidden="1" customHeight="1">
      <c r="A14114" s="198"/>
    </row>
    <row r="14115" spans="1:1" s="199" customFormat="1" ht="12" hidden="1" customHeight="1">
      <c r="A14115" s="198"/>
    </row>
    <row r="14116" spans="1:1" s="199" customFormat="1" ht="12" hidden="1" customHeight="1">
      <c r="A14116" s="198"/>
    </row>
    <row r="14117" spans="1:1" s="199" customFormat="1" ht="12" hidden="1" customHeight="1">
      <c r="A14117" s="198"/>
    </row>
    <row r="14118" spans="1:1" s="199" customFormat="1" ht="12" hidden="1" customHeight="1">
      <c r="A14118" s="198"/>
    </row>
    <row r="14119" spans="1:1" s="199" customFormat="1" ht="12" hidden="1" customHeight="1">
      <c r="A14119" s="198"/>
    </row>
    <row r="14120" spans="1:1" s="199" customFormat="1" ht="12" hidden="1" customHeight="1">
      <c r="A14120" s="198"/>
    </row>
    <row r="14121" spans="1:1" s="199" customFormat="1" ht="12" hidden="1" customHeight="1">
      <c r="A14121" s="198"/>
    </row>
    <row r="14122" spans="1:1" s="199" customFormat="1" ht="12" hidden="1" customHeight="1">
      <c r="A14122" s="198"/>
    </row>
    <row r="14123" spans="1:1" s="199" customFormat="1" ht="12" hidden="1" customHeight="1">
      <c r="A14123" s="198"/>
    </row>
    <row r="14124" spans="1:1" s="199" customFormat="1" ht="12" hidden="1" customHeight="1">
      <c r="A14124" s="198"/>
    </row>
    <row r="14125" spans="1:1" s="199" customFormat="1" ht="12" hidden="1" customHeight="1">
      <c r="A14125" s="198"/>
    </row>
    <row r="14126" spans="1:1" s="199" customFormat="1" ht="12" hidden="1" customHeight="1">
      <c r="A14126" s="198"/>
    </row>
    <row r="14127" spans="1:1" s="199" customFormat="1" ht="12" hidden="1" customHeight="1">
      <c r="A14127" s="198"/>
    </row>
    <row r="14128" spans="1:1" s="199" customFormat="1" ht="12" hidden="1" customHeight="1">
      <c r="A14128" s="198"/>
    </row>
    <row r="14129" spans="1:1" s="199" customFormat="1" ht="12" hidden="1" customHeight="1">
      <c r="A14129" s="198"/>
    </row>
    <row r="14130" spans="1:1" s="199" customFormat="1" ht="12" hidden="1" customHeight="1">
      <c r="A14130" s="198"/>
    </row>
    <row r="14131" spans="1:1" s="199" customFormat="1" ht="12" hidden="1" customHeight="1">
      <c r="A14131" s="198"/>
    </row>
    <row r="14132" spans="1:1" s="199" customFormat="1" ht="12" hidden="1" customHeight="1">
      <c r="A14132" s="198"/>
    </row>
    <row r="14133" spans="1:1" s="199" customFormat="1" ht="12" hidden="1" customHeight="1">
      <c r="A14133" s="198"/>
    </row>
    <row r="14134" spans="1:1" s="199" customFormat="1" ht="12" hidden="1" customHeight="1">
      <c r="A14134" s="198"/>
    </row>
    <row r="14135" spans="1:1" s="199" customFormat="1" ht="12" hidden="1" customHeight="1">
      <c r="A14135" s="198"/>
    </row>
    <row r="14136" spans="1:1" s="199" customFormat="1" ht="12" hidden="1" customHeight="1">
      <c r="A14136" s="198"/>
    </row>
    <row r="14137" spans="1:1" s="199" customFormat="1" ht="12" hidden="1" customHeight="1">
      <c r="A14137" s="198"/>
    </row>
    <row r="14138" spans="1:1" s="199" customFormat="1" ht="12" hidden="1" customHeight="1">
      <c r="A14138" s="198"/>
    </row>
    <row r="14139" spans="1:1" s="199" customFormat="1" ht="12" hidden="1" customHeight="1">
      <c r="A14139" s="198"/>
    </row>
    <row r="14140" spans="1:1" s="199" customFormat="1" ht="12" hidden="1" customHeight="1">
      <c r="A14140" s="198"/>
    </row>
    <row r="14141" spans="1:1" s="199" customFormat="1" ht="12" hidden="1" customHeight="1">
      <c r="A14141" s="198"/>
    </row>
    <row r="14142" spans="1:1" s="199" customFormat="1" ht="12" hidden="1" customHeight="1">
      <c r="A14142" s="198"/>
    </row>
    <row r="14143" spans="1:1" s="199" customFormat="1" ht="12" hidden="1" customHeight="1">
      <c r="A14143" s="198"/>
    </row>
    <row r="14144" spans="1:1" s="199" customFormat="1" ht="12" hidden="1" customHeight="1">
      <c r="A14144" s="198"/>
    </row>
    <row r="14145" spans="1:1" s="199" customFormat="1" ht="12" hidden="1" customHeight="1">
      <c r="A14145" s="198"/>
    </row>
    <row r="14146" spans="1:1" s="199" customFormat="1" ht="12" hidden="1" customHeight="1">
      <c r="A14146" s="198"/>
    </row>
    <row r="14147" spans="1:1" s="199" customFormat="1" ht="12" hidden="1" customHeight="1">
      <c r="A14147" s="198"/>
    </row>
    <row r="14148" spans="1:1" s="199" customFormat="1" ht="12" hidden="1" customHeight="1">
      <c r="A14148" s="198"/>
    </row>
    <row r="14149" spans="1:1" s="199" customFormat="1" ht="12" hidden="1" customHeight="1">
      <c r="A14149" s="198"/>
    </row>
    <row r="14150" spans="1:1" s="199" customFormat="1" ht="12" hidden="1" customHeight="1">
      <c r="A14150" s="198"/>
    </row>
    <row r="14151" spans="1:1" s="199" customFormat="1" ht="12" hidden="1" customHeight="1">
      <c r="A14151" s="198"/>
    </row>
    <row r="14152" spans="1:1" s="199" customFormat="1" ht="12" hidden="1" customHeight="1">
      <c r="A14152" s="198"/>
    </row>
    <row r="14153" spans="1:1" s="199" customFormat="1" ht="12" hidden="1" customHeight="1">
      <c r="A14153" s="198"/>
    </row>
    <row r="14154" spans="1:1" s="199" customFormat="1" ht="12" hidden="1" customHeight="1">
      <c r="A14154" s="198"/>
    </row>
    <row r="14155" spans="1:1" s="199" customFormat="1" ht="12" hidden="1" customHeight="1">
      <c r="A14155" s="198"/>
    </row>
    <row r="14156" spans="1:1" s="199" customFormat="1" ht="12" hidden="1" customHeight="1">
      <c r="A14156" s="198"/>
    </row>
    <row r="14157" spans="1:1" s="199" customFormat="1" ht="12" hidden="1" customHeight="1">
      <c r="A14157" s="198"/>
    </row>
    <row r="14158" spans="1:1" s="199" customFormat="1" ht="12" hidden="1" customHeight="1">
      <c r="A14158" s="198"/>
    </row>
    <row r="14159" spans="1:1" s="199" customFormat="1" ht="12" hidden="1" customHeight="1">
      <c r="A14159" s="198"/>
    </row>
    <row r="14160" spans="1:1" s="199" customFormat="1" ht="12" hidden="1" customHeight="1">
      <c r="A14160" s="198"/>
    </row>
    <row r="14161" spans="1:1" s="199" customFormat="1" ht="12" hidden="1" customHeight="1">
      <c r="A14161" s="198"/>
    </row>
    <row r="14162" spans="1:1" s="199" customFormat="1" ht="12" hidden="1" customHeight="1">
      <c r="A14162" s="198"/>
    </row>
    <row r="14163" spans="1:1" s="199" customFormat="1" ht="12" hidden="1" customHeight="1">
      <c r="A14163" s="198"/>
    </row>
    <row r="14164" spans="1:1" s="199" customFormat="1" ht="12" hidden="1" customHeight="1">
      <c r="A14164" s="198"/>
    </row>
    <row r="14165" spans="1:1" s="199" customFormat="1" ht="12" hidden="1" customHeight="1">
      <c r="A14165" s="198"/>
    </row>
    <row r="14166" spans="1:1" s="199" customFormat="1" ht="12" hidden="1" customHeight="1">
      <c r="A14166" s="198"/>
    </row>
    <row r="14167" spans="1:1" s="199" customFormat="1" ht="12" hidden="1" customHeight="1">
      <c r="A14167" s="198"/>
    </row>
    <row r="14168" spans="1:1" s="199" customFormat="1" ht="12" hidden="1" customHeight="1">
      <c r="A14168" s="198"/>
    </row>
    <row r="14169" spans="1:1" s="199" customFormat="1" ht="12" hidden="1" customHeight="1">
      <c r="A14169" s="198"/>
    </row>
    <row r="14170" spans="1:1" s="199" customFormat="1" ht="12" hidden="1" customHeight="1">
      <c r="A14170" s="198"/>
    </row>
    <row r="14171" spans="1:1" s="199" customFormat="1" ht="12" hidden="1" customHeight="1">
      <c r="A14171" s="198"/>
    </row>
    <row r="14172" spans="1:1" s="199" customFormat="1" ht="12" hidden="1" customHeight="1">
      <c r="A14172" s="198"/>
    </row>
    <row r="14173" spans="1:1" s="199" customFormat="1" ht="12" hidden="1" customHeight="1">
      <c r="A14173" s="198"/>
    </row>
    <row r="14174" spans="1:1" s="199" customFormat="1" ht="12" hidden="1" customHeight="1">
      <c r="A14174" s="198"/>
    </row>
    <row r="14175" spans="1:1" s="199" customFormat="1" ht="12" hidden="1" customHeight="1">
      <c r="A14175" s="198"/>
    </row>
    <row r="14176" spans="1:1" s="199" customFormat="1" ht="12" hidden="1" customHeight="1">
      <c r="A14176" s="198"/>
    </row>
    <row r="14177" spans="1:1" s="199" customFormat="1" ht="12" hidden="1" customHeight="1">
      <c r="A14177" s="198"/>
    </row>
    <row r="14178" spans="1:1" s="199" customFormat="1" ht="12" hidden="1" customHeight="1">
      <c r="A14178" s="198"/>
    </row>
    <row r="14179" spans="1:1" s="199" customFormat="1" ht="12" hidden="1" customHeight="1">
      <c r="A14179" s="198"/>
    </row>
    <row r="14180" spans="1:1" s="199" customFormat="1" ht="12" hidden="1" customHeight="1">
      <c r="A14180" s="198"/>
    </row>
    <row r="14181" spans="1:1" s="199" customFormat="1" ht="12" hidden="1" customHeight="1">
      <c r="A14181" s="198"/>
    </row>
    <row r="14182" spans="1:1" s="199" customFormat="1" ht="12" hidden="1" customHeight="1">
      <c r="A14182" s="198"/>
    </row>
    <row r="14183" spans="1:1" s="199" customFormat="1" ht="12" hidden="1" customHeight="1">
      <c r="A14183" s="198"/>
    </row>
    <row r="14184" spans="1:1" s="199" customFormat="1" ht="12" hidden="1" customHeight="1">
      <c r="A14184" s="198"/>
    </row>
    <row r="14185" spans="1:1" s="199" customFormat="1" ht="12" hidden="1" customHeight="1">
      <c r="A14185" s="198"/>
    </row>
    <row r="14186" spans="1:1" s="199" customFormat="1" ht="12" hidden="1" customHeight="1">
      <c r="A14186" s="198"/>
    </row>
    <row r="14187" spans="1:1" s="199" customFormat="1" ht="12" hidden="1" customHeight="1">
      <c r="A14187" s="198"/>
    </row>
    <row r="14188" spans="1:1" s="199" customFormat="1" ht="12" hidden="1" customHeight="1">
      <c r="A14188" s="198"/>
    </row>
    <row r="14189" spans="1:1" s="199" customFormat="1" ht="12" hidden="1" customHeight="1">
      <c r="A14189" s="198"/>
    </row>
    <row r="14190" spans="1:1" s="199" customFormat="1" ht="12" hidden="1" customHeight="1">
      <c r="A14190" s="198"/>
    </row>
    <row r="14191" spans="1:1" s="199" customFormat="1" ht="12" hidden="1" customHeight="1">
      <c r="A14191" s="198"/>
    </row>
    <row r="14192" spans="1:1" s="199" customFormat="1" ht="12" hidden="1" customHeight="1">
      <c r="A14192" s="198"/>
    </row>
    <row r="14193" spans="1:1" s="199" customFormat="1" ht="12" hidden="1" customHeight="1">
      <c r="A14193" s="198"/>
    </row>
    <row r="14194" spans="1:1" s="199" customFormat="1" ht="12" hidden="1" customHeight="1">
      <c r="A14194" s="198"/>
    </row>
    <row r="14195" spans="1:1" s="199" customFormat="1" ht="12" hidden="1" customHeight="1">
      <c r="A14195" s="198"/>
    </row>
    <row r="14196" spans="1:1" s="199" customFormat="1" ht="12" hidden="1" customHeight="1">
      <c r="A14196" s="198"/>
    </row>
    <row r="14197" spans="1:1" s="199" customFormat="1" ht="12" hidden="1" customHeight="1">
      <c r="A14197" s="198"/>
    </row>
    <row r="14198" spans="1:1" s="199" customFormat="1" ht="12" hidden="1" customHeight="1">
      <c r="A14198" s="198"/>
    </row>
    <row r="14199" spans="1:1" s="199" customFormat="1" ht="12" hidden="1" customHeight="1">
      <c r="A14199" s="198"/>
    </row>
    <row r="14200" spans="1:1" s="199" customFormat="1" ht="12" hidden="1" customHeight="1">
      <c r="A14200" s="198"/>
    </row>
    <row r="14201" spans="1:1" s="199" customFormat="1" ht="12" hidden="1" customHeight="1">
      <c r="A14201" s="198"/>
    </row>
    <row r="14202" spans="1:1" s="199" customFormat="1" ht="12" hidden="1" customHeight="1">
      <c r="A14202" s="198"/>
    </row>
    <row r="14203" spans="1:1" s="199" customFormat="1" ht="12" hidden="1" customHeight="1">
      <c r="A14203" s="198"/>
    </row>
    <row r="14204" spans="1:1" s="199" customFormat="1" ht="12" hidden="1" customHeight="1">
      <c r="A14204" s="198"/>
    </row>
    <row r="14205" spans="1:1" s="199" customFormat="1" ht="12" hidden="1" customHeight="1">
      <c r="A14205" s="198"/>
    </row>
    <row r="14206" spans="1:1" s="199" customFormat="1" ht="12" hidden="1" customHeight="1">
      <c r="A14206" s="198"/>
    </row>
    <row r="14207" spans="1:1" s="199" customFormat="1" ht="12" hidden="1" customHeight="1">
      <c r="A14207" s="198"/>
    </row>
    <row r="14208" spans="1:1" s="199" customFormat="1" ht="12" hidden="1" customHeight="1">
      <c r="A14208" s="198"/>
    </row>
    <row r="14209" spans="1:1" s="199" customFormat="1" ht="12" hidden="1" customHeight="1">
      <c r="A14209" s="198"/>
    </row>
    <row r="14210" spans="1:1" s="199" customFormat="1" ht="12" hidden="1" customHeight="1">
      <c r="A14210" s="198"/>
    </row>
    <row r="14211" spans="1:1" s="199" customFormat="1" ht="12" hidden="1" customHeight="1">
      <c r="A14211" s="198"/>
    </row>
    <row r="14212" spans="1:1" s="199" customFormat="1" ht="12" hidden="1" customHeight="1">
      <c r="A14212" s="198"/>
    </row>
    <row r="14213" spans="1:1" s="199" customFormat="1" ht="12" hidden="1" customHeight="1">
      <c r="A14213" s="198"/>
    </row>
    <row r="14214" spans="1:1" s="199" customFormat="1" ht="12" hidden="1" customHeight="1">
      <c r="A14214" s="198"/>
    </row>
    <row r="14215" spans="1:1" s="199" customFormat="1" ht="12" hidden="1" customHeight="1">
      <c r="A14215" s="198"/>
    </row>
    <row r="14216" spans="1:1" s="199" customFormat="1" ht="12" hidden="1" customHeight="1">
      <c r="A14216" s="198"/>
    </row>
    <row r="14217" spans="1:1" s="199" customFormat="1" ht="12" hidden="1" customHeight="1">
      <c r="A14217" s="198"/>
    </row>
    <row r="14218" spans="1:1" s="199" customFormat="1" ht="12" hidden="1" customHeight="1">
      <c r="A14218" s="198"/>
    </row>
    <row r="14219" spans="1:1" s="199" customFormat="1" ht="12" hidden="1" customHeight="1">
      <c r="A14219" s="198"/>
    </row>
    <row r="14220" spans="1:1" s="199" customFormat="1" ht="12" hidden="1" customHeight="1">
      <c r="A14220" s="198"/>
    </row>
    <row r="14221" spans="1:1" s="199" customFormat="1" ht="12" hidden="1" customHeight="1">
      <c r="A14221" s="198"/>
    </row>
    <row r="14222" spans="1:1" s="199" customFormat="1" ht="12" hidden="1" customHeight="1">
      <c r="A14222" s="198"/>
    </row>
    <row r="14223" spans="1:1" s="199" customFormat="1" ht="12" hidden="1" customHeight="1">
      <c r="A14223" s="198"/>
    </row>
    <row r="14224" spans="1:1" s="199" customFormat="1" ht="12" hidden="1" customHeight="1">
      <c r="A14224" s="198"/>
    </row>
    <row r="14225" spans="1:1" s="199" customFormat="1" ht="12" hidden="1" customHeight="1">
      <c r="A14225" s="198"/>
    </row>
    <row r="14226" spans="1:1" s="199" customFormat="1" ht="12" hidden="1" customHeight="1">
      <c r="A14226" s="198"/>
    </row>
    <row r="14227" spans="1:1" s="199" customFormat="1" ht="12" hidden="1" customHeight="1">
      <c r="A14227" s="198"/>
    </row>
    <row r="14228" spans="1:1" s="199" customFormat="1" ht="12" hidden="1" customHeight="1">
      <c r="A14228" s="198"/>
    </row>
    <row r="14229" spans="1:1" s="199" customFormat="1" ht="12" hidden="1" customHeight="1">
      <c r="A14229" s="198"/>
    </row>
    <row r="14230" spans="1:1" s="199" customFormat="1" ht="12" hidden="1" customHeight="1">
      <c r="A14230" s="198"/>
    </row>
    <row r="14231" spans="1:1" s="199" customFormat="1" ht="12" hidden="1" customHeight="1">
      <c r="A14231" s="198"/>
    </row>
    <row r="14232" spans="1:1" s="199" customFormat="1" ht="12" hidden="1" customHeight="1">
      <c r="A14232" s="198"/>
    </row>
    <row r="14233" spans="1:1" s="199" customFormat="1" ht="12" hidden="1" customHeight="1">
      <c r="A14233" s="198"/>
    </row>
    <row r="14234" spans="1:1" s="199" customFormat="1" ht="12" hidden="1" customHeight="1">
      <c r="A14234" s="198"/>
    </row>
    <row r="14235" spans="1:1" s="199" customFormat="1" ht="12" hidden="1" customHeight="1">
      <c r="A14235" s="198"/>
    </row>
    <row r="14236" spans="1:1" s="199" customFormat="1" ht="12" hidden="1" customHeight="1">
      <c r="A14236" s="198"/>
    </row>
    <row r="14237" spans="1:1" s="199" customFormat="1" ht="12" hidden="1" customHeight="1">
      <c r="A14237" s="198"/>
    </row>
    <row r="14238" spans="1:1" s="199" customFormat="1" ht="12" hidden="1" customHeight="1">
      <c r="A14238" s="198"/>
    </row>
    <row r="14239" spans="1:1" s="199" customFormat="1" ht="12" hidden="1" customHeight="1">
      <c r="A14239" s="198"/>
    </row>
    <row r="14240" spans="1:1" s="199" customFormat="1" ht="12" hidden="1" customHeight="1">
      <c r="A14240" s="198"/>
    </row>
    <row r="14241" spans="1:1" s="199" customFormat="1" ht="12" hidden="1" customHeight="1">
      <c r="A14241" s="198"/>
    </row>
    <row r="14242" spans="1:1" s="199" customFormat="1" ht="12" hidden="1" customHeight="1">
      <c r="A14242" s="198"/>
    </row>
    <row r="14243" spans="1:1" s="199" customFormat="1" ht="12" hidden="1" customHeight="1">
      <c r="A14243" s="198"/>
    </row>
    <row r="14244" spans="1:1" s="199" customFormat="1" ht="12" hidden="1" customHeight="1">
      <c r="A14244" s="198"/>
    </row>
    <row r="14245" spans="1:1" s="199" customFormat="1" ht="12" hidden="1" customHeight="1">
      <c r="A14245" s="198"/>
    </row>
    <row r="14246" spans="1:1" s="199" customFormat="1" ht="12" hidden="1" customHeight="1">
      <c r="A14246" s="198"/>
    </row>
    <row r="14247" spans="1:1" s="199" customFormat="1" ht="12" hidden="1" customHeight="1">
      <c r="A14247" s="198"/>
    </row>
    <row r="14248" spans="1:1" s="199" customFormat="1" ht="12" hidden="1" customHeight="1">
      <c r="A14248" s="198"/>
    </row>
    <row r="14249" spans="1:1" s="199" customFormat="1" ht="12" hidden="1" customHeight="1">
      <c r="A14249" s="198"/>
    </row>
    <row r="14250" spans="1:1" s="199" customFormat="1" ht="12" hidden="1" customHeight="1">
      <c r="A14250" s="198"/>
    </row>
    <row r="14251" spans="1:1" s="199" customFormat="1" ht="12" hidden="1" customHeight="1">
      <c r="A14251" s="198"/>
    </row>
    <row r="14252" spans="1:1" s="199" customFormat="1" ht="12" hidden="1" customHeight="1">
      <c r="A14252" s="198"/>
    </row>
    <row r="14253" spans="1:1" s="199" customFormat="1" ht="12" hidden="1" customHeight="1">
      <c r="A14253" s="198"/>
    </row>
    <row r="14254" spans="1:1" s="199" customFormat="1" ht="12" hidden="1" customHeight="1">
      <c r="A14254" s="198"/>
    </row>
    <row r="14255" spans="1:1" s="199" customFormat="1" ht="12" hidden="1" customHeight="1">
      <c r="A14255" s="198"/>
    </row>
    <row r="14256" spans="1:1" s="199" customFormat="1" ht="12" hidden="1" customHeight="1">
      <c r="A14256" s="198"/>
    </row>
    <row r="14257" spans="1:1" s="199" customFormat="1" ht="12" hidden="1" customHeight="1">
      <c r="A14257" s="198"/>
    </row>
    <row r="14258" spans="1:1" s="199" customFormat="1" ht="12" hidden="1" customHeight="1">
      <c r="A14258" s="198"/>
    </row>
    <row r="14259" spans="1:1" s="199" customFormat="1" ht="12" hidden="1" customHeight="1">
      <c r="A14259" s="198"/>
    </row>
    <row r="14260" spans="1:1" s="199" customFormat="1" ht="12" hidden="1" customHeight="1">
      <c r="A14260" s="198"/>
    </row>
    <row r="14261" spans="1:1" s="199" customFormat="1" ht="12" hidden="1" customHeight="1">
      <c r="A14261" s="198"/>
    </row>
    <row r="14262" spans="1:1" s="199" customFormat="1" ht="12" hidden="1" customHeight="1">
      <c r="A14262" s="198"/>
    </row>
    <row r="14263" spans="1:1" s="199" customFormat="1" ht="12" hidden="1" customHeight="1">
      <c r="A14263" s="198"/>
    </row>
    <row r="14264" spans="1:1" s="199" customFormat="1" ht="12" hidden="1" customHeight="1">
      <c r="A14264" s="198"/>
    </row>
    <row r="14265" spans="1:1" s="199" customFormat="1" ht="12" hidden="1" customHeight="1">
      <c r="A14265" s="198"/>
    </row>
    <row r="14266" spans="1:1" s="199" customFormat="1" ht="12" hidden="1" customHeight="1">
      <c r="A14266" s="198"/>
    </row>
    <row r="14267" spans="1:1" s="199" customFormat="1" ht="12" hidden="1" customHeight="1">
      <c r="A14267" s="198"/>
    </row>
    <row r="14268" spans="1:1" s="199" customFormat="1" ht="12" hidden="1" customHeight="1">
      <c r="A14268" s="198"/>
    </row>
    <row r="14269" spans="1:1" s="199" customFormat="1" ht="12" hidden="1" customHeight="1">
      <c r="A14269" s="198"/>
    </row>
    <row r="14270" spans="1:1" s="199" customFormat="1" ht="12" hidden="1" customHeight="1">
      <c r="A14270" s="198"/>
    </row>
    <row r="14271" spans="1:1" s="199" customFormat="1" ht="12" hidden="1" customHeight="1">
      <c r="A14271" s="198"/>
    </row>
    <row r="14272" spans="1:1" s="199" customFormat="1" ht="12" hidden="1" customHeight="1">
      <c r="A14272" s="198"/>
    </row>
    <row r="14273" spans="1:1" s="199" customFormat="1" ht="12" hidden="1" customHeight="1">
      <c r="A14273" s="198"/>
    </row>
    <row r="14274" spans="1:1" s="199" customFormat="1" ht="12" hidden="1" customHeight="1">
      <c r="A14274" s="198"/>
    </row>
    <row r="14275" spans="1:1" s="199" customFormat="1" ht="12" hidden="1" customHeight="1">
      <c r="A14275" s="198"/>
    </row>
    <row r="14276" spans="1:1" s="199" customFormat="1" ht="12" hidden="1" customHeight="1">
      <c r="A14276" s="198"/>
    </row>
    <row r="14277" spans="1:1" s="199" customFormat="1" ht="12" hidden="1" customHeight="1">
      <c r="A14277" s="198"/>
    </row>
    <row r="14278" spans="1:1" s="199" customFormat="1" ht="12" hidden="1" customHeight="1">
      <c r="A14278" s="198"/>
    </row>
    <row r="14279" spans="1:1" s="199" customFormat="1" ht="12" hidden="1" customHeight="1">
      <c r="A14279" s="198"/>
    </row>
    <row r="14280" spans="1:1" s="199" customFormat="1" ht="12" hidden="1" customHeight="1">
      <c r="A14280" s="198"/>
    </row>
    <row r="14281" spans="1:1" s="199" customFormat="1" ht="12" hidden="1" customHeight="1">
      <c r="A14281" s="198"/>
    </row>
    <row r="14282" spans="1:1" s="199" customFormat="1" ht="12" hidden="1" customHeight="1">
      <c r="A14282" s="198"/>
    </row>
    <row r="14283" spans="1:1" s="199" customFormat="1" ht="12" hidden="1" customHeight="1">
      <c r="A14283" s="198"/>
    </row>
    <row r="14284" spans="1:1" s="199" customFormat="1" ht="12" hidden="1" customHeight="1">
      <c r="A14284" s="198"/>
    </row>
    <row r="14285" spans="1:1" s="199" customFormat="1" ht="12" hidden="1" customHeight="1">
      <c r="A14285" s="198"/>
    </row>
    <row r="14286" spans="1:1" s="199" customFormat="1" ht="12" hidden="1" customHeight="1">
      <c r="A14286" s="198"/>
    </row>
    <row r="14287" spans="1:1" s="199" customFormat="1" ht="12" hidden="1" customHeight="1">
      <c r="A14287" s="198"/>
    </row>
    <row r="14288" spans="1:1" s="199" customFormat="1" ht="12" hidden="1" customHeight="1">
      <c r="A14288" s="198"/>
    </row>
    <row r="14289" spans="1:1" s="199" customFormat="1" ht="12" hidden="1" customHeight="1">
      <c r="A14289" s="198"/>
    </row>
    <row r="14290" spans="1:1" s="199" customFormat="1" ht="12" hidden="1" customHeight="1">
      <c r="A14290" s="198"/>
    </row>
    <row r="14291" spans="1:1" s="199" customFormat="1" ht="12" hidden="1" customHeight="1">
      <c r="A14291" s="198"/>
    </row>
    <row r="14292" spans="1:1" s="199" customFormat="1" ht="12" hidden="1" customHeight="1">
      <c r="A14292" s="198"/>
    </row>
    <row r="14293" spans="1:1" s="199" customFormat="1" ht="12" hidden="1" customHeight="1">
      <c r="A14293" s="198"/>
    </row>
    <row r="14294" spans="1:1" s="199" customFormat="1" ht="12" hidden="1" customHeight="1">
      <c r="A14294" s="198"/>
    </row>
    <row r="14295" spans="1:1" s="199" customFormat="1" ht="12" hidden="1" customHeight="1">
      <c r="A14295" s="198"/>
    </row>
    <row r="14296" spans="1:1" s="199" customFormat="1" ht="12" hidden="1" customHeight="1">
      <c r="A14296" s="198"/>
    </row>
    <row r="14297" spans="1:1" s="199" customFormat="1" ht="12" hidden="1" customHeight="1">
      <c r="A14297" s="198"/>
    </row>
    <row r="14298" spans="1:1" s="199" customFormat="1" ht="12" hidden="1" customHeight="1">
      <c r="A14298" s="198"/>
    </row>
    <row r="14299" spans="1:1" s="199" customFormat="1" ht="12" hidden="1" customHeight="1">
      <c r="A14299" s="198"/>
    </row>
    <row r="14300" spans="1:1" s="199" customFormat="1" ht="12" hidden="1" customHeight="1">
      <c r="A14300" s="198"/>
    </row>
    <row r="14301" spans="1:1" s="199" customFormat="1" ht="12" hidden="1" customHeight="1">
      <c r="A14301" s="198"/>
    </row>
    <row r="14302" spans="1:1" s="199" customFormat="1" ht="12" hidden="1" customHeight="1">
      <c r="A14302" s="198"/>
    </row>
    <row r="14303" spans="1:1" s="199" customFormat="1" ht="12" hidden="1" customHeight="1">
      <c r="A14303" s="198"/>
    </row>
    <row r="14304" spans="1:1" s="199" customFormat="1" ht="12" hidden="1" customHeight="1">
      <c r="A14304" s="198"/>
    </row>
    <row r="14305" spans="1:1" s="199" customFormat="1" ht="12" hidden="1" customHeight="1">
      <c r="A14305" s="198"/>
    </row>
    <row r="14306" spans="1:1" s="199" customFormat="1" ht="12" hidden="1" customHeight="1">
      <c r="A14306" s="198"/>
    </row>
    <row r="14307" spans="1:1" s="199" customFormat="1" ht="12" hidden="1" customHeight="1">
      <c r="A14307" s="198"/>
    </row>
    <row r="14308" spans="1:1" s="199" customFormat="1" ht="12" hidden="1" customHeight="1">
      <c r="A14308" s="198"/>
    </row>
    <row r="14309" spans="1:1" s="199" customFormat="1" ht="12" hidden="1" customHeight="1">
      <c r="A14309" s="198"/>
    </row>
    <row r="14310" spans="1:1" s="199" customFormat="1" ht="12" hidden="1" customHeight="1">
      <c r="A14310" s="198"/>
    </row>
    <row r="14311" spans="1:1" s="199" customFormat="1" ht="12" hidden="1" customHeight="1">
      <c r="A14311" s="198"/>
    </row>
    <row r="14312" spans="1:1" s="199" customFormat="1" ht="12" hidden="1" customHeight="1">
      <c r="A14312" s="198"/>
    </row>
    <row r="14313" spans="1:1" s="199" customFormat="1" ht="12" hidden="1" customHeight="1">
      <c r="A14313" s="198"/>
    </row>
    <row r="14314" spans="1:1" s="199" customFormat="1" ht="12" hidden="1" customHeight="1">
      <c r="A14314" s="198"/>
    </row>
    <row r="14315" spans="1:1" s="199" customFormat="1" ht="12" hidden="1" customHeight="1">
      <c r="A14315" s="198"/>
    </row>
    <row r="14316" spans="1:1" s="199" customFormat="1" ht="12" hidden="1" customHeight="1">
      <c r="A14316" s="198"/>
    </row>
    <row r="14317" spans="1:1" s="199" customFormat="1" ht="12" hidden="1" customHeight="1">
      <c r="A14317" s="198"/>
    </row>
    <row r="14318" spans="1:1" s="199" customFormat="1" ht="12" hidden="1" customHeight="1">
      <c r="A14318" s="198"/>
    </row>
    <row r="14319" spans="1:1" s="199" customFormat="1" ht="12" hidden="1" customHeight="1">
      <c r="A14319" s="198"/>
    </row>
    <row r="14320" spans="1:1" s="199" customFormat="1" ht="12" hidden="1" customHeight="1">
      <c r="A14320" s="198"/>
    </row>
    <row r="14321" spans="1:1" s="199" customFormat="1" ht="12" hidden="1" customHeight="1">
      <c r="A14321" s="198"/>
    </row>
    <row r="14322" spans="1:1" s="199" customFormat="1" ht="12" hidden="1" customHeight="1">
      <c r="A14322" s="198"/>
    </row>
    <row r="14323" spans="1:1" s="199" customFormat="1" ht="12" hidden="1" customHeight="1">
      <c r="A14323" s="198"/>
    </row>
    <row r="14324" spans="1:1" s="199" customFormat="1" ht="12" hidden="1" customHeight="1">
      <c r="A14324" s="198"/>
    </row>
    <row r="14325" spans="1:1" s="199" customFormat="1" ht="12" hidden="1" customHeight="1">
      <c r="A14325" s="198"/>
    </row>
    <row r="14326" spans="1:1" s="199" customFormat="1" ht="12" hidden="1" customHeight="1">
      <c r="A14326" s="198"/>
    </row>
    <row r="14327" spans="1:1" s="199" customFormat="1" ht="12" hidden="1" customHeight="1">
      <c r="A14327" s="198"/>
    </row>
    <row r="14328" spans="1:1" s="199" customFormat="1" ht="12" hidden="1" customHeight="1">
      <c r="A14328" s="198"/>
    </row>
    <row r="14329" spans="1:1" s="199" customFormat="1" ht="12" hidden="1" customHeight="1">
      <c r="A14329" s="198"/>
    </row>
    <row r="14330" spans="1:1" s="199" customFormat="1" ht="12" hidden="1" customHeight="1">
      <c r="A14330" s="198"/>
    </row>
    <row r="14331" spans="1:1" s="199" customFormat="1" ht="12" hidden="1" customHeight="1">
      <c r="A14331" s="198"/>
    </row>
    <row r="14332" spans="1:1" s="199" customFormat="1" ht="12" hidden="1" customHeight="1">
      <c r="A14332" s="198"/>
    </row>
    <row r="14333" spans="1:1" s="199" customFormat="1" ht="12" hidden="1" customHeight="1">
      <c r="A14333" s="198"/>
    </row>
    <row r="14334" spans="1:1" s="199" customFormat="1" ht="12" hidden="1" customHeight="1">
      <c r="A14334" s="198"/>
    </row>
    <row r="14335" spans="1:1" s="199" customFormat="1" ht="12" hidden="1" customHeight="1">
      <c r="A14335" s="198"/>
    </row>
    <row r="14336" spans="1:1" s="199" customFormat="1" ht="12" hidden="1" customHeight="1">
      <c r="A14336" s="198"/>
    </row>
    <row r="14337" spans="1:1" s="199" customFormat="1" ht="12" hidden="1" customHeight="1">
      <c r="A14337" s="198"/>
    </row>
    <row r="14338" spans="1:1" s="199" customFormat="1" ht="12" hidden="1" customHeight="1">
      <c r="A14338" s="198"/>
    </row>
    <row r="14339" spans="1:1" s="199" customFormat="1" ht="12" hidden="1" customHeight="1">
      <c r="A14339" s="198"/>
    </row>
    <row r="14340" spans="1:1" s="199" customFormat="1" ht="12" hidden="1" customHeight="1">
      <c r="A14340" s="198"/>
    </row>
    <row r="14341" spans="1:1" s="199" customFormat="1" ht="12" hidden="1" customHeight="1">
      <c r="A14341" s="198"/>
    </row>
    <row r="14342" spans="1:1" s="199" customFormat="1" ht="12" hidden="1" customHeight="1">
      <c r="A14342" s="198"/>
    </row>
    <row r="14343" spans="1:1" s="199" customFormat="1" ht="12" hidden="1" customHeight="1">
      <c r="A14343" s="198"/>
    </row>
    <row r="14344" spans="1:1" s="199" customFormat="1" ht="12" hidden="1" customHeight="1">
      <c r="A14344" s="198"/>
    </row>
    <row r="14345" spans="1:1" s="199" customFormat="1" ht="12" hidden="1" customHeight="1">
      <c r="A14345" s="198"/>
    </row>
    <row r="14346" spans="1:1" s="199" customFormat="1" ht="12" hidden="1" customHeight="1">
      <c r="A14346" s="198"/>
    </row>
    <row r="14347" spans="1:1" s="199" customFormat="1" ht="12" hidden="1" customHeight="1">
      <c r="A14347" s="198"/>
    </row>
    <row r="14348" spans="1:1" s="199" customFormat="1" ht="12" hidden="1" customHeight="1">
      <c r="A14348" s="198"/>
    </row>
    <row r="14349" spans="1:1" s="199" customFormat="1" ht="12" hidden="1" customHeight="1">
      <c r="A14349" s="198"/>
    </row>
    <row r="14350" spans="1:1" s="199" customFormat="1" ht="12" hidden="1" customHeight="1">
      <c r="A14350" s="198"/>
    </row>
    <row r="14351" spans="1:1" s="199" customFormat="1" ht="12" hidden="1" customHeight="1">
      <c r="A14351" s="198"/>
    </row>
    <row r="14352" spans="1:1" s="199" customFormat="1" ht="12" hidden="1" customHeight="1">
      <c r="A14352" s="198"/>
    </row>
    <row r="14353" spans="1:1" s="199" customFormat="1" ht="12" hidden="1" customHeight="1">
      <c r="A14353" s="198"/>
    </row>
    <row r="14354" spans="1:1" s="199" customFormat="1" ht="12" hidden="1" customHeight="1">
      <c r="A14354" s="198"/>
    </row>
    <row r="14355" spans="1:1" s="199" customFormat="1" ht="12" hidden="1" customHeight="1">
      <c r="A14355" s="198"/>
    </row>
    <row r="14356" spans="1:1" s="199" customFormat="1" ht="12" hidden="1" customHeight="1">
      <c r="A14356" s="198"/>
    </row>
    <row r="14357" spans="1:1" s="199" customFormat="1" ht="12" hidden="1" customHeight="1">
      <c r="A14357" s="198"/>
    </row>
    <row r="14358" spans="1:1" s="199" customFormat="1" ht="12" hidden="1" customHeight="1">
      <c r="A14358" s="198"/>
    </row>
    <row r="14359" spans="1:1" s="199" customFormat="1" ht="12" hidden="1" customHeight="1">
      <c r="A14359" s="198"/>
    </row>
    <row r="14360" spans="1:1" s="199" customFormat="1" ht="12" hidden="1" customHeight="1">
      <c r="A14360" s="198"/>
    </row>
    <row r="14361" spans="1:1" s="199" customFormat="1" ht="12" hidden="1" customHeight="1">
      <c r="A14361" s="198"/>
    </row>
    <row r="14362" spans="1:1" s="199" customFormat="1" ht="12" hidden="1" customHeight="1">
      <c r="A14362" s="198"/>
    </row>
    <row r="14363" spans="1:1" s="199" customFormat="1" ht="12" hidden="1" customHeight="1">
      <c r="A14363" s="198"/>
    </row>
    <row r="14364" spans="1:1" s="199" customFormat="1" ht="12" hidden="1" customHeight="1">
      <c r="A14364" s="198"/>
    </row>
    <row r="14365" spans="1:1" s="199" customFormat="1" ht="12" hidden="1" customHeight="1">
      <c r="A14365" s="198"/>
    </row>
    <row r="14366" spans="1:1" s="199" customFormat="1" ht="12" hidden="1" customHeight="1">
      <c r="A14366" s="198"/>
    </row>
    <row r="14367" spans="1:1" s="199" customFormat="1" ht="12" hidden="1" customHeight="1">
      <c r="A14367" s="198"/>
    </row>
    <row r="14368" spans="1:1" s="199" customFormat="1" ht="12" hidden="1" customHeight="1">
      <c r="A14368" s="198"/>
    </row>
    <row r="14369" spans="1:1" s="199" customFormat="1" ht="12" hidden="1" customHeight="1">
      <c r="A14369" s="198"/>
    </row>
    <row r="14370" spans="1:1" s="199" customFormat="1" ht="12" hidden="1" customHeight="1">
      <c r="A14370" s="198"/>
    </row>
    <row r="14371" spans="1:1" s="199" customFormat="1" ht="12" hidden="1" customHeight="1">
      <c r="A14371" s="198"/>
    </row>
    <row r="14372" spans="1:1" s="199" customFormat="1" ht="12" hidden="1" customHeight="1">
      <c r="A14372" s="198"/>
    </row>
    <row r="14373" spans="1:1" s="199" customFormat="1" ht="12" hidden="1" customHeight="1">
      <c r="A14373" s="198"/>
    </row>
    <row r="14374" spans="1:1" s="199" customFormat="1" ht="12" hidden="1" customHeight="1">
      <c r="A14374" s="198"/>
    </row>
    <row r="14375" spans="1:1" s="199" customFormat="1" ht="12" hidden="1" customHeight="1">
      <c r="A14375" s="198"/>
    </row>
    <row r="14376" spans="1:1" s="199" customFormat="1" ht="12" hidden="1" customHeight="1">
      <c r="A14376" s="198"/>
    </row>
    <row r="14377" spans="1:1" s="199" customFormat="1" ht="12" hidden="1" customHeight="1">
      <c r="A14377" s="198"/>
    </row>
    <row r="14378" spans="1:1" s="199" customFormat="1" ht="12" hidden="1" customHeight="1">
      <c r="A14378" s="198"/>
    </row>
    <row r="14379" spans="1:1" s="199" customFormat="1" ht="12" hidden="1" customHeight="1">
      <c r="A14379" s="198"/>
    </row>
    <row r="14380" spans="1:1" s="199" customFormat="1" ht="12" hidden="1" customHeight="1">
      <c r="A14380" s="198"/>
    </row>
    <row r="14381" spans="1:1" s="199" customFormat="1" ht="12" hidden="1" customHeight="1">
      <c r="A14381" s="198"/>
    </row>
    <row r="14382" spans="1:1" s="199" customFormat="1" ht="12" hidden="1" customHeight="1">
      <c r="A14382" s="198"/>
    </row>
    <row r="14383" spans="1:1" s="199" customFormat="1" ht="12" hidden="1" customHeight="1">
      <c r="A14383" s="198"/>
    </row>
    <row r="14384" spans="1:1" s="199" customFormat="1" ht="12" hidden="1" customHeight="1">
      <c r="A14384" s="198"/>
    </row>
    <row r="14385" spans="1:1" s="199" customFormat="1" ht="12" hidden="1" customHeight="1">
      <c r="A14385" s="198"/>
    </row>
    <row r="14386" spans="1:1" s="199" customFormat="1" ht="12" hidden="1" customHeight="1">
      <c r="A14386" s="198"/>
    </row>
    <row r="14387" spans="1:1" s="199" customFormat="1" ht="12" hidden="1" customHeight="1">
      <c r="A14387" s="198"/>
    </row>
    <row r="14388" spans="1:1" s="199" customFormat="1" ht="12" hidden="1" customHeight="1">
      <c r="A14388" s="198"/>
    </row>
    <row r="14389" spans="1:1" s="199" customFormat="1" ht="12" hidden="1" customHeight="1">
      <c r="A14389" s="198"/>
    </row>
    <row r="14390" spans="1:1" s="199" customFormat="1" ht="12" hidden="1" customHeight="1">
      <c r="A14390" s="198"/>
    </row>
    <row r="14391" spans="1:1" s="199" customFormat="1" ht="12" hidden="1" customHeight="1">
      <c r="A14391" s="198"/>
    </row>
    <row r="14392" spans="1:1" s="199" customFormat="1" ht="12" hidden="1" customHeight="1">
      <c r="A14392" s="198"/>
    </row>
    <row r="14393" spans="1:1" s="199" customFormat="1" ht="12" hidden="1" customHeight="1">
      <c r="A14393" s="198"/>
    </row>
    <row r="14394" spans="1:1" s="199" customFormat="1" ht="12" hidden="1" customHeight="1">
      <c r="A14394" s="198"/>
    </row>
    <row r="14395" spans="1:1" s="199" customFormat="1" ht="12" hidden="1" customHeight="1">
      <c r="A14395" s="198"/>
    </row>
    <row r="14396" spans="1:1" s="199" customFormat="1" ht="12" hidden="1" customHeight="1">
      <c r="A14396" s="198"/>
    </row>
    <row r="14397" spans="1:1" s="199" customFormat="1" ht="12" hidden="1" customHeight="1">
      <c r="A14397" s="198"/>
    </row>
    <row r="14398" spans="1:1" s="199" customFormat="1" ht="12" hidden="1" customHeight="1">
      <c r="A14398" s="198"/>
    </row>
    <row r="14399" spans="1:1" s="199" customFormat="1" ht="12" hidden="1" customHeight="1">
      <c r="A14399" s="198"/>
    </row>
    <row r="14400" spans="1:1" s="199" customFormat="1" ht="12" hidden="1" customHeight="1">
      <c r="A14400" s="198"/>
    </row>
    <row r="14401" spans="1:1" s="199" customFormat="1" ht="12" hidden="1" customHeight="1">
      <c r="A14401" s="198"/>
    </row>
    <row r="14402" spans="1:1" s="199" customFormat="1" ht="12" hidden="1" customHeight="1">
      <c r="A14402" s="198"/>
    </row>
    <row r="14403" spans="1:1" s="199" customFormat="1" ht="12" hidden="1" customHeight="1">
      <c r="A14403" s="198"/>
    </row>
    <row r="14404" spans="1:1" s="199" customFormat="1" ht="12" hidden="1" customHeight="1">
      <c r="A14404" s="198"/>
    </row>
    <row r="14405" spans="1:1" s="199" customFormat="1" ht="12" hidden="1" customHeight="1">
      <c r="A14405" s="198"/>
    </row>
    <row r="14406" spans="1:1" s="199" customFormat="1" ht="12" hidden="1" customHeight="1">
      <c r="A14406" s="198"/>
    </row>
    <row r="14407" spans="1:1" s="199" customFormat="1" ht="12" hidden="1" customHeight="1">
      <c r="A14407" s="198"/>
    </row>
    <row r="14408" spans="1:1" s="199" customFormat="1" ht="12" hidden="1" customHeight="1">
      <c r="A14408" s="198"/>
    </row>
    <row r="14409" spans="1:1" s="199" customFormat="1" ht="12" hidden="1" customHeight="1">
      <c r="A14409" s="198"/>
    </row>
    <row r="14410" spans="1:1" s="199" customFormat="1" ht="12" hidden="1" customHeight="1">
      <c r="A14410" s="198"/>
    </row>
    <row r="14411" spans="1:1" s="199" customFormat="1" ht="12" hidden="1" customHeight="1">
      <c r="A14411" s="198"/>
    </row>
    <row r="14412" spans="1:1" s="199" customFormat="1" ht="12" hidden="1" customHeight="1">
      <c r="A14412" s="198"/>
    </row>
    <row r="14413" spans="1:1" s="199" customFormat="1" ht="12" hidden="1" customHeight="1">
      <c r="A14413" s="198"/>
    </row>
    <row r="14414" spans="1:1" s="199" customFormat="1" ht="12" hidden="1" customHeight="1">
      <c r="A14414" s="198"/>
    </row>
    <row r="14415" spans="1:1" s="199" customFormat="1" ht="12" hidden="1" customHeight="1">
      <c r="A14415" s="198"/>
    </row>
    <row r="14416" spans="1:1" s="199" customFormat="1" ht="12" hidden="1" customHeight="1">
      <c r="A14416" s="198"/>
    </row>
    <row r="14417" spans="1:1" s="199" customFormat="1" ht="12" hidden="1" customHeight="1">
      <c r="A14417" s="198"/>
    </row>
    <row r="14418" spans="1:1" s="199" customFormat="1" ht="12" hidden="1" customHeight="1">
      <c r="A14418" s="198"/>
    </row>
    <row r="14419" spans="1:1" s="199" customFormat="1" ht="12" hidden="1" customHeight="1">
      <c r="A14419" s="198"/>
    </row>
    <row r="14420" spans="1:1" s="199" customFormat="1" ht="12" hidden="1" customHeight="1">
      <c r="A14420" s="198"/>
    </row>
    <row r="14421" spans="1:1" s="199" customFormat="1" ht="12" hidden="1" customHeight="1">
      <c r="A14421" s="198"/>
    </row>
    <row r="14422" spans="1:1" s="199" customFormat="1" ht="12" hidden="1" customHeight="1">
      <c r="A14422" s="198"/>
    </row>
    <row r="14423" spans="1:1" s="199" customFormat="1" ht="12" hidden="1" customHeight="1">
      <c r="A14423" s="198"/>
    </row>
    <row r="14424" spans="1:1" s="199" customFormat="1" ht="12" hidden="1" customHeight="1">
      <c r="A14424" s="198"/>
    </row>
    <row r="14425" spans="1:1" s="199" customFormat="1" ht="12" hidden="1" customHeight="1">
      <c r="A14425" s="198"/>
    </row>
    <row r="14426" spans="1:1" s="199" customFormat="1" ht="12" hidden="1" customHeight="1">
      <c r="A14426" s="198"/>
    </row>
    <row r="14427" spans="1:1" s="199" customFormat="1" ht="12" hidden="1" customHeight="1">
      <c r="A14427" s="198"/>
    </row>
    <row r="14428" spans="1:1" s="199" customFormat="1" ht="12" hidden="1" customHeight="1">
      <c r="A14428" s="198"/>
    </row>
    <row r="14429" spans="1:1" s="199" customFormat="1" ht="12" hidden="1" customHeight="1">
      <c r="A14429" s="198"/>
    </row>
    <row r="14430" spans="1:1" s="199" customFormat="1" ht="12" hidden="1" customHeight="1">
      <c r="A14430" s="198"/>
    </row>
    <row r="14431" spans="1:1" s="199" customFormat="1" ht="12" hidden="1" customHeight="1">
      <c r="A14431" s="198"/>
    </row>
    <row r="14432" spans="1:1" s="199" customFormat="1" ht="12" hidden="1" customHeight="1">
      <c r="A14432" s="198"/>
    </row>
    <row r="14433" spans="1:1" s="199" customFormat="1" ht="12" hidden="1" customHeight="1">
      <c r="A14433" s="198"/>
    </row>
    <row r="14434" spans="1:1" s="199" customFormat="1" ht="12" hidden="1" customHeight="1">
      <c r="A14434" s="198"/>
    </row>
    <row r="14435" spans="1:1" s="199" customFormat="1" ht="12" hidden="1" customHeight="1">
      <c r="A14435" s="198"/>
    </row>
    <row r="14436" spans="1:1" s="199" customFormat="1" ht="12" hidden="1" customHeight="1">
      <c r="A14436" s="198"/>
    </row>
    <row r="14437" spans="1:1" s="199" customFormat="1" ht="12" hidden="1" customHeight="1">
      <c r="A14437" s="198"/>
    </row>
    <row r="14438" spans="1:1" s="199" customFormat="1" ht="12" hidden="1" customHeight="1">
      <c r="A14438" s="198"/>
    </row>
    <row r="14439" spans="1:1" s="199" customFormat="1" ht="12" hidden="1" customHeight="1">
      <c r="A14439" s="198"/>
    </row>
    <row r="14440" spans="1:1" s="199" customFormat="1" ht="12" hidden="1" customHeight="1">
      <c r="A14440" s="198"/>
    </row>
    <row r="14441" spans="1:1" s="199" customFormat="1" ht="12" hidden="1" customHeight="1">
      <c r="A14441" s="198"/>
    </row>
    <row r="14442" spans="1:1" s="199" customFormat="1" ht="12" hidden="1" customHeight="1">
      <c r="A14442" s="198"/>
    </row>
    <row r="14443" spans="1:1" s="199" customFormat="1" ht="12" hidden="1" customHeight="1">
      <c r="A14443" s="198"/>
    </row>
    <row r="14444" spans="1:1" s="199" customFormat="1" ht="12" hidden="1" customHeight="1">
      <c r="A14444" s="198"/>
    </row>
    <row r="14445" spans="1:1" s="199" customFormat="1" ht="12" hidden="1" customHeight="1">
      <c r="A14445" s="198"/>
    </row>
    <row r="14446" spans="1:1" s="199" customFormat="1" ht="12" hidden="1" customHeight="1">
      <c r="A14446" s="198"/>
    </row>
    <row r="14447" spans="1:1" s="199" customFormat="1" ht="12" hidden="1" customHeight="1">
      <c r="A14447" s="198"/>
    </row>
    <row r="14448" spans="1:1" s="199" customFormat="1" ht="12" hidden="1" customHeight="1">
      <c r="A14448" s="198"/>
    </row>
    <row r="14449" spans="1:1" s="199" customFormat="1" ht="12" hidden="1" customHeight="1">
      <c r="A14449" s="198"/>
    </row>
    <row r="14450" spans="1:1" s="199" customFormat="1" ht="12" hidden="1" customHeight="1">
      <c r="A14450" s="198"/>
    </row>
    <row r="14451" spans="1:1" s="199" customFormat="1" ht="12" hidden="1" customHeight="1">
      <c r="A14451" s="198"/>
    </row>
    <row r="14452" spans="1:1" s="199" customFormat="1" ht="12" hidden="1" customHeight="1">
      <c r="A14452" s="198"/>
    </row>
    <row r="14453" spans="1:1" s="199" customFormat="1" ht="12" hidden="1" customHeight="1">
      <c r="A14453" s="198"/>
    </row>
    <row r="14454" spans="1:1" s="199" customFormat="1" ht="12" hidden="1" customHeight="1">
      <c r="A14454" s="198"/>
    </row>
    <row r="14455" spans="1:1" s="199" customFormat="1" ht="12" hidden="1" customHeight="1">
      <c r="A14455" s="198"/>
    </row>
    <row r="14456" spans="1:1" s="199" customFormat="1" ht="12" hidden="1" customHeight="1">
      <c r="A14456" s="198"/>
    </row>
    <row r="14457" spans="1:1" s="199" customFormat="1" ht="12" hidden="1" customHeight="1">
      <c r="A14457" s="198"/>
    </row>
    <row r="14458" spans="1:1" s="199" customFormat="1" ht="12" hidden="1" customHeight="1">
      <c r="A14458" s="198"/>
    </row>
    <row r="14459" spans="1:1" s="199" customFormat="1" ht="12" hidden="1" customHeight="1">
      <c r="A14459" s="198"/>
    </row>
    <row r="14460" spans="1:1" s="199" customFormat="1" ht="12" hidden="1" customHeight="1">
      <c r="A14460" s="198"/>
    </row>
    <row r="14461" spans="1:1" s="199" customFormat="1" ht="12" hidden="1" customHeight="1">
      <c r="A14461" s="198"/>
    </row>
    <row r="14462" spans="1:1" s="199" customFormat="1" ht="12" hidden="1" customHeight="1">
      <c r="A14462" s="198"/>
    </row>
    <row r="14463" spans="1:1" s="199" customFormat="1" ht="12" hidden="1" customHeight="1">
      <c r="A14463" s="198"/>
    </row>
    <row r="14464" spans="1:1" s="199" customFormat="1" ht="12" hidden="1" customHeight="1">
      <c r="A14464" s="198"/>
    </row>
    <row r="14465" spans="1:1" s="199" customFormat="1" ht="12" hidden="1" customHeight="1">
      <c r="A14465" s="198"/>
    </row>
    <row r="14466" spans="1:1" s="199" customFormat="1" ht="12" hidden="1" customHeight="1">
      <c r="A14466" s="198"/>
    </row>
    <row r="14467" spans="1:1" s="199" customFormat="1" ht="12" hidden="1" customHeight="1">
      <c r="A14467" s="198"/>
    </row>
    <row r="14468" spans="1:1" s="199" customFormat="1" ht="12" hidden="1" customHeight="1">
      <c r="A14468" s="198"/>
    </row>
    <row r="14469" spans="1:1" s="199" customFormat="1" ht="12" hidden="1" customHeight="1">
      <c r="A14469" s="198"/>
    </row>
    <row r="14470" spans="1:1" s="199" customFormat="1" ht="12" hidden="1" customHeight="1">
      <c r="A14470" s="198"/>
    </row>
    <row r="14471" spans="1:1" s="199" customFormat="1" ht="12" hidden="1" customHeight="1">
      <c r="A14471" s="198"/>
    </row>
    <row r="14472" spans="1:1" s="199" customFormat="1" ht="12" hidden="1" customHeight="1">
      <c r="A14472" s="198"/>
    </row>
    <row r="14473" spans="1:1" s="199" customFormat="1" ht="12" hidden="1" customHeight="1">
      <c r="A14473" s="198"/>
    </row>
    <row r="14474" spans="1:1" s="199" customFormat="1" ht="12" hidden="1" customHeight="1">
      <c r="A14474" s="198"/>
    </row>
    <row r="14475" spans="1:1" s="199" customFormat="1" ht="12" hidden="1" customHeight="1">
      <c r="A14475" s="198"/>
    </row>
    <row r="14476" spans="1:1" s="199" customFormat="1" ht="12" hidden="1" customHeight="1">
      <c r="A14476" s="198"/>
    </row>
    <row r="14477" spans="1:1" s="199" customFormat="1" ht="12" hidden="1" customHeight="1">
      <c r="A14477" s="198"/>
    </row>
    <row r="14478" spans="1:1" s="199" customFormat="1" ht="12" hidden="1" customHeight="1">
      <c r="A14478" s="198"/>
    </row>
    <row r="14479" spans="1:1" s="199" customFormat="1" ht="12" hidden="1" customHeight="1">
      <c r="A14479" s="198"/>
    </row>
    <row r="14480" spans="1:1" s="199" customFormat="1" ht="12" hidden="1" customHeight="1">
      <c r="A14480" s="198"/>
    </row>
    <row r="14481" spans="1:1" s="199" customFormat="1" ht="12" hidden="1" customHeight="1">
      <c r="A14481" s="198"/>
    </row>
    <row r="14482" spans="1:1" s="199" customFormat="1" ht="12" hidden="1" customHeight="1">
      <c r="A14482" s="198"/>
    </row>
    <row r="14483" spans="1:1" s="199" customFormat="1" ht="12" hidden="1" customHeight="1">
      <c r="A14483" s="198"/>
    </row>
    <row r="14484" spans="1:1" s="199" customFormat="1" ht="12" hidden="1" customHeight="1">
      <c r="A14484" s="198"/>
    </row>
    <row r="14485" spans="1:1" s="199" customFormat="1" ht="12" hidden="1" customHeight="1">
      <c r="A14485" s="198"/>
    </row>
    <row r="14486" spans="1:1" s="199" customFormat="1" ht="12" hidden="1" customHeight="1">
      <c r="A14486" s="198"/>
    </row>
    <row r="14487" spans="1:1" s="199" customFormat="1" ht="12" hidden="1" customHeight="1">
      <c r="A14487" s="198"/>
    </row>
    <row r="14488" spans="1:1" s="199" customFormat="1" ht="12" hidden="1" customHeight="1">
      <c r="A14488" s="198"/>
    </row>
    <row r="14489" spans="1:1" s="199" customFormat="1" ht="12" hidden="1" customHeight="1">
      <c r="A14489" s="198"/>
    </row>
    <row r="14490" spans="1:1" s="199" customFormat="1" ht="12" hidden="1" customHeight="1">
      <c r="A14490" s="198"/>
    </row>
    <row r="14491" spans="1:1" s="199" customFormat="1" ht="12" hidden="1" customHeight="1">
      <c r="A14491" s="198"/>
    </row>
    <row r="14492" spans="1:1" s="199" customFormat="1" ht="12" hidden="1" customHeight="1">
      <c r="A14492" s="198"/>
    </row>
    <row r="14493" spans="1:1" s="199" customFormat="1" ht="12" hidden="1" customHeight="1">
      <c r="A14493" s="198"/>
    </row>
    <row r="14494" spans="1:1" s="199" customFormat="1" ht="12" hidden="1" customHeight="1">
      <c r="A14494" s="198"/>
    </row>
    <row r="14495" spans="1:1" s="199" customFormat="1" ht="12" hidden="1" customHeight="1">
      <c r="A14495" s="198"/>
    </row>
    <row r="14496" spans="1:1" s="199" customFormat="1" ht="12" hidden="1" customHeight="1">
      <c r="A14496" s="198"/>
    </row>
    <row r="14497" spans="1:1" s="199" customFormat="1" ht="12" hidden="1" customHeight="1">
      <c r="A14497" s="198"/>
    </row>
    <row r="14498" spans="1:1" s="199" customFormat="1" ht="12" hidden="1" customHeight="1">
      <c r="A14498" s="198"/>
    </row>
    <row r="14499" spans="1:1" s="199" customFormat="1" ht="12" hidden="1" customHeight="1">
      <c r="A14499" s="198"/>
    </row>
    <row r="14500" spans="1:1" s="199" customFormat="1" ht="12" hidden="1" customHeight="1">
      <c r="A14500" s="198"/>
    </row>
    <row r="14501" spans="1:1" s="199" customFormat="1" ht="12" hidden="1" customHeight="1">
      <c r="A14501" s="198"/>
    </row>
    <row r="14502" spans="1:1" s="199" customFormat="1" ht="12" hidden="1" customHeight="1">
      <c r="A14502" s="198"/>
    </row>
    <row r="14503" spans="1:1" s="199" customFormat="1" ht="12" hidden="1" customHeight="1">
      <c r="A14503" s="198"/>
    </row>
    <row r="14504" spans="1:1" s="199" customFormat="1" ht="12" hidden="1" customHeight="1">
      <c r="A14504" s="198"/>
    </row>
    <row r="14505" spans="1:1" s="199" customFormat="1" ht="12" hidden="1" customHeight="1">
      <c r="A14505" s="198"/>
    </row>
    <row r="14506" spans="1:1" s="199" customFormat="1" ht="12" hidden="1" customHeight="1">
      <c r="A14506" s="198"/>
    </row>
    <row r="14507" spans="1:1" s="199" customFormat="1" ht="12" hidden="1" customHeight="1">
      <c r="A14507" s="198"/>
    </row>
    <row r="14508" spans="1:1" s="199" customFormat="1" ht="12" hidden="1" customHeight="1">
      <c r="A14508" s="198"/>
    </row>
    <row r="14509" spans="1:1" s="199" customFormat="1" ht="12" hidden="1" customHeight="1">
      <c r="A14509" s="198"/>
    </row>
    <row r="14510" spans="1:1" s="199" customFormat="1" ht="12" hidden="1" customHeight="1">
      <c r="A14510" s="198"/>
    </row>
    <row r="14511" spans="1:1" s="199" customFormat="1" ht="12" hidden="1" customHeight="1">
      <c r="A14511" s="198"/>
    </row>
    <row r="14512" spans="1:1" s="199" customFormat="1" ht="12" hidden="1" customHeight="1">
      <c r="A14512" s="198"/>
    </row>
    <row r="14513" spans="1:1" s="199" customFormat="1" ht="12" hidden="1" customHeight="1">
      <c r="A14513" s="198"/>
    </row>
    <row r="14514" spans="1:1" s="199" customFormat="1" ht="12" hidden="1" customHeight="1">
      <c r="A14514" s="198"/>
    </row>
    <row r="14515" spans="1:1" s="199" customFormat="1" ht="12" hidden="1" customHeight="1">
      <c r="A14515" s="198"/>
    </row>
    <row r="14516" spans="1:1" s="199" customFormat="1" ht="12" hidden="1" customHeight="1">
      <c r="A14516" s="198"/>
    </row>
    <row r="14517" spans="1:1" s="199" customFormat="1" ht="12" hidden="1" customHeight="1">
      <c r="A14517" s="198"/>
    </row>
    <row r="14518" spans="1:1" s="199" customFormat="1" ht="12" hidden="1" customHeight="1">
      <c r="A14518" s="198"/>
    </row>
    <row r="14519" spans="1:1" s="199" customFormat="1" ht="12" hidden="1" customHeight="1">
      <c r="A14519" s="198"/>
    </row>
    <row r="14520" spans="1:1" s="199" customFormat="1" ht="12" hidden="1" customHeight="1">
      <c r="A14520" s="198"/>
    </row>
    <row r="14521" spans="1:1" s="199" customFormat="1" ht="12" hidden="1" customHeight="1">
      <c r="A14521" s="198"/>
    </row>
    <row r="14522" spans="1:1" s="199" customFormat="1" ht="12" hidden="1" customHeight="1">
      <c r="A14522" s="198"/>
    </row>
    <row r="14523" spans="1:1" s="199" customFormat="1" ht="12" hidden="1" customHeight="1">
      <c r="A14523" s="198"/>
    </row>
    <row r="14524" spans="1:1" s="199" customFormat="1" ht="12" hidden="1" customHeight="1">
      <c r="A14524" s="198"/>
    </row>
    <row r="14525" spans="1:1" s="199" customFormat="1" ht="12" hidden="1" customHeight="1">
      <c r="A14525" s="198"/>
    </row>
    <row r="14526" spans="1:1" s="199" customFormat="1" ht="12" hidden="1" customHeight="1">
      <c r="A14526" s="198"/>
    </row>
    <row r="14527" spans="1:1" s="199" customFormat="1" ht="12" hidden="1" customHeight="1">
      <c r="A14527" s="198"/>
    </row>
    <row r="14528" spans="1:1" s="199" customFormat="1" ht="12" hidden="1" customHeight="1">
      <c r="A14528" s="198"/>
    </row>
    <row r="14529" spans="1:1" s="199" customFormat="1" ht="12" hidden="1" customHeight="1">
      <c r="A14529" s="198"/>
    </row>
    <row r="14530" spans="1:1" s="199" customFormat="1" ht="12" hidden="1" customHeight="1">
      <c r="A14530" s="198"/>
    </row>
    <row r="14531" spans="1:1" s="199" customFormat="1" ht="12" hidden="1" customHeight="1">
      <c r="A14531" s="198"/>
    </row>
    <row r="14532" spans="1:1" s="199" customFormat="1" ht="12" hidden="1" customHeight="1">
      <c r="A14532" s="198"/>
    </row>
    <row r="14533" spans="1:1" s="199" customFormat="1" ht="12" hidden="1" customHeight="1">
      <c r="A14533" s="198"/>
    </row>
    <row r="14534" spans="1:1" s="199" customFormat="1" ht="12" hidden="1" customHeight="1">
      <c r="A14534" s="198"/>
    </row>
    <row r="14535" spans="1:1" s="199" customFormat="1" ht="12" hidden="1" customHeight="1">
      <c r="A14535" s="198"/>
    </row>
    <row r="14536" spans="1:1" s="199" customFormat="1" ht="12" hidden="1" customHeight="1">
      <c r="A14536" s="198"/>
    </row>
    <row r="14537" spans="1:1" s="199" customFormat="1" ht="12" hidden="1" customHeight="1">
      <c r="A14537" s="198"/>
    </row>
    <row r="14538" spans="1:1" s="199" customFormat="1" ht="12" hidden="1" customHeight="1">
      <c r="A14538" s="198"/>
    </row>
    <row r="14539" spans="1:1" s="199" customFormat="1" ht="12" hidden="1" customHeight="1">
      <c r="A14539" s="198"/>
    </row>
    <row r="14540" spans="1:1" s="199" customFormat="1" ht="12" hidden="1" customHeight="1">
      <c r="A14540" s="198"/>
    </row>
    <row r="14541" spans="1:1" s="199" customFormat="1" ht="12" hidden="1" customHeight="1">
      <c r="A14541" s="198"/>
    </row>
    <row r="14542" spans="1:1" s="199" customFormat="1" ht="12" hidden="1" customHeight="1">
      <c r="A14542" s="198"/>
    </row>
    <row r="14543" spans="1:1" s="199" customFormat="1" ht="12" hidden="1" customHeight="1">
      <c r="A14543" s="198"/>
    </row>
    <row r="14544" spans="1:1" s="199" customFormat="1" ht="12" hidden="1" customHeight="1">
      <c r="A14544" s="198"/>
    </row>
    <row r="14545" spans="1:1" s="199" customFormat="1" ht="12" hidden="1" customHeight="1">
      <c r="A14545" s="198"/>
    </row>
    <row r="14546" spans="1:1" s="199" customFormat="1" ht="12" hidden="1" customHeight="1">
      <c r="A14546" s="198"/>
    </row>
    <row r="14547" spans="1:1" s="199" customFormat="1" ht="12" hidden="1" customHeight="1">
      <c r="A14547" s="198"/>
    </row>
    <row r="14548" spans="1:1" s="199" customFormat="1" ht="12" hidden="1" customHeight="1">
      <c r="A14548" s="198"/>
    </row>
    <row r="14549" spans="1:1" s="199" customFormat="1" ht="12" hidden="1" customHeight="1">
      <c r="A14549" s="198"/>
    </row>
    <row r="14550" spans="1:1" s="199" customFormat="1" ht="12" hidden="1" customHeight="1">
      <c r="A14550" s="198"/>
    </row>
    <row r="14551" spans="1:1" s="199" customFormat="1" ht="12" hidden="1" customHeight="1">
      <c r="A14551" s="198"/>
    </row>
    <row r="14552" spans="1:1" s="199" customFormat="1" ht="12" hidden="1" customHeight="1">
      <c r="A14552" s="198"/>
    </row>
    <row r="14553" spans="1:1" s="199" customFormat="1" ht="12" hidden="1" customHeight="1">
      <c r="A14553" s="198"/>
    </row>
    <row r="14554" spans="1:1" s="199" customFormat="1" ht="12" hidden="1" customHeight="1">
      <c r="A14554" s="198"/>
    </row>
    <row r="14555" spans="1:1" s="199" customFormat="1" ht="12" hidden="1" customHeight="1">
      <c r="A14555" s="198"/>
    </row>
    <row r="14556" spans="1:1" s="199" customFormat="1" ht="12" hidden="1" customHeight="1">
      <c r="A14556" s="198"/>
    </row>
    <row r="14557" spans="1:1" s="199" customFormat="1" ht="12" hidden="1" customHeight="1">
      <c r="A14557" s="198"/>
    </row>
    <row r="14558" spans="1:1" s="199" customFormat="1" ht="12" hidden="1" customHeight="1">
      <c r="A14558" s="198"/>
    </row>
    <row r="14559" spans="1:1" s="199" customFormat="1" ht="12" hidden="1" customHeight="1">
      <c r="A14559" s="198"/>
    </row>
    <row r="14560" spans="1:1" s="199" customFormat="1" ht="12" hidden="1" customHeight="1">
      <c r="A14560" s="198"/>
    </row>
    <row r="14561" spans="1:1" s="199" customFormat="1" ht="12" hidden="1" customHeight="1">
      <c r="A14561" s="198"/>
    </row>
    <row r="14562" spans="1:1" s="199" customFormat="1" ht="12" hidden="1" customHeight="1">
      <c r="A14562" s="198"/>
    </row>
    <row r="14563" spans="1:1" s="199" customFormat="1" ht="12" hidden="1" customHeight="1">
      <c r="A14563" s="198"/>
    </row>
    <row r="14564" spans="1:1" s="199" customFormat="1" ht="12" hidden="1" customHeight="1">
      <c r="A14564" s="198"/>
    </row>
    <row r="14565" spans="1:1" s="199" customFormat="1" ht="12" hidden="1" customHeight="1">
      <c r="A14565" s="198"/>
    </row>
    <row r="14566" spans="1:1" s="199" customFormat="1" ht="12" hidden="1" customHeight="1">
      <c r="A14566" s="198"/>
    </row>
    <row r="14567" spans="1:1" s="199" customFormat="1" ht="12" hidden="1" customHeight="1">
      <c r="A14567" s="198"/>
    </row>
    <row r="14568" spans="1:1" s="199" customFormat="1" ht="12" hidden="1" customHeight="1">
      <c r="A14568" s="198"/>
    </row>
    <row r="14569" spans="1:1" s="199" customFormat="1" ht="12" hidden="1" customHeight="1">
      <c r="A14569" s="198"/>
    </row>
    <row r="14570" spans="1:1" s="199" customFormat="1" ht="12" hidden="1" customHeight="1">
      <c r="A14570" s="198"/>
    </row>
    <row r="14571" spans="1:1" s="199" customFormat="1" ht="12" hidden="1" customHeight="1">
      <c r="A14571" s="198"/>
    </row>
    <row r="14572" spans="1:1" s="199" customFormat="1" ht="12" hidden="1" customHeight="1">
      <c r="A14572" s="198"/>
    </row>
    <row r="14573" spans="1:1" s="199" customFormat="1" ht="12" hidden="1" customHeight="1">
      <c r="A14573" s="198"/>
    </row>
    <row r="14574" spans="1:1" s="199" customFormat="1" ht="12" hidden="1" customHeight="1">
      <c r="A14574" s="198"/>
    </row>
    <row r="14575" spans="1:1" s="199" customFormat="1" ht="12" hidden="1" customHeight="1">
      <c r="A14575" s="198"/>
    </row>
    <row r="14576" spans="1:1" s="199" customFormat="1" ht="12" hidden="1" customHeight="1">
      <c r="A14576" s="198"/>
    </row>
    <row r="14577" spans="1:1" s="199" customFormat="1" ht="12" hidden="1" customHeight="1">
      <c r="A14577" s="198"/>
    </row>
    <row r="14578" spans="1:1" s="199" customFormat="1" ht="12" hidden="1" customHeight="1">
      <c r="A14578" s="198"/>
    </row>
    <row r="14579" spans="1:1" s="199" customFormat="1" ht="12" hidden="1" customHeight="1">
      <c r="A14579" s="198"/>
    </row>
    <row r="14580" spans="1:1" s="199" customFormat="1" ht="12" hidden="1" customHeight="1">
      <c r="A14580" s="198"/>
    </row>
    <row r="14581" spans="1:1" s="199" customFormat="1" ht="12" hidden="1" customHeight="1">
      <c r="A14581" s="198"/>
    </row>
    <row r="14582" spans="1:1" s="199" customFormat="1" ht="12" hidden="1" customHeight="1">
      <c r="A14582" s="198"/>
    </row>
    <row r="14583" spans="1:1" s="199" customFormat="1" ht="12" hidden="1" customHeight="1">
      <c r="A14583" s="198"/>
    </row>
    <row r="14584" spans="1:1" s="199" customFormat="1" ht="12" hidden="1" customHeight="1">
      <c r="A14584" s="198"/>
    </row>
    <row r="14585" spans="1:1" s="199" customFormat="1" ht="12" hidden="1" customHeight="1">
      <c r="A14585" s="198"/>
    </row>
    <row r="14586" spans="1:1" s="199" customFormat="1" ht="12" hidden="1" customHeight="1">
      <c r="A14586" s="198"/>
    </row>
    <row r="14587" spans="1:1" s="199" customFormat="1" ht="12" hidden="1" customHeight="1">
      <c r="A14587" s="198"/>
    </row>
    <row r="14588" spans="1:1" s="199" customFormat="1" ht="12" hidden="1" customHeight="1">
      <c r="A14588" s="198"/>
    </row>
    <row r="14589" spans="1:1" s="199" customFormat="1" ht="12" hidden="1" customHeight="1">
      <c r="A14589" s="198"/>
    </row>
    <row r="14590" spans="1:1" s="199" customFormat="1" ht="12" hidden="1" customHeight="1">
      <c r="A14590" s="198"/>
    </row>
    <row r="14591" spans="1:1" s="199" customFormat="1" ht="12" hidden="1" customHeight="1">
      <c r="A14591" s="198"/>
    </row>
    <row r="14592" spans="1:1" s="199" customFormat="1" ht="12" hidden="1" customHeight="1">
      <c r="A14592" s="198"/>
    </row>
    <row r="14593" spans="1:1" s="199" customFormat="1" ht="12" hidden="1" customHeight="1">
      <c r="A14593" s="198"/>
    </row>
    <row r="14594" spans="1:1" s="199" customFormat="1" ht="12" hidden="1" customHeight="1">
      <c r="A14594" s="198"/>
    </row>
    <row r="14595" spans="1:1" s="199" customFormat="1" ht="12" hidden="1" customHeight="1">
      <c r="A14595" s="198"/>
    </row>
    <row r="14596" spans="1:1" s="199" customFormat="1" ht="12" hidden="1" customHeight="1">
      <c r="A14596" s="198"/>
    </row>
    <row r="14597" spans="1:1" s="199" customFormat="1" ht="12" hidden="1" customHeight="1">
      <c r="A14597" s="198"/>
    </row>
    <row r="14598" spans="1:1" s="199" customFormat="1" ht="12" hidden="1" customHeight="1">
      <c r="A14598" s="198"/>
    </row>
    <row r="14599" spans="1:1" s="199" customFormat="1" ht="12" hidden="1" customHeight="1">
      <c r="A14599" s="198"/>
    </row>
    <row r="14600" spans="1:1" s="199" customFormat="1" ht="12" hidden="1" customHeight="1">
      <c r="A14600" s="198"/>
    </row>
    <row r="14601" spans="1:1" s="199" customFormat="1" ht="12" hidden="1" customHeight="1">
      <c r="A14601" s="198"/>
    </row>
    <row r="14602" spans="1:1" s="199" customFormat="1" ht="12" hidden="1" customHeight="1">
      <c r="A14602" s="198"/>
    </row>
    <row r="14603" spans="1:1" s="199" customFormat="1" ht="12" hidden="1" customHeight="1">
      <c r="A14603" s="198"/>
    </row>
    <row r="14604" spans="1:1" s="199" customFormat="1" ht="12" hidden="1" customHeight="1">
      <c r="A14604" s="198"/>
    </row>
    <row r="14605" spans="1:1" s="199" customFormat="1" ht="12" hidden="1" customHeight="1">
      <c r="A14605" s="198"/>
    </row>
    <row r="14606" spans="1:1" s="199" customFormat="1" ht="12" hidden="1" customHeight="1">
      <c r="A14606" s="198"/>
    </row>
    <row r="14607" spans="1:1" s="199" customFormat="1" ht="12" hidden="1" customHeight="1">
      <c r="A14607" s="198"/>
    </row>
    <row r="14608" spans="1:1" s="199" customFormat="1" ht="12" hidden="1" customHeight="1">
      <c r="A14608" s="198"/>
    </row>
    <row r="14609" spans="1:1" s="199" customFormat="1" ht="12" hidden="1" customHeight="1">
      <c r="A14609" s="198"/>
    </row>
    <row r="14610" spans="1:1" s="199" customFormat="1" ht="12" hidden="1" customHeight="1">
      <c r="A14610" s="198"/>
    </row>
    <row r="14611" spans="1:1" s="199" customFormat="1" ht="12" hidden="1" customHeight="1">
      <c r="A14611" s="198"/>
    </row>
    <row r="14612" spans="1:1" s="199" customFormat="1" ht="12" hidden="1" customHeight="1">
      <c r="A14612" s="198"/>
    </row>
    <row r="14613" spans="1:1" s="199" customFormat="1" ht="12" hidden="1" customHeight="1">
      <c r="A14613" s="198"/>
    </row>
    <row r="14614" spans="1:1" s="199" customFormat="1" ht="12" hidden="1" customHeight="1">
      <c r="A14614" s="198"/>
    </row>
    <row r="14615" spans="1:1" s="199" customFormat="1" ht="12" hidden="1" customHeight="1">
      <c r="A14615" s="198"/>
    </row>
    <row r="14616" spans="1:1" s="199" customFormat="1" ht="12" hidden="1" customHeight="1">
      <c r="A14616" s="198"/>
    </row>
    <row r="14617" spans="1:1" s="199" customFormat="1" ht="12" hidden="1" customHeight="1">
      <c r="A14617" s="198"/>
    </row>
    <row r="14618" spans="1:1" s="199" customFormat="1" ht="12" hidden="1" customHeight="1">
      <c r="A14618" s="198"/>
    </row>
    <row r="14619" spans="1:1" s="199" customFormat="1" ht="12" hidden="1" customHeight="1">
      <c r="A14619" s="198"/>
    </row>
    <row r="14620" spans="1:1" s="199" customFormat="1" ht="12" hidden="1" customHeight="1">
      <c r="A14620" s="198"/>
    </row>
    <row r="14621" spans="1:1" s="199" customFormat="1" ht="12" hidden="1" customHeight="1">
      <c r="A14621" s="198"/>
    </row>
    <row r="14622" spans="1:1" s="199" customFormat="1" ht="12" hidden="1" customHeight="1">
      <c r="A14622" s="198"/>
    </row>
    <row r="14623" spans="1:1" s="199" customFormat="1" ht="12" hidden="1" customHeight="1">
      <c r="A14623" s="198"/>
    </row>
    <row r="14624" spans="1:1" s="199" customFormat="1" ht="12" hidden="1" customHeight="1">
      <c r="A14624" s="198"/>
    </row>
    <row r="14625" spans="1:1" s="199" customFormat="1" ht="12" hidden="1" customHeight="1">
      <c r="A14625" s="198"/>
    </row>
    <row r="14626" spans="1:1" s="199" customFormat="1" ht="12" hidden="1" customHeight="1">
      <c r="A14626" s="198"/>
    </row>
    <row r="14627" spans="1:1" s="199" customFormat="1" ht="12" hidden="1" customHeight="1">
      <c r="A14627" s="198"/>
    </row>
    <row r="14628" spans="1:1" s="199" customFormat="1" ht="12" hidden="1" customHeight="1">
      <c r="A14628" s="198"/>
    </row>
    <row r="14629" spans="1:1" s="199" customFormat="1" ht="12" hidden="1" customHeight="1">
      <c r="A14629" s="198"/>
    </row>
    <row r="14630" spans="1:1" s="199" customFormat="1" ht="12" hidden="1" customHeight="1">
      <c r="A14630" s="198"/>
    </row>
    <row r="14631" spans="1:1" s="199" customFormat="1" ht="12" hidden="1" customHeight="1">
      <c r="A14631" s="198"/>
    </row>
    <row r="14632" spans="1:1" s="199" customFormat="1" ht="12" hidden="1" customHeight="1">
      <c r="A14632" s="198"/>
    </row>
    <row r="14633" spans="1:1" s="199" customFormat="1" ht="12" hidden="1" customHeight="1">
      <c r="A14633" s="198"/>
    </row>
    <row r="14634" spans="1:1" s="199" customFormat="1" ht="12" hidden="1" customHeight="1">
      <c r="A14634" s="198"/>
    </row>
    <row r="14635" spans="1:1" s="199" customFormat="1" ht="12" hidden="1" customHeight="1">
      <c r="A14635" s="198"/>
    </row>
    <row r="14636" spans="1:1" s="199" customFormat="1" ht="12" hidden="1" customHeight="1">
      <c r="A14636" s="198"/>
    </row>
    <row r="14637" spans="1:1" s="199" customFormat="1" ht="12" hidden="1" customHeight="1">
      <c r="A14637" s="198"/>
    </row>
    <row r="14638" spans="1:1" s="199" customFormat="1" ht="12" hidden="1" customHeight="1">
      <c r="A14638" s="198"/>
    </row>
    <row r="14639" spans="1:1" s="199" customFormat="1" ht="12" hidden="1" customHeight="1">
      <c r="A14639" s="198"/>
    </row>
    <row r="14640" spans="1:1" s="199" customFormat="1" ht="12" hidden="1" customHeight="1">
      <c r="A14640" s="198"/>
    </row>
    <row r="14641" spans="1:1" s="199" customFormat="1" ht="12" hidden="1" customHeight="1">
      <c r="A14641" s="198"/>
    </row>
    <row r="14642" spans="1:1" s="199" customFormat="1" ht="12" hidden="1" customHeight="1">
      <c r="A14642" s="198"/>
    </row>
    <row r="14643" spans="1:1" s="199" customFormat="1" ht="12" hidden="1" customHeight="1">
      <c r="A14643" s="198"/>
    </row>
    <row r="14644" spans="1:1" s="199" customFormat="1" ht="12" hidden="1" customHeight="1">
      <c r="A14644" s="198"/>
    </row>
    <row r="14645" spans="1:1" s="199" customFormat="1" ht="12" hidden="1" customHeight="1">
      <c r="A14645" s="198"/>
    </row>
    <row r="14646" spans="1:1" s="199" customFormat="1" ht="12" hidden="1" customHeight="1">
      <c r="A14646" s="198"/>
    </row>
    <row r="14647" spans="1:1" s="199" customFormat="1" ht="12" hidden="1" customHeight="1">
      <c r="A14647" s="198"/>
    </row>
    <row r="14648" spans="1:1" s="199" customFormat="1" ht="12" hidden="1" customHeight="1">
      <c r="A14648" s="198"/>
    </row>
    <row r="14649" spans="1:1" s="199" customFormat="1" ht="12" hidden="1" customHeight="1">
      <c r="A14649" s="198"/>
    </row>
    <row r="14650" spans="1:1" s="199" customFormat="1" ht="12" hidden="1" customHeight="1">
      <c r="A14650" s="198"/>
    </row>
    <row r="14651" spans="1:1" s="199" customFormat="1" ht="12" hidden="1" customHeight="1">
      <c r="A14651" s="198"/>
    </row>
    <row r="14652" spans="1:1" s="199" customFormat="1" ht="12" hidden="1" customHeight="1">
      <c r="A14652" s="198"/>
    </row>
    <row r="14653" spans="1:1" s="199" customFormat="1" ht="12" hidden="1" customHeight="1">
      <c r="A14653" s="198"/>
    </row>
    <row r="14654" spans="1:1" s="199" customFormat="1" ht="12" hidden="1" customHeight="1">
      <c r="A14654" s="198"/>
    </row>
    <row r="14655" spans="1:1" s="199" customFormat="1" ht="12" hidden="1" customHeight="1">
      <c r="A14655" s="198"/>
    </row>
    <row r="14656" spans="1:1" s="199" customFormat="1" ht="12" hidden="1" customHeight="1">
      <c r="A14656" s="198"/>
    </row>
    <row r="14657" spans="1:1" s="199" customFormat="1" ht="12" hidden="1" customHeight="1">
      <c r="A14657" s="198"/>
    </row>
    <row r="14658" spans="1:1" s="199" customFormat="1" ht="12" hidden="1" customHeight="1">
      <c r="A14658" s="198"/>
    </row>
    <row r="14659" spans="1:1" s="199" customFormat="1" ht="12" hidden="1" customHeight="1">
      <c r="A14659" s="198"/>
    </row>
    <row r="14660" spans="1:1" s="199" customFormat="1" ht="12" hidden="1" customHeight="1">
      <c r="A14660" s="198"/>
    </row>
    <row r="14661" spans="1:1" s="199" customFormat="1" ht="12" hidden="1" customHeight="1">
      <c r="A14661" s="198"/>
    </row>
    <row r="14662" spans="1:1" s="199" customFormat="1" ht="12" hidden="1" customHeight="1">
      <c r="A14662" s="198"/>
    </row>
    <row r="14663" spans="1:1" s="199" customFormat="1" ht="12" hidden="1" customHeight="1">
      <c r="A14663" s="198"/>
    </row>
    <row r="14664" spans="1:1" s="199" customFormat="1" ht="12" hidden="1" customHeight="1">
      <c r="A14664" s="198"/>
    </row>
    <row r="14665" spans="1:1" s="199" customFormat="1" ht="12" hidden="1" customHeight="1">
      <c r="A14665" s="198"/>
    </row>
    <row r="14666" spans="1:1" s="199" customFormat="1" ht="12" hidden="1" customHeight="1">
      <c r="A14666" s="198"/>
    </row>
    <row r="14667" spans="1:1" s="199" customFormat="1" ht="12" hidden="1" customHeight="1">
      <c r="A14667" s="198"/>
    </row>
    <row r="14668" spans="1:1" s="199" customFormat="1" ht="12" hidden="1" customHeight="1">
      <c r="A14668" s="198"/>
    </row>
    <row r="14669" spans="1:1" s="199" customFormat="1" ht="12" hidden="1" customHeight="1">
      <c r="A14669" s="198"/>
    </row>
    <row r="14670" spans="1:1" s="199" customFormat="1" ht="12" hidden="1" customHeight="1">
      <c r="A14670" s="198"/>
    </row>
    <row r="14671" spans="1:1" s="199" customFormat="1" ht="12" hidden="1" customHeight="1">
      <c r="A14671" s="198"/>
    </row>
    <row r="14672" spans="1:1" s="199" customFormat="1" ht="12" hidden="1" customHeight="1">
      <c r="A14672" s="198"/>
    </row>
    <row r="14673" spans="1:1" s="199" customFormat="1" ht="12" hidden="1" customHeight="1">
      <c r="A14673" s="198"/>
    </row>
    <row r="14674" spans="1:1" s="199" customFormat="1" ht="12" hidden="1" customHeight="1">
      <c r="A14674" s="198"/>
    </row>
    <row r="14675" spans="1:1" s="199" customFormat="1" ht="12" hidden="1" customHeight="1">
      <c r="A14675" s="198"/>
    </row>
    <row r="14676" spans="1:1" s="199" customFormat="1" ht="12" hidden="1" customHeight="1">
      <c r="A14676" s="198"/>
    </row>
    <row r="14677" spans="1:1" s="199" customFormat="1" ht="12" hidden="1" customHeight="1">
      <c r="A14677" s="198"/>
    </row>
    <row r="14678" spans="1:1" s="199" customFormat="1" ht="12" hidden="1" customHeight="1">
      <c r="A14678" s="198"/>
    </row>
    <row r="14679" spans="1:1" s="199" customFormat="1" ht="12" hidden="1" customHeight="1">
      <c r="A14679" s="198"/>
    </row>
    <row r="14680" spans="1:1" s="199" customFormat="1" ht="12" hidden="1" customHeight="1">
      <c r="A14680" s="198"/>
    </row>
    <row r="14681" spans="1:1" s="199" customFormat="1" ht="12" hidden="1" customHeight="1">
      <c r="A14681" s="198"/>
    </row>
    <row r="14682" spans="1:1" s="199" customFormat="1" ht="12" hidden="1" customHeight="1">
      <c r="A14682" s="198"/>
    </row>
    <row r="14683" spans="1:1" s="199" customFormat="1" ht="12" hidden="1" customHeight="1">
      <c r="A14683" s="198"/>
    </row>
    <row r="14684" spans="1:1" s="199" customFormat="1" ht="12" hidden="1" customHeight="1">
      <c r="A14684" s="198"/>
    </row>
    <row r="14685" spans="1:1" s="199" customFormat="1" ht="12" hidden="1" customHeight="1">
      <c r="A14685" s="198"/>
    </row>
    <row r="14686" spans="1:1" s="199" customFormat="1" ht="12" hidden="1" customHeight="1">
      <c r="A14686" s="198"/>
    </row>
    <row r="14687" spans="1:1" s="199" customFormat="1" ht="12" hidden="1" customHeight="1">
      <c r="A14687" s="198"/>
    </row>
    <row r="14688" spans="1:1" s="199" customFormat="1" ht="12" hidden="1" customHeight="1">
      <c r="A14688" s="198"/>
    </row>
    <row r="14689" spans="1:1" s="199" customFormat="1" ht="12" hidden="1" customHeight="1">
      <c r="A14689" s="198"/>
    </row>
    <row r="14690" spans="1:1" s="199" customFormat="1" ht="12" hidden="1" customHeight="1">
      <c r="A14690" s="198"/>
    </row>
    <row r="14691" spans="1:1" s="199" customFormat="1" ht="12" hidden="1" customHeight="1">
      <c r="A14691" s="198"/>
    </row>
    <row r="14692" spans="1:1" s="199" customFormat="1" ht="12" hidden="1" customHeight="1">
      <c r="A14692" s="198"/>
    </row>
    <row r="14693" spans="1:1" s="199" customFormat="1" ht="12" hidden="1" customHeight="1">
      <c r="A14693" s="198"/>
    </row>
    <row r="14694" spans="1:1" s="199" customFormat="1" ht="12" hidden="1" customHeight="1">
      <c r="A14694" s="198"/>
    </row>
    <row r="14695" spans="1:1" s="199" customFormat="1" ht="12" hidden="1" customHeight="1">
      <c r="A14695" s="198"/>
    </row>
    <row r="14696" spans="1:1" s="199" customFormat="1" ht="12" hidden="1" customHeight="1">
      <c r="A14696" s="198"/>
    </row>
    <row r="14697" spans="1:1" s="199" customFormat="1" ht="12" hidden="1" customHeight="1">
      <c r="A14697" s="198"/>
    </row>
    <row r="14698" spans="1:1" s="199" customFormat="1" ht="12" hidden="1" customHeight="1">
      <c r="A14698" s="198"/>
    </row>
    <row r="14699" spans="1:1" s="199" customFormat="1" ht="12" hidden="1" customHeight="1">
      <c r="A14699" s="198"/>
    </row>
    <row r="14700" spans="1:1" s="199" customFormat="1" ht="12" hidden="1" customHeight="1">
      <c r="A14700" s="198"/>
    </row>
    <row r="14701" spans="1:1" s="199" customFormat="1" ht="12" hidden="1" customHeight="1">
      <c r="A14701" s="198"/>
    </row>
    <row r="14702" spans="1:1" s="199" customFormat="1" ht="12" hidden="1" customHeight="1">
      <c r="A14702" s="198"/>
    </row>
    <row r="14703" spans="1:1" s="199" customFormat="1" ht="12" hidden="1" customHeight="1">
      <c r="A14703" s="198"/>
    </row>
    <row r="14704" spans="1:1" s="199" customFormat="1" ht="12" hidden="1" customHeight="1">
      <c r="A14704" s="198"/>
    </row>
    <row r="14705" spans="1:1" s="199" customFormat="1" ht="12" hidden="1" customHeight="1">
      <c r="A14705" s="198"/>
    </row>
    <row r="14706" spans="1:1" s="199" customFormat="1" ht="12" hidden="1" customHeight="1">
      <c r="A14706" s="198"/>
    </row>
    <row r="14707" spans="1:1" s="199" customFormat="1" ht="12" hidden="1" customHeight="1">
      <c r="A14707" s="198"/>
    </row>
    <row r="14708" spans="1:1" s="199" customFormat="1" ht="12" hidden="1" customHeight="1">
      <c r="A14708" s="198"/>
    </row>
    <row r="14709" spans="1:1" s="199" customFormat="1" ht="12" hidden="1" customHeight="1">
      <c r="A14709" s="198"/>
    </row>
    <row r="14710" spans="1:1" s="199" customFormat="1" ht="12" hidden="1" customHeight="1">
      <c r="A14710" s="198"/>
    </row>
    <row r="14711" spans="1:1" s="199" customFormat="1" ht="12" hidden="1" customHeight="1">
      <c r="A14711" s="198"/>
    </row>
    <row r="14712" spans="1:1" s="199" customFormat="1" ht="12" hidden="1" customHeight="1">
      <c r="A14712" s="198"/>
    </row>
    <row r="14713" spans="1:1" s="199" customFormat="1" ht="12" hidden="1" customHeight="1">
      <c r="A14713" s="198"/>
    </row>
    <row r="14714" spans="1:1" s="199" customFormat="1" ht="12" hidden="1" customHeight="1">
      <c r="A14714" s="198"/>
    </row>
    <row r="14715" spans="1:1" s="199" customFormat="1" ht="12" hidden="1" customHeight="1">
      <c r="A14715" s="198"/>
    </row>
    <row r="14716" spans="1:1" s="199" customFormat="1" ht="12" hidden="1" customHeight="1">
      <c r="A14716" s="198"/>
    </row>
    <row r="14717" spans="1:1" s="199" customFormat="1" ht="12" hidden="1" customHeight="1">
      <c r="A14717" s="198"/>
    </row>
    <row r="14718" spans="1:1" s="199" customFormat="1" ht="12" hidden="1" customHeight="1">
      <c r="A14718" s="198"/>
    </row>
    <row r="14719" spans="1:1" s="199" customFormat="1" ht="12" hidden="1" customHeight="1">
      <c r="A14719" s="198"/>
    </row>
    <row r="14720" spans="1:1" s="199" customFormat="1" ht="12" hidden="1" customHeight="1">
      <c r="A14720" s="198"/>
    </row>
    <row r="14721" spans="1:1" s="199" customFormat="1" ht="12" hidden="1" customHeight="1">
      <c r="A14721" s="198"/>
    </row>
    <row r="14722" spans="1:1" s="199" customFormat="1" ht="12" hidden="1" customHeight="1">
      <c r="A14722" s="198"/>
    </row>
    <row r="14723" spans="1:1" s="199" customFormat="1" ht="12" hidden="1" customHeight="1">
      <c r="A14723" s="198"/>
    </row>
    <row r="14724" spans="1:1" s="199" customFormat="1" ht="12" hidden="1" customHeight="1">
      <c r="A14724" s="198"/>
    </row>
    <row r="14725" spans="1:1" s="199" customFormat="1" ht="12" hidden="1" customHeight="1">
      <c r="A14725" s="198"/>
    </row>
    <row r="14726" spans="1:1" s="199" customFormat="1" ht="12" hidden="1" customHeight="1">
      <c r="A14726" s="198"/>
    </row>
    <row r="14727" spans="1:1" s="199" customFormat="1" ht="12" hidden="1" customHeight="1">
      <c r="A14727" s="198"/>
    </row>
    <row r="14728" spans="1:1" s="199" customFormat="1" ht="12" hidden="1" customHeight="1">
      <c r="A14728" s="198"/>
    </row>
    <row r="14729" spans="1:1" s="199" customFormat="1" ht="12" hidden="1" customHeight="1">
      <c r="A14729" s="198"/>
    </row>
    <row r="14730" spans="1:1" s="199" customFormat="1" ht="12" hidden="1" customHeight="1">
      <c r="A14730" s="198"/>
    </row>
    <row r="14731" spans="1:1" s="199" customFormat="1" ht="12" hidden="1" customHeight="1">
      <c r="A14731" s="198"/>
    </row>
    <row r="14732" spans="1:1" s="199" customFormat="1" ht="12" hidden="1" customHeight="1">
      <c r="A14732" s="198"/>
    </row>
    <row r="14733" spans="1:1" s="199" customFormat="1" ht="12" hidden="1" customHeight="1">
      <c r="A14733" s="198"/>
    </row>
    <row r="14734" spans="1:1" s="199" customFormat="1" ht="12" hidden="1" customHeight="1">
      <c r="A14734" s="198"/>
    </row>
    <row r="14735" spans="1:1" s="199" customFormat="1" ht="12" hidden="1" customHeight="1">
      <c r="A14735" s="198"/>
    </row>
    <row r="14736" spans="1:1" s="199" customFormat="1" ht="12" hidden="1" customHeight="1">
      <c r="A14736" s="198"/>
    </row>
    <row r="14737" spans="1:1" s="199" customFormat="1" ht="12" hidden="1" customHeight="1">
      <c r="A14737" s="198"/>
    </row>
    <row r="14738" spans="1:1" s="199" customFormat="1" ht="12" hidden="1" customHeight="1">
      <c r="A14738" s="198"/>
    </row>
    <row r="14739" spans="1:1" s="199" customFormat="1" ht="12" hidden="1" customHeight="1">
      <c r="A14739" s="198"/>
    </row>
    <row r="14740" spans="1:1" s="199" customFormat="1" ht="12" hidden="1" customHeight="1">
      <c r="A14740" s="198"/>
    </row>
    <row r="14741" spans="1:1" s="199" customFormat="1" ht="12" hidden="1" customHeight="1">
      <c r="A14741" s="198"/>
    </row>
    <row r="14742" spans="1:1" s="199" customFormat="1" ht="12" hidden="1" customHeight="1">
      <c r="A14742" s="198"/>
    </row>
    <row r="14743" spans="1:1" s="199" customFormat="1" ht="12" hidden="1" customHeight="1">
      <c r="A14743" s="198"/>
    </row>
    <row r="14744" spans="1:1" s="199" customFormat="1" ht="12" hidden="1" customHeight="1">
      <c r="A14744" s="198"/>
    </row>
    <row r="14745" spans="1:1" s="199" customFormat="1" ht="12" hidden="1" customHeight="1">
      <c r="A14745" s="198"/>
    </row>
    <row r="14746" spans="1:1" s="199" customFormat="1" ht="12" hidden="1" customHeight="1">
      <c r="A14746" s="198"/>
    </row>
    <row r="14747" spans="1:1" s="199" customFormat="1" ht="12" hidden="1" customHeight="1">
      <c r="A14747" s="198"/>
    </row>
    <row r="14748" spans="1:1" s="199" customFormat="1" ht="12" hidden="1" customHeight="1">
      <c r="A14748" s="198"/>
    </row>
    <row r="14749" spans="1:1" s="199" customFormat="1" ht="12" hidden="1" customHeight="1">
      <c r="A14749" s="198"/>
    </row>
    <row r="14750" spans="1:1" s="199" customFormat="1" ht="12" hidden="1" customHeight="1">
      <c r="A14750" s="198"/>
    </row>
    <row r="14751" spans="1:1" s="199" customFormat="1" ht="12" hidden="1" customHeight="1">
      <c r="A14751" s="198"/>
    </row>
    <row r="14752" spans="1:1" s="199" customFormat="1" ht="12" hidden="1" customHeight="1">
      <c r="A14752" s="198"/>
    </row>
    <row r="14753" spans="1:1" s="199" customFormat="1" ht="12" hidden="1" customHeight="1">
      <c r="A14753" s="198"/>
    </row>
    <row r="14754" spans="1:1" s="199" customFormat="1" ht="12" hidden="1" customHeight="1">
      <c r="A14754" s="198"/>
    </row>
    <row r="14755" spans="1:1" s="199" customFormat="1" ht="12" hidden="1" customHeight="1">
      <c r="A14755" s="198"/>
    </row>
    <row r="14756" spans="1:1" s="199" customFormat="1" ht="12" hidden="1" customHeight="1">
      <c r="A14756" s="198"/>
    </row>
    <row r="14757" spans="1:1" s="199" customFormat="1" ht="12" hidden="1" customHeight="1">
      <c r="A14757" s="198"/>
    </row>
    <row r="14758" spans="1:1" s="199" customFormat="1" ht="12" hidden="1" customHeight="1">
      <c r="A14758" s="198"/>
    </row>
    <row r="14759" spans="1:1" s="199" customFormat="1" ht="12" hidden="1" customHeight="1">
      <c r="A14759" s="198"/>
    </row>
    <row r="14760" spans="1:1" s="199" customFormat="1" ht="12" hidden="1" customHeight="1">
      <c r="A14760" s="198"/>
    </row>
    <row r="14761" spans="1:1" s="199" customFormat="1" ht="12" hidden="1" customHeight="1">
      <c r="A14761" s="198"/>
    </row>
    <row r="14762" spans="1:1" s="199" customFormat="1" ht="12" hidden="1" customHeight="1">
      <c r="A14762" s="198"/>
    </row>
    <row r="14763" spans="1:1" s="199" customFormat="1" ht="12" hidden="1" customHeight="1">
      <c r="A14763" s="198"/>
    </row>
    <row r="14764" spans="1:1" s="199" customFormat="1" ht="12" hidden="1" customHeight="1">
      <c r="A14764" s="198"/>
    </row>
    <row r="14765" spans="1:1" s="199" customFormat="1" ht="12" hidden="1" customHeight="1">
      <c r="A14765" s="198"/>
    </row>
    <row r="14766" spans="1:1" s="199" customFormat="1" ht="12" hidden="1" customHeight="1">
      <c r="A14766" s="198"/>
    </row>
    <row r="14767" spans="1:1" s="199" customFormat="1" ht="12" hidden="1" customHeight="1">
      <c r="A14767" s="198"/>
    </row>
    <row r="14768" spans="1:1" s="199" customFormat="1" ht="12" hidden="1" customHeight="1">
      <c r="A14768" s="198"/>
    </row>
    <row r="14769" spans="1:1" s="199" customFormat="1" ht="12" hidden="1" customHeight="1">
      <c r="A14769" s="198"/>
    </row>
    <row r="14770" spans="1:1" s="199" customFormat="1" ht="12" hidden="1" customHeight="1">
      <c r="A14770" s="198"/>
    </row>
    <row r="14771" spans="1:1" s="199" customFormat="1" ht="12" hidden="1" customHeight="1">
      <c r="A14771" s="198"/>
    </row>
    <row r="14772" spans="1:1" s="199" customFormat="1" ht="12" hidden="1" customHeight="1">
      <c r="A14772" s="198"/>
    </row>
    <row r="14773" spans="1:1" s="199" customFormat="1" ht="12" hidden="1" customHeight="1">
      <c r="A14773" s="198"/>
    </row>
    <row r="14774" spans="1:1" s="199" customFormat="1" ht="12" hidden="1" customHeight="1">
      <c r="A14774" s="198"/>
    </row>
    <row r="14775" spans="1:1" s="199" customFormat="1" ht="12" hidden="1" customHeight="1">
      <c r="A14775" s="198"/>
    </row>
    <row r="14776" spans="1:1" s="199" customFormat="1" ht="12" hidden="1" customHeight="1">
      <c r="A14776" s="198"/>
    </row>
    <row r="14777" spans="1:1" s="199" customFormat="1" ht="12" hidden="1" customHeight="1">
      <c r="A14777" s="198"/>
    </row>
    <row r="14778" spans="1:1" s="199" customFormat="1" ht="12" hidden="1" customHeight="1">
      <c r="A14778" s="198"/>
    </row>
    <row r="14779" spans="1:1" s="199" customFormat="1" ht="12" hidden="1" customHeight="1">
      <c r="A14779" s="198"/>
    </row>
    <row r="14780" spans="1:1" s="199" customFormat="1" ht="12" hidden="1" customHeight="1">
      <c r="A14780" s="198"/>
    </row>
    <row r="14781" spans="1:1" s="199" customFormat="1" ht="12" hidden="1" customHeight="1">
      <c r="A14781" s="198"/>
    </row>
    <row r="14782" spans="1:1" s="199" customFormat="1" ht="12" hidden="1" customHeight="1">
      <c r="A14782" s="198"/>
    </row>
    <row r="14783" spans="1:1" s="199" customFormat="1" ht="12" hidden="1" customHeight="1">
      <c r="A14783" s="198"/>
    </row>
    <row r="14784" spans="1:1" s="199" customFormat="1" ht="12" hidden="1" customHeight="1">
      <c r="A14784" s="198"/>
    </row>
    <row r="14785" spans="1:1" s="199" customFormat="1" ht="12" hidden="1" customHeight="1">
      <c r="A14785" s="198"/>
    </row>
    <row r="14786" spans="1:1" s="199" customFormat="1" ht="12" hidden="1" customHeight="1">
      <c r="A14786" s="198"/>
    </row>
    <row r="14787" spans="1:1" s="199" customFormat="1" ht="12" hidden="1" customHeight="1">
      <c r="A14787" s="198"/>
    </row>
    <row r="14788" spans="1:1" s="199" customFormat="1" ht="12" hidden="1" customHeight="1">
      <c r="A14788" s="198"/>
    </row>
    <row r="14789" spans="1:1" s="199" customFormat="1" ht="12" hidden="1" customHeight="1">
      <c r="A14789" s="198"/>
    </row>
    <row r="14790" spans="1:1" s="199" customFormat="1" ht="12" hidden="1" customHeight="1">
      <c r="A14790" s="198"/>
    </row>
    <row r="14791" spans="1:1" s="199" customFormat="1" ht="12" hidden="1" customHeight="1">
      <c r="A14791" s="198"/>
    </row>
    <row r="14792" spans="1:1" s="199" customFormat="1" ht="12" hidden="1" customHeight="1">
      <c r="A14792" s="198"/>
    </row>
    <row r="14793" spans="1:1" s="199" customFormat="1" ht="12" hidden="1" customHeight="1">
      <c r="A14793" s="198"/>
    </row>
    <row r="14794" spans="1:1" s="199" customFormat="1" ht="12" hidden="1" customHeight="1">
      <c r="A14794" s="198"/>
    </row>
    <row r="14795" spans="1:1" s="199" customFormat="1" ht="12" hidden="1" customHeight="1">
      <c r="A14795" s="198"/>
    </row>
    <row r="14796" spans="1:1" s="199" customFormat="1" ht="12" hidden="1" customHeight="1">
      <c r="A14796" s="198"/>
    </row>
    <row r="14797" spans="1:1" s="199" customFormat="1" ht="12" hidden="1" customHeight="1">
      <c r="A14797" s="198"/>
    </row>
    <row r="14798" spans="1:1" s="199" customFormat="1" ht="12" hidden="1" customHeight="1">
      <c r="A14798" s="198"/>
    </row>
    <row r="14799" spans="1:1" s="199" customFormat="1" ht="12" hidden="1" customHeight="1">
      <c r="A14799" s="198"/>
    </row>
    <row r="14800" spans="1:1" s="199" customFormat="1" ht="12" hidden="1" customHeight="1">
      <c r="A14800" s="198"/>
    </row>
    <row r="14801" spans="1:1" s="199" customFormat="1" ht="12" hidden="1" customHeight="1">
      <c r="A14801" s="198"/>
    </row>
    <row r="14802" spans="1:1" s="199" customFormat="1" ht="12" hidden="1" customHeight="1">
      <c r="A14802" s="198"/>
    </row>
    <row r="14803" spans="1:1" s="199" customFormat="1" ht="12" hidden="1" customHeight="1">
      <c r="A14803" s="198"/>
    </row>
    <row r="14804" spans="1:1" s="199" customFormat="1" ht="12" hidden="1" customHeight="1">
      <c r="A14804" s="198"/>
    </row>
    <row r="14805" spans="1:1" s="199" customFormat="1" ht="12" hidden="1" customHeight="1">
      <c r="A14805" s="198"/>
    </row>
    <row r="14806" spans="1:1" s="199" customFormat="1" ht="12" hidden="1" customHeight="1">
      <c r="A14806" s="198"/>
    </row>
    <row r="14807" spans="1:1" s="199" customFormat="1" ht="12" hidden="1" customHeight="1">
      <c r="A14807" s="198"/>
    </row>
    <row r="14808" spans="1:1" s="199" customFormat="1" ht="12" hidden="1" customHeight="1">
      <c r="A14808" s="198"/>
    </row>
    <row r="14809" spans="1:1" s="199" customFormat="1" ht="12" hidden="1" customHeight="1">
      <c r="A14809" s="198"/>
    </row>
    <row r="14810" spans="1:1" s="199" customFormat="1" ht="12" hidden="1" customHeight="1">
      <c r="A14810" s="198"/>
    </row>
    <row r="14811" spans="1:1" s="199" customFormat="1" ht="12" hidden="1" customHeight="1">
      <c r="A14811" s="198"/>
    </row>
    <row r="14812" spans="1:1" s="199" customFormat="1" ht="12" hidden="1" customHeight="1">
      <c r="A14812" s="198"/>
    </row>
    <row r="14813" spans="1:1" s="199" customFormat="1" ht="12" hidden="1" customHeight="1">
      <c r="A14813" s="198"/>
    </row>
    <row r="14814" spans="1:1" s="199" customFormat="1" ht="12" hidden="1" customHeight="1">
      <c r="A14814" s="198"/>
    </row>
    <row r="14815" spans="1:1" s="199" customFormat="1" ht="12" hidden="1" customHeight="1">
      <c r="A14815" s="198"/>
    </row>
    <row r="14816" spans="1:1" s="199" customFormat="1" ht="12" hidden="1" customHeight="1">
      <c r="A14816" s="198"/>
    </row>
    <row r="14817" spans="1:1" s="199" customFormat="1" ht="12" hidden="1" customHeight="1">
      <c r="A14817" s="198"/>
    </row>
    <row r="14818" spans="1:1" s="199" customFormat="1" ht="12" hidden="1" customHeight="1">
      <c r="A14818" s="198"/>
    </row>
    <row r="14819" spans="1:1" s="199" customFormat="1" ht="12" hidden="1" customHeight="1">
      <c r="A14819" s="198"/>
    </row>
    <row r="14820" spans="1:1" s="199" customFormat="1" ht="12" hidden="1" customHeight="1">
      <c r="A14820" s="198"/>
    </row>
    <row r="14821" spans="1:1" s="199" customFormat="1" ht="12" hidden="1" customHeight="1">
      <c r="A14821" s="198"/>
    </row>
    <row r="14822" spans="1:1" s="199" customFormat="1" ht="12" hidden="1" customHeight="1">
      <c r="A14822" s="198"/>
    </row>
    <row r="14823" spans="1:1" s="199" customFormat="1" ht="12" hidden="1" customHeight="1">
      <c r="A14823" s="198"/>
    </row>
    <row r="14824" spans="1:1" s="199" customFormat="1" ht="12" hidden="1" customHeight="1">
      <c r="A14824" s="198"/>
    </row>
    <row r="14825" spans="1:1" s="199" customFormat="1" ht="12" hidden="1" customHeight="1">
      <c r="A14825" s="198"/>
    </row>
    <row r="14826" spans="1:1" s="199" customFormat="1" ht="12" hidden="1" customHeight="1">
      <c r="A14826" s="198"/>
    </row>
    <row r="14827" spans="1:1" s="199" customFormat="1" ht="12" hidden="1" customHeight="1">
      <c r="A14827" s="198"/>
    </row>
    <row r="14828" spans="1:1" s="199" customFormat="1" ht="12" hidden="1" customHeight="1">
      <c r="A14828" s="198"/>
    </row>
    <row r="14829" spans="1:1" s="199" customFormat="1" ht="12" hidden="1" customHeight="1">
      <c r="A14829" s="198"/>
    </row>
    <row r="14830" spans="1:1" s="199" customFormat="1" ht="12" hidden="1" customHeight="1">
      <c r="A14830" s="198"/>
    </row>
    <row r="14831" spans="1:1" s="199" customFormat="1" ht="12" hidden="1" customHeight="1">
      <c r="A14831" s="198"/>
    </row>
    <row r="14832" spans="1:1" s="199" customFormat="1" ht="12" hidden="1" customHeight="1">
      <c r="A14832" s="198"/>
    </row>
    <row r="14833" spans="1:1" s="199" customFormat="1" ht="12" hidden="1" customHeight="1">
      <c r="A14833" s="198"/>
    </row>
    <row r="14834" spans="1:1" s="199" customFormat="1" ht="12" hidden="1" customHeight="1">
      <c r="A14834" s="198"/>
    </row>
    <row r="14835" spans="1:1" s="199" customFormat="1" ht="12" hidden="1" customHeight="1">
      <c r="A14835" s="198"/>
    </row>
    <row r="14836" spans="1:1" s="199" customFormat="1" ht="12" hidden="1" customHeight="1">
      <c r="A14836" s="198"/>
    </row>
    <row r="14837" spans="1:1" s="199" customFormat="1" ht="12" hidden="1" customHeight="1">
      <c r="A14837" s="198"/>
    </row>
    <row r="14838" spans="1:1" s="199" customFormat="1" ht="12" hidden="1" customHeight="1">
      <c r="A14838" s="198"/>
    </row>
    <row r="14839" spans="1:1" s="199" customFormat="1" ht="12" hidden="1" customHeight="1">
      <c r="A14839" s="198"/>
    </row>
    <row r="14840" spans="1:1" s="199" customFormat="1" ht="12" hidden="1" customHeight="1">
      <c r="A14840" s="198"/>
    </row>
    <row r="14841" spans="1:1" s="199" customFormat="1" ht="12" hidden="1" customHeight="1">
      <c r="A14841" s="198"/>
    </row>
    <row r="14842" spans="1:1" s="199" customFormat="1" ht="12" hidden="1" customHeight="1">
      <c r="A14842" s="198"/>
    </row>
    <row r="14843" spans="1:1" s="199" customFormat="1" ht="12" hidden="1" customHeight="1">
      <c r="A14843" s="198"/>
    </row>
    <row r="14844" spans="1:1" s="199" customFormat="1" ht="12" hidden="1" customHeight="1">
      <c r="A14844" s="198"/>
    </row>
    <row r="14845" spans="1:1" s="199" customFormat="1" ht="12" hidden="1" customHeight="1">
      <c r="A14845" s="198"/>
    </row>
    <row r="14846" spans="1:1" s="199" customFormat="1" ht="12" hidden="1" customHeight="1">
      <c r="A14846" s="198"/>
    </row>
    <row r="14847" spans="1:1" s="199" customFormat="1" ht="12" hidden="1" customHeight="1">
      <c r="A14847" s="198"/>
    </row>
    <row r="14848" spans="1:1" s="199" customFormat="1" ht="12" hidden="1" customHeight="1">
      <c r="A14848" s="198"/>
    </row>
    <row r="14849" spans="1:1" s="199" customFormat="1" ht="12" hidden="1" customHeight="1">
      <c r="A14849" s="198"/>
    </row>
    <row r="14850" spans="1:1" s="199" customFormat="1" ht="12" hidden="1" customHeight="1">
      <c r="A14850" s="198"/>
    </row>
    <row r="14851" spans="1:1" s="199" customFormat="1" ht="12" hidden="1" customHeight="1">
      <c r="A14851" s="198"/>
    </row>
    <row r="14852" spans="1:1" s="199" customFormat="1" ht="12" hidden="1" customHeight="1">
      <c r="A14852" s="198"/>
    </row>
    <row r="14853" spans="1:1" s="199" customFormat="1" ht="12" hidden="1" customHeight="1">
      <c r="A14853" s="198"/>
    </row>
    <row r="14854" spans="1:1" s="199" customFormat="1" ht="12" hidden="1" customHeight="1">
      <c r="A14854" s="198"/>
    </row>
    <row r="14855" spans="1:1" s="199" customFormat="1" ht="12" hidden="1" customHeight="1">
      <c r="A14855" s="198"/>
    </row>
    <row r="14856" spans="1:1" s="199" customFormat="1" ht="12" hidden="1" customHeight="1">
      <c r="A14856" s="198"/>
    </row>
    <row r="14857" spans="1:1" s="199" customFormat="1" ht="12" hidden="1" customHeight="1">
      <c r="A14857" s="198"/>
    </row>
    <row r="14858" spans="1:1" s="199" customFormat="1" ht="12" hidden="1" customHeight="1">
      <c r="A14858" s="198"/>
    </row>
    <row r="14859" spans="1:1" s="199" customFormat="1" ht="12" hidden="1" customHeight="1">
      <c r="A14859" s="198"/>
    </row>
    <row r="14860" spans="1:1" s="199" customFormat="1" ht="12" hidden="1" customHeight="1">
      <c r="A14860" s="198"/>
    </row>
    <row r="14861" spans="1:1" s="199" customFormat="1" ht="12" hidden="1" customHeight="1">
      <c r="A14861" s="198"/>
    </row>
    <row r="14862" spans="1:1" s="199" customFormat="1" ht="12" hidden="1" customHeight="1">
      <c r="A14862" s="198"/>
    </row>
    <row r="14863" spans="1:1" s="199" customFormat="1" ht="12" hidden="1" customHeight="1">
      <c r="A14863" s="198"/>
    </row>
    <row r="14864" spans="1:1" s="199" customFormat="1" ht="12" hidden="1" customHeight="1">
      <c r="A14864" s="198"/>
    </row>
    <row r="14865" spans="1:1" s="199" customFormat="1" ht="12" hidden="1" customHeight="1">
      <c r="A14865" s="198"/>
    </row>
    <row r="14866" spans="1:1" s="199" customFormat="1" ht="12" hidden="1" customHeight="1">
      <c r="A14866" s="198"/>
    </row>
    <row r="14867" spans="1:1" s="199" customFormat="1" ht="12" hidden="1" customHeight="1">
      <c r="A14867" s="198"/>
    </row>
    <row r="14868" spans="1:1" s="199" customFormat="1" ht="12" hidden="1" customHeight="1">
      <c r="A14868" s="198"/>
    </row>
    <row r="14869" spans="1:1" s="199" customFormat="1" ht="12" hidden="1" customHeight="1">
      <c r="A14869" s="198"/>
    </row>
    <row r="14870" spans="1:1" s="199" customFormat="1" ht="12" hidden="1" customHeight="1">
      <c r="A14870" s="198"/>
    </row>
    <row r="14871" spans="1:1" s="199" customFormat="1" ht="12" hidden="1" customHeight="1">
      <c r="A14871" s="198"/>
    </row>
    <row r="14872" spans="1:1" s="199" customFormat="1" ht="12" hidden="1" customHeight="1">
      <c r="A14872" s="198"/>
    </row>
    <row r="14873" spans="1:1" s="199" customFormat="1" ht="12" hidden="1" customHeight="1">
      <c r="A14873" s="198"/>
    </row>
    <row r="14874" spans="1:1" s="199" customFormat="1" ht="12" hidden="1" customHeight="1">
      <c r="A14874" s="198"/>
    </row>
    <row r="14875" spans="1:1" s="199" customFormat="1" ht="12" hidden="1" customHeight="1">
      <c r="A14875" s="198"/>
    </row>
    <row r="14876" spans="1:1" s="199" customFormat="1" ht="12" hidden="1" customHeight="1">
      <c r="A14876" s="198"/>
    </row>
    <row r="14877" spans="1:1" s="199" customFormat="1" ht="12" hidden="1" customHeight="1">
      <c r="A14877" s="198"/>
    </row>
    <row r="14878" spans="1:1" s="199" customFormat="1" ht="12" hidden="1" customHeight="1">
      <c r="A14878" s="198"/>
    </row>
    <row r="14879" spans="1:1" s="199" customFormat="1" ht="12" hidden="1" customHeight="1">
      <c r="A14879" s="198"/>
    </row>
    <row r="14880" spans="1:1" s="199" customFormat="1" ht="12" hidden="1" customHeight="1">
      <c r="A14880" s="198"/>
    </row>
    <row r="14881" spans="1:1" s="199" customFormat="1" ht="12" hidden="1" customHeight="1">
      <c r="A14881" s="198"/>
    </row>
    <row r="14882" spans="1:1" s="199" customFormat="1" ht="12" hidden="1" customHeight="1">
      <c r="A14882" s="198"/>
    </row>
    <row r="14883" spans="1:1" s="199" customFormat="1" ht="12" hidden="1" customHeight="1">
      <c r="A14883" s="198"/>
    </row>
    <row r="14884" spans="1:1" s="199" customFormat="1" ht="12" hidden="1" customHeight="1">
      <c r="A14884" s="198"/>
    </row>
    <row r="14885" spans="1:1" s="199" customFormat="1" ht="12" hidden="1" customHeight="1">
      <c r="A14885" s="198"/>
    </row>
    <row r="14886" spans="1:1" s="199" customFormat="1" ht="12" hidden="1" customHeight="1">
      <c r="A14886" s="198"/>
    </row>
    <row r="14887" spans="1:1" s="199" customFormat="1" ht="12" hidden="1" customHeight="1">
      <c r="A14887" s="198"/>
    </row>
    <row r="14888" spans="1:1" s="199" customFormat="1" ht="12" hidden="1" customHeight="1">
      <c r="A14888" s="198"/>
    </row>
    <row r="14889" spans="1:1" s="199" customFormat="1" ht="12" hidden="1" customHeight="1">
      <c r="A14889" s="198"/>
    </row>
    <row r="14890" spans="1:1" s="199" customFormat="1" ht="12" hidden="1" customHeight="1">
      <c r="A14890" s="198"/>
    </row>
    <row r="14891" spans="1:1" s="199" customFormat="1" ht="12" hidden="1" customHeight="1">
      <c r="A14891" s="198"/>
    </row>
    <row r="14892" spans="1:1" s="199" customFormat="1" ht="12" hidden="1" customHeight="1">
      <c r="A14892" s="198"/>
    </row>
    <row r="14893" spans="1:1" s="199" customFormat="1" ht="12" hidden="1" customHeight="1">
      <c r="A14893" s="198"/>
    </row>
    <row r="14894" spans="1:1" s="199" customFormat="1" ht="12" hidden="1" customHeight="1">
      <c r="A14894" s="198"/>
    </row>
    <row r="14895" spans="1:1" s="199" customFormat="1" ht="12" hidden="1" customHeight="1">
      <c r="A14895" s="198"/>
    </row>
    <row r="14896" spans="1:1" s="199" customFormat="1" ht="12" hidden="1" customHeight="1">
      <c r="A14896" s="198"/>
    </row>
    <row r="14897" spans="1:1" s="199" customFormat="1" ht="12" hidden="1" customHeight="1">
      <c r="A14897" s="198"/>
    </row>
    <row r="14898" spans="1:1" s="199" customFormat="1" ht="12" hidden="1" customHeight="1">
      <c r="A14898" s="198"/>
    </row>
    <row r="14899" spans="1:1" s="199" customFormat="1" ht="12" hidden="1" customHeight="1">
      <c r="A14899" s="198"/>
    </row>
    <row r="14900" spans="1:1" s="199" customFormat="1" ht="12" hidden="1" customHeight="1">
      <c r="A14900" s="198"/>
    </row>
    <row r="14901" spans="1:1" s="199" customFormat="1" ht="12" hidden="1" customHeight="1">
      <c r="A14901" s="198"/>
    </row>
    <row r="14902" spans="1:1" s="199" customFormat="1" ht="12" hidden="1" customHeight="1">
      <c r="A14902" s="198"/>
    </row>
    <row r="14903" spans="1:1" s="199" customFormat="1" ht="12" hidden="1" customHeight="1">
      <c r="A14903" s="198"/>
    </row>
    <row r="14904" spans="1:1" s="199" customFormat="1" ht="12" hidden="1" customHeight="1">
      <c r="A14904" s="198"/>
    </row>
    <row r="14905" spans="1:1" s="199" customFormat="1" ht="12" hidden="1" customHeight="1">
      <c r="A14905" s="198"/>
    </row>
    <row r="14906" spans="1:1" s="199" customFormat="1" ht="12" hidden="1" customHeight="1">
      <c r="A14906" s="198"/>
    </row>
    <row r="14907" spans="1:1" s="199" customFormat="1" ht="12" hidden="1" customHeight="1">
      <c r="A14907" s="198"/>
    </row>
    <row r="14908" spans="1:1" s="199" customFormat="1" ht="12" hidden="1" customHeight="1">
      <c r="A14908" s="198"/>
    </row>
    <row r="14909" spans="1:1" s="199" customFormat="1" ht="12" hidden="1" customHeight="1">
      <c r="A14909" s="198"/>
    </row>
    <row r="14910" spans="1:1" s="199" customFormat="1" ht="12" hidden="1" customHeight="1">
      <c r="A14910" s="198"/>
    </row>
    <row r="14911" spans="1:1" s="199" customFormat="1" ht="12" hidden="1" customHeight="1">
      <c r="A14911" s="198"/>
    </row>
    <row r="14912" spans="1:1" s="199" customFormat="1" ht="12" hidden="1" customHeight="1">
      <c r="A14912" s="198"/>
    </row>
    <row r="14913" spans="1:1" s="199" customFormat="1" ht="12" hidden="1" customHeight="1">
      <c r="A14913" s="198"/>
    </row>
    <row r="14914" spans="1:1" s="199" customFormat="1" ht="12" hidden="1" customHeight="1">
      <c r="A14914" s="198"/>
    </row>
    <row r="14915" spans="1:1" s="199" customFormat="1" ht="12" hidden="1" customHeight="1">
      <c r="A14915" s="198"/>
    </row>
    <row r="14916" spans="1:1" s="199" customFormat="1" ht="12" hidden="1" customHeight="1">
      <c r="A14916" s="198"/>
    </row>
    <row r="14917" spans="1:1" s="199" customFormat="1" ht="12" hidden="1" customHeight="1">
      <c r="A14917" s="198"/>
    </row>
    <row r="14918" spans="1:1" s="199" customFormat="1" ht="12" hidden="1" customHeight="1">
      <c r="A14918" s="198"/>
    </row>
    <row r="14919" spans="1:1" s="199" customFormat="1" ht="12" hidden="1" customHeight="1">
      <c r="A14919" s="198"/>
    </row>
    <row r="14920" spans="1:1" s="199" customFormat="1" ht="12" hidden="1" customHeight="1">
      <c r="A14920" s="198"/>
    </row>
    <row r="14921" spans="1:1" s="199" customFormat="1" ht="12" hidden="1" customHeight="1">
      <c r="A14921" s="198"/>
    </row>
    <row r="14922" spans="1:1" s="199" customFormat="1" ht="12" hidden="1" customHeight="1">
      <c r="A14922" s="198"/>
    </row>
    <row r="14923" spans="1:1" s="199" customFormat="1" ht="12" hidden="1" customHeight="1">
      <c r="A14923" s="198"/>
    </row>
    <row r="14924" spans="1:1" s="199" customFormat="1" ht="12" hidden="1" customHeight="1">
      <c r="A14924" s="198"/>
    </row>
    <row r="14925" spans="1:1" s="199" customFormat="1" ht="12" hidden="1" customHeight="1">
      <c r="A14925" s="198"/>
    </row>
    <row r="14926" spans="1:1" s="199" customFormat="1" ht="12" hidden="1" customHeight="1">
      <c r="A14926" s="198"/>
    </row>
    <row r="14927" spans="1:1" s="199" customFormat="1" ht="12" hidden="1" customHeight="1">
      <c r="A14927" s="198"/>
    </row>
    <row r="14928" spans="1:1" s="199" customFormat="1" ht="12" hidden="1" customHeight="1">
      <c r="A14928" s="198"/>
    </row>
    <row r="14929" spans="1:1" s="199" customFormat="1" ht="12" hidden="1" customHeight="1">
      <c r="A14929" s="198"/>
    </row>
    <row r="14930" spans="1:1" s="199" customFormat="1" ht="12" hidden="1" customHeight="1">
      <c r="A14930" s="198"/>
    </row>
    <row r="14931" spans="1:1" s="199" customFormat="1" ht="12" hidden="1" customHeight="1">
      <c r="A14931" s="198"/>
    </row>
    <row r="14932" spans="1:1" s="199" customFormat="1" ht="12" hidden="1" customHeight="1">
      <c r="A14932" s="198"/>
    </row>
    <row r="14933" spans="1:1" s="199" customFormat="1" ht="12" hidden="1" customHeight="1">
      <c r="A14933" s="198"/>
    </row>
    <row r="14934" spans="1:1" s="199" customFormat="1" ht="12" hidden="1" customHeight="1">
      <c r="A14934" s="198"/>
    </row>
    <row r="14935" spans="1:1" s="199" customFormat="1" ht="12" hidden="1" customHeight="1">
      <c r="A14935" s="198"/>
    </row>
    <row r="14936" spans="1:1" s="199" customFormat="1" ht="12" hidden="1" customHeight="1">
      <c r="A14936" s="198"/>
    </row>
    <row r="14937" spans="1:1" s="199" customFormat="1" ht="12" hidden="1" customHeight="1">
      <c r="A14937" s="198"/>
    </row>
    <row r="14938" spans="1:1" s="199" customFormat="1" ht="12" hidden="1" customHeight="1">
      <c r="A14938" s="198"/>
    </row>
    <row r="14939" spans="1:1" s="199" customFormat="1" ht="12" hidden="1" customHeight="1">
      <c r="A14939" s="198"/>
    </row>
    <row r="14940" spans="1:1" s="199" customFormat="1" ht="12" hidden="1" customHeight="1">
      <c r="A14940" s="198"/>
    </row>
    <row r="14941" spans="1:1" s="199" customFormat="1" ht="12" hidden="1" customHeight="1">
      <c r="A14941" s="198"/>
    </row>
    <row r="14942" spans="1:1" s="199" customFormat="1" ht="12" hidden="1" customHeight="1">
      <c r="A14942" s="198"/>
    </row>
    <row r="14943" spans="1:1" s="199" customFormat="1" ht="12" hidden="1" customHeight="1">
      <c r="A14943" s="198"/>
    </row>
    <row r="14944" spans="1:1" s="199" customFormat="1" ht="12" hidden="1" customHeight="1">
      <c r="A14944" s="198"/>
    </row>
    <row r="14945" spans="1:1" s="199" customFormat="1" ht="12" hidden="1" customHeight="1">
      <c r="A14945" s="198"/>
    </row>
    <row r="14946" spans="1:1" s="199" customFormat="1" ht="12" hidden="1" customHeight="1">
      <c r="A14946" s="198"/>
    </row>
    <row r="14947" spans="1:1" s="199" customFormat="1" ht="12" hidden="1" customHeight="1">
      <c r="A14947" s="198"/>
    </row>
    <row r="14948" spans="1:1" s="199" customFormat="1" ht="12" hidden="1" customHeight="1">
      <c r="A14948" s="198"/>
    </row>
    <row r="14949" spans="1:1" s="199" customFormat="1" ht="12" hidden="1" customHeight="1">
      <c r="A14949" s="198"/>
    </row>
    <row r="14950" spans="1:1" s="199" customFormat="1" ht="12" hidden="1" customHeight="1">
      <c r="A14950" s="198"/>
    </row>
    <row r="14951" spans="1:1" s="199" customFormat="1" ht="12" hidden="1" customHeight="1">
      <c r="A14951" s="198"/>
    </row>
    <row r="14952" spans="1:1" s="199" customFormat="1" ht="12" hidden="1" customHeight="1">
      <c r="A14952" s="198"/>
    </row>
    <row r="14953" spans="1:1" s="199" customFormat="1" ht="12" hidden="1" customHeight="1">
      <c r="A14953" s="198"/>
    </row>
    <row r="14954" spans="1:1" s="199" customFormat="1" ht="12" hidden="1" customHeight="1">
      <c r="A14954" s="198"/>
    </row>
    <row r="14955" spans="1:1" s="199" customFormat="1" ht="12" hidden="1" customHeight="1">
      <c r="A14955" s="198"/>
    </row>
    <row r="14956" spans="1:1" s="199" customFormat="1" ht="12" hidden="1" customHeight="1">
      <c r="A14956" s="198"/>
    </row>
    <row r="14957" spans="1:1" s="199" customFormat="1" ht="12" hidden="1" customHeight="1">
      <c r="A14957" s="198"/>
    </row>
    <row r="14958" spans="1:1" s="199" customFormat="1" ht="12" hidden="1" customHeight="1">
      <c r="A14958" s="198"/>
    </row>
    <row r="14959" spans="1:1" s="199" customFormat="1" ht="12" hidden="1" customHeight="1">
      <c r="A14959" s="198"/>
    </row>
    <row r="14960" spans="1:1" s="199" customFormat="1" ht="12" hidden="1" customHeight="1">
      <c r="A14960" s="198"/>
    </row>
    <row r="14961" spans="1:1" s="199" customFormat="1" ht="12" hidden="1" customHeight="1">
      <c r="A14961" s="198"/>
    </row>
    <row r="14962" spans="1:1" s="199" customFormat="1" ht="12" hidden="1" customHeight="1">
      <c r="A14962" s="198"/>
    </row>
    <row r="14963" spans="1:1" s="199" customFormat="1" ht="12" hidden="1" customHeight="1">
      <c r="A14963" s="198"/>
    </row>
    <row r="14964" spans="1:1" s="199" customFormat="1" ht="12" hidden="1" customHeight="1">
      <c r="A14964" s="198"/>
    </row>
    <row r="14965" spans="1:1" s="199" customFormat="1" ht="12" hidden="1" customHeight="1">
      <c r="A14965" s="198"/>
    </row>
    <row r="14966" spans="1:1" s="199" customFormat="1" ht="12" hidden="1" customHeight="1">
      <c r="A14966" s="198"/>
    </row>
    <row r="14967" spans="1:1" s="199" customFormat="1" ht="12" hidden="1" customHeight="1">
      <c r="A14967" s="198"/>
    </row>
    <row r="14968" spans="1:1" s="199" customFormat="1" ht="12" hidden="1" customHeight="1">
      <c r="A14968" s="198"/>
    </row>
    <row r="14969" spans="1:1" s="199" customFormat="1" ht="12" hidden="1" customHeight="1">
      <c r="A14969" s="198"/>
    </row>
    <row r="14970" spans="1:1" s="199" customFormat="1" ht="12" hidden="1" customHeight="1">
      <c r="A14970" s="198"/>
    </row>
    <row r="14971" spans="1:1" s="199" customFormat="1" ht="12" hidden="1" customHeight="1">
      <c r="A14971" s="198"/>
    </row>
    <row r="14972" spans="1:1" s="199" customFormat="1" ht="12" hidden="1" customHeight="1">
      <c r="A14972" s="198"/>
    </row>
    <row r="14973" spans="1:1" s="199" customFormat="1" ht="12" hidden="1" customHeight="1">
      <c r="A14973" s="198"/>
    </row>
    <row r="14974" spans="1:1" s="199" customFormat="1" ht="12" hidden="1" customHeight="1">
      <c r="A14974" s="198"/>
    </row>
    <row r="14975" spans="1:1" s="199" customFormat="1" ht="12" hidden="1" customHeight="1">
      <c r="A14975" s="198"/>
    </row>
    <row r="14976" spans="1:1" s="199" customFormat="1" ht="12" hidden="1" customHeight="1">
      <c r="A14976" s="198"/>
    </row>
    <row r="14977" spans="1:1" s="199" customFormat="1" ht="12" hidden="1" customHeight="1">
      <c r="A14977" s="198"/>
    </row>
    <row r="14978" spans="1:1" s="199" customFormat="1" ht="12" hidden="1" customHeight="1">
      <c r="A14978" s="198"/>
    </row>
    <row r="14979" spans="1:1" s="199" customFormat="1" ht="12" hidden="1" customHeight="1">
      <c r="A14979" s="198"/>
    </row>
    <row r="14980" spans="1:1" s="199" customFormat="1" ht="12" hidden="1" customHeight="1">
      <c r="A14980" s="198"/>
    </row>
    <row r="14981" spans="1:1" s="199" customFormat="1" ht="12" hidden="1" customHeight="1">
      <c r="A14981" s="198"/>
    </row>
    <row r="14982" spans="1:1" s="199" customFormat="1" ht="12" hidden="1" customHeight="1">
      <c r="A14982" s="198"/>
    </row>
    <row r="14983" spans="1:1" s="199" customFormat="1" ht="12" hidden="1" customHeight="1">
      <c r="A14983" s="198"/>
    </row>
    <row r="14984" spans="1:1" s="199" customFormat="1" ht="12" hidden="1" customHeight="1">
      <c r="A14984" s="198"/>
    </row>
    <row r="14985" spans="1:1" s="199" customFormat="1" ht="12" hidden="1" customHeight="1">
      <c r="A14985" s="198"/>
    </row>
    <row r="14986" spans="1:1" s="199" customFormat="1" ht="12" hidden="1" customHeight="1">
      <c r="A14986" s="198"/>
    </row>
    <row r="14987" spans="1:1" s="199" customFormat="1" ht="12" hidden="1" customHeight="1">
      <c r="A14987" s="198"/>
    </row>
    <row r="14988" spans="1:1" s="199" customFormat="1" ht="12" hidden="1" customHeight="1">
      <c r="A14988" s="198"/>
    </row>
    <row r="14989" spans="1:1" s="199" customFormat="1" ht="12" hidden="1" customHeight="1">
      <c r="A14989" s="198"/>
    </row>
    <row r="14990" spans="1:1" s="199" customFormat="1" ht="12" hidden="1" customHeight="1">
      <c r="A14990" s="198"/>
    </row>
    <row r="14991" spans="1:1" s="199" customFormat="1" ht="12" hidden="1" customHeight="1">
      <c r="A14991" s="198"/>
    </row>
    <row r="14992" spans="1:1" s="199" customFormat="1" ht="12" hidden="1" customHeight="1">
      <c r="A14992" s="198"/>
    </row>
    <row r="14993" spans="1:1" s="199" customFormat="1" ht="12" hidden="1" customHeight="1">
      <c r="A14993" s="198"/>
    </row>
    <row r="14994" spans="1:1" s="199" customFormat="1" ht="12" hidden="1" customHeight="1">
      <c r="A14994" s="198"/>
    </row>
    <row r="14995" spans="1:1" s="199" customFormat="1" ht="12" hidden="1" customHeight="1">
      <c r="A14995" s="198"/>
    </row>
    <row r="14996" spans="1:1" s="199" customFormat="1" ht="12" hidden="1" customHeight="1">
      <c r="A14996" s="198"/>
    </row>
    <row r="14997" spans="1:1" s="199" customFormat="1" ht="12" hidden="1" customHeight="1">
      <c r="A14997" s="198"/>
    </row>
    <row r="14998" spans="1:1" s="199" customFormat="1" ht="12" hidden="1" customHeight="1">
      <c r="A14998" s="198"/>
    </row>
    <row r="14999" spans="1:1" s="199" customFormat="1" ht="12" hidden="1" customHeight="1">
      <c r="A14999" s="198"/>
    </row>
    <row r="15000" spans="1:1" s="199" customFormat="1" ht="12" hidden="1" customHeight="1">
      <c r="A15000" s="198"/>
    </row>
    <row r="15001" spans="1:1" s="199" customFormat="1" ht="12" hidden="1" customHeight="1">
      <c r="A15001" s="198"/>
    </row>
    <row r="15002" spans="1:1" s="199" customFormat="1" ht="12" hidden="1" customHeight="1">
      <c r="A15002" s="198"/>
    </row>
    <row r="15003" spans="1:1" s="199" customFormat="1" ht="12" hidden="1" customHeight="1">
      <c r="A15003" s="198"/>
    </row>
    <row r="15004" spans="1:1" s="199" customFormat="1" ht="12" hidden="1" customHeight="1">
      <c r="A15004" s="198"/>
    </row>
    <row r="15005" spans="1:1" s="199" customFormat="1" ht="12" hidden="1" customHeight="1">
      <c r="A15005" s="198"/>
    </row>
    <row r="15006" spans="1:1" s="199" customFormat="1" ht="12" hidden="1" customHeight="1">
      <c r="A15006" s="198"/>
    </row>
    <row r="15007" spans="1:1" s="199" customFormat="1" ht="12" hidden="1" customHeight="1">
      <c r="A15007" s="198"/>
    </row>
    <row r="15008" spans="1:1" s="199" customFormat="1" ht="12" hidden="1" customHeight="1">
      <c r="A15008" s="198"/>
    </row>
    <row r="15009" spans="1:1" s="199" customFormat="1" ht="12" hidden="1" customHeight="1">
      <c r="A15009" s="198"/>
    </row>
    <row r="15010" spans="1:1" s="199" customFormat="1" ht="12" hidden="1" customHeight="1">
      <c r="A15010" s="198"/>
    </row>
    <row r="15011" spans="1:1" s="199" customFormat="1" ht="12" hidden="1" customHeight="1">
      <c r="A15011" s="198"/>
    </row>
    <row r="15012" spans="1:1" s="199" customFormat="1" ht="12" hidden="1" customHeight="1">
      <c r="A15012" s="198"/>
    </row>
    <row r="15013" spans="1:1" s="199" customFormat="1" ht="12" hidden="1" customHeight="1">
      <c r="A15013" s="198"/>
    </row>
    <row r="15014" spans="1:1" s="199" customFormat="1" ht="12" hidden="1" customHeight="1">
      <c r="A15014" s="198"/>
    </row>
    <row r="15015" spans="1:1" s="199" customFormat="1" ht="12" hidden="1" customHeight="1">
      <c r="A15015" s="198"/>
    </row>
    <row r="15016" spans="1:1" s="199" customFormat="1" ht="12" hidden="1" customHeight="1">
      <c r="A15016" s="198"/>
    </row>
    <row r="15017" spans="1:1" s="199" customFormat="1" ht="12" hidden="1" customHeight="1">
      <c r="A15017" s="198"/>
    </row>
    <row r="15018" spans="1:1" s="199" customFormat="1" ht="12" hidden="1" customHeight="1">
      <c r="A15018" s="198"/>
    </row>
    <row r="15019" spans="1:1" s="199" customFormat="1" ht="12" hidden="1" customHeight="1">
      <c r="A15019" s="198"/>
    </row>
    <row r="15020" spans="1:1" s="199" customFormat="1" ht="12" hidden="1" customHeight="1">
      <c r="A15020" s="198"/>
    </row>
    <row r="15021" spans="1:1" s="199" customFormat="1" ht="12" hidden="1" customHeight="1">
      <c r="A15021" s="198"/>
    </row>
    <row r="15022" spans="1:1" s="199" customFormat="1" ht="12" hidden="1" customHeight="1">
      <c r="A15022" s="198"/>
    </row>
    <row r="15023" spans="1:1" s="199" customFormat="1" ht="12" hidden="1" customHeight="1">
      <c r="A15023" s="198"/>
    </row>
    <row r="15024" spans="1:1" s="199" customFormat="1" ht="12" hidden="1" customHeight="1">
      <c r="A15024" s="198"/>
    </row>
    <row r="15025" spans="1:1" s="199" customFormat="1" ht="12" hidden="1" customHeight="1">
      <c r="A15025" s="198"/>
    </row>
    <row r="15026" spans="1:1" s="199" customFormat="1" ht="12" hidden="1" customHeight="1">
      <c r="A15026" s="198"/>
    </row>
    <row r="15027" spans="1:1" s="199" customFormat="1" ht="12" hidden="1" customHeight="1">
      <c r="A15027" s="198"/>
    </row>
    <row r="15028" spans="1:1" s="199" customFormat="1" ht="12" hidden="1" customHeight="1">
      <c r="A15028" s="198"/>
    </row>
    <row r="15029" spans="1:1" s="199" customFormat="1" ht="12" hidden="1" customHeight="1">
      <c r="A15029" s="198"/>
    </row>
    <row r="15030" spans="1:1" s="199" customFormat="1" ht="12" hidden="1" customHeight="1">
      <c r="A15030" s="198"/>
    </row>
    <row r="15031" spans="1:1" s="199" customFormat="1" ht="12" hidden="1" customHeight="1">
      <c r="A15031" s="198"/>
    </row>
    <row r="15032" spans="1:1" s="199" customFormat="1" ht="12" hidden="1" customHeight="1">
      <c r="A15032" s="198"/>
    </row>
    <row r="15033" spans="1:1" s="199" customFormat="1" ht="12" hidden="1" customHeight="1">
      <c r="A15033" s="198"/>
    </row>
    <row r="15034" spans="1:1" s="199" customFormat="1" ht="12" hidden="1" customHeight="1">
      <c r="A15034" s="198"/>
    </row>
    <row r="15035" spans="1:1" s="199" customFormat="1" ht="12" hidden="1" customHeight="1">
      <c r="A15035" s="198"/>
    </row>
    <row r="15036" spans="1:1" s="199" customFormat="1" ht="12" hidden="1" customHeight="1">
      <c r="A15036" s="198"/>
    </row>
    <row r="15037" spans="1:1" s="199" customFormat="1" ht="12" hidden="1" customHeight="1">
      <c r="A15037" s="198"/>
    </row>
    <row r="15038" spans="1:1" s="199" customFormat="1" ht="12" hidden="1" customHeight="1">
      <c r="A15038" s="198"/>
    </row>
    <row r="15039" spans="1:1" s="199" customFormat="1" ht="12" hidden="1" customHeight="1">
      <c r="A15039" s="198"/>
    </row>
    <row r="15040" spans="1:1" s="199" customFormat="1" ht="12" hidden="1" customHeight="1">
      <c r="A15040" s="198"/>
    </row>
    <row r="15041" spans="1:1" s="199" customFormat="1" ht="12" hidden="1" customHeight="1">
      <c r="A15041" s="198"/>
    </row>
    <row r="15042" spans="1:1" s="199" customFormat="1" ht="12" hidden="1" customHeight="1">
      <c r="A15042" s="198"/>
    </row>
    <row r="15043" spans="1:1" s="199" customFormat="1" ht="12" hidden="1" customHeight="1">
      <c r="A15043" s="198"/>
    </row>
    <row r="15044" spans="1:1" s="199" customFormat="1" ht="12" hidden="1" customHeight="1">
      <c r="A15044" s="198"/>
    </row>
    <row r="15045" spans="1:1" s="199" customFormat="1" ht="12" hidden="1" customHeight="1">
      <c r="A15045" s="198"/>
    </row>
    <row r="15046" spans="1:1" s="199" customFormat="1" ht="12" hidden="1" customHeight="1">
      <c r="A15046" s="198"/>
    </row>
    <row r="15047" spans="1:1" s="199" customFormat="1" ht="12" hidden="1" customHeight="1">
      <c r="A15047" s="198"/>
    </row>
    <row r="15048" spans="1:1" s="199" customFormat="1" ht="12" hidden="1" customHeight="1">
      <c r="A15048" s="198"/>
    </row>
    <row r="15049" spans="1:1" s="199" customFormat="1" ht="12" hidden="1" customHeight="1">
      <c r="A15049" s="198"/>
    </row>
    <row r="15050" spans="1:1" s="199" customFormat="1" ht="12" hidden="1" customHeight="1">
      <c r="A15050" s="198"/>
    </row>
    <row r="15051" spans="1:1" s="199" customFormat="1" ht="12" hidden="1" customHeight="1">
      <c r="A15051" s="198"/>
    </row>
    <row r="15052" spans="1:1" s="199" customFormat="1" ht="12" hidden="1" customHeight="1">
      <c r="A15052" s="198"/>
    </row>
    <row r="15053" spans="1:1" s="199" customFormat="1" ht="12" hidden="1" customHeight="1">
      <c r="A15053" s="198"/>
    </row>
    <row r="15054" spans="1:1" s="199" customFormat="1" ht="12" hidden="1" customHeight="1">
      <c r="A15054" s="198"/>
    </row>
    <row r="15055" spans="1:1" s="199" customFormat="1" ht="12" hidden="1" customHeight="1">
      <c r="A15055" s="198"/>
    </row>
    <row r="15056" spans="1:1" s="199" customFormat="1" ht="12" hidden="1" customHeight="1">
      <c r="A15056" s="198"/>
    </row>
    <row r="15057" spans="1:1" s="199" customFormat="1" ht="12" hidden="1" customHeight="1">
      <c r="A15057" s="198"/>
    </row>
    <row r="15058" spans="1:1" s="199" customFormat="1" ht="12" hidden="1" customHeight="1">
      <c r="A15058" s="198"/>
    </row>
    <row r="15059" spans="1:1" s="199" customFormat="1" ht="12" hidden="1" customHeight="1">
      <c r="A15059" s="198"/>
    </row>
    <row r="15060" spans="1:1" s="199" customFormat="1" ht="12" hidden="1" customHeight="1">
      <c r="A15060" s="198"/>
    </row>
    <row r="15061" spans="1:1" s="199" customFormat="1" ht="12" hidden="1" customHeight="1">
      <c r="A15061" s="198"/>
    </row>
    <row r="15062" spans="1:1" s="199" customFormat="1" ht="12" hidden="1" customHeight="1">
      <c r="A15062" s="198"/>
    </row>
    <row r="15063" spans="1:1" s="199" customFormat="1" ht="12" hidden="1" customHeight="1">
      <c r="A15063" s="198"/>
    </row>
    <row r="15064" spans="1:1" s="199" customFormat="1" ht="12" hidden="1" customHeight="1">
      <c r="A15064" s="198"/>
    </row>
    <row r="15065" spans="1:1" s="199" customFormat="1" ht="12" hidden="1" customHeight="1">
      <c r="A15065" s="198"/>
    </row>
    <row r="15066" spans="1:1" s="199" customFormat="1" ht="12" hidden="1" customHeight="1">
      <c r="A15066" s="198"/>
    </row>
    <row r="15067" spans="1:1" s="199" customFormat="1" ht="12" hidden="1" customHeight="1">
      <c r="A15067" s="198"/>
    </row>
    <row r="15068" spans="1:1" s="199" customFormat="1" ht="12" hidden="1" customHeight="1">
      <c r="A15068" s="198"/>
    </row>
    <row r="15069" spans="1:1" s="199" customFormat="1" ht="12" hidden="1" customHeight="1">
      <c r="A15069" s="198"/>
    </row>
    <row r="15070" spans="1:1" s="199" customFormat="1" ht="12" hidden="1" customHeight="1">
      <c r="A15070" s="198"/>
    </row>
    <row r="15071" spans="1:1" s="199" customFormat="1" ht="12" hidden="1" customHeight="1">
      <c r="A15071" s="198"/>
    </row>
    <row r="15072" spans="1:1" s="199" customFormat="1" ht="12" hidden="1" customHeight="1">
      <c r="A15072" s="198"/>
    </row>
    <row r="15073" spans="1:1" s="199" customFormat="1" ht="12" hidden="1" customHeight="1">
      <c r="A15073" s="198"/>
    </row>
    <row r="15074" spans="1:1" s="199" customFormat="1" ht="12" hidden="1" customHeight="1">
      <c r="A15074" s="198"/>
    </row>
    <row r="15075" spans="1:1" s="199" customFormat="1" ht="12" hidden="1" customHeight="1">
      <c r="A15075" s="198"/>
    </row>
    <row r="15076" spans="1:1" s="199" customFormat="1" ht="12" hidden="1" customHeight="1">
      <c r="A15076" s="198"/>
    </row>
    <row r="15077" spans="1:1" s="199" customFormat="1" ht="12" hidden="1" customHeight="1">
      <c r="A15077" s="198"/>
    </row>
    <row r="15078" spans="1:1" s="199" customFormat="1" ht="12" hidden="1" customHeight="1">
      <c r="A15078" s="198"/>
    </row>
    <row r="15079" spans="1:1" s="199" customFormat="1" ht="12" hidden="1" customHeight="1">
      <c r="A15079" s="198"/>
    </row>
    <row r="15080" spans="1:1" s="199" customFormat="1" ht="12" hidden="1" customHeight="1">
      <c r="A15080" s="198"/>
    </row>
    <row r="15081" spans="1:1" s="199" customFormat="1" ht="12" hidden="1" customHeight="1">
      <c r="A15081" s="198"/>
    </row>
    <row r="15082" spans="1:1" s="199" customFormat="1" ht="12" hidden="1" customHeight="1">
      <c r="A15082" s="198"/>
    </row>
    <row r="15083" spans="1:1" s="199" customFormat="1" ht="12" hidden="1" customHeight="1">
      <c r="A15083" s="198"/>
    </row>
    <row r="15084" spans="1:1" s="199" customFormat="1" ht="12" hidden="1" customHeight="1">
      <c r="A15084" s="198"/>
    </row>
    <row r="15085" spans="1:1" s="199" customFormat="1" ht="12" hidden="1" customHeight="1">
      <c r="A15085" s="198"/>
    </row>
    <row r="15086" spans="1:1" s="199" customFormat="1" ht="12" hidden="1" customHeight="1">
      <c r="A15086" s="198"/>
    </row>
    <row r="15087" spans="1:1" s="199" customFormat="1" ht="12" hidden="1" customHeight="1">
      <c r="A15087" s="198"/>
    </row>
    <row r="15088" spans="1:1" s="199" customFormat="1" ht="12" hidden="1" customHeight="1">
      <c r="A15088" s="198"/>
    </row>
    <row r="15089" spans="1:1" s="199" customFormat="1" ht="12" hidden="1" customHeight="1">
      <c r="A15089" s="198"/>
    </row>
    <row r="15090" spans="1:1" s="199" customFormat="1" ht="12" hidden="1" customHeight="1">
      <c r="A15090" s="198"/>
    </row>
    <row r="15091" spans="1:1" s="199" customFormat="1" ht="12" hidden="1" customHeight="1">
      <c r="A15091" s="198"/>
    </row>
    <row r="15092" spans="1:1" s="199" customFormat="1" ht="12" hidden="1" customHeight="1">
      <c r="A15092" s="198"/>
    </row>
    <row r="15093" spans="1:1" s="199" customFormat="1" ht="12" hidden="1" customHeight="1">
      <c r="A15093" s="198"/>
    </row>
    <row r="15094" spans="1:1" s="199" customFormat="1" ht="12" hidden="1" customHeight="1">
      <c r="A15094" s="198"/>
    </row>
    <row r="15095" spans="1:1" s="199" customFormat="1" ht="12" hidden="1" customHeight="1">
      <c r="A15095" s="198"/>
    </row>
    <row r="15096" spans="1:1" s="199" customFormat="1" ht="12" hidden="1" customHeight="1">
      <c r="A15096" s="198"/>
    </row>
    <row r="15097" spans="1:1" s="199" customFormat="1" ht="12" hidden="1" customHeight="1">
      <c r="A15097" s="198"/>
    </row>
    <row r="15098" spans="1:1" s="199" customFormat="1" ht="12" hidden="1" customHeight="1">
      <c r="A15098" s="198"/>
    </row>
    <row r="15099" spans="1:1" s="199" customFormat="1" ht="12" hidden="1" customHeight="1">
      <c r="A15099" s="198"/>
    </row>
    <row r="15100" spans="1:1" s="199" customFormat="1" ht="12" hidden="1" customHeight="1">
      <c r="A15100" s="198"/>
    </row>
    <row r="15101" spans="1:1" s="199" customFormat="1" ht="12" hidden="1" customHeight="1">
      <c r="A15101" s="198"/>
    </row>
    <row r="15102" spans="1:1" s="199" customFormat="1" ht="12" hidden="1" customHeight="1">
      <c r="A15102" s="198"/>
    </row>
    <row r="15103" spans="1:1" s="199" customFormat="1" ht="12" hidden="1" customHeight="1">
      <c r="A15103" s="198"/>
    </row>
    <row r="15104" spans="1:1" s="199" customFormat="1" ht="12" hidden="1" customHeight="1">
      <c r="A15104" s="198"/>
    </row>
    <row r="15105" spans="1:1" s="199" customFormat="1" ht="12" hidden="1" customHeight="1">
      <c r="A15105" s="198"/>
    </row>
    <row r="15106" spans="1:1" s="199" customFormat="1" ht="12" hidden="1" customHeight="1">
      <c r="A15106" s="198"/>
    </row>
    <row r="15107" spans="1:1" s="199" customFormat="1" ht="12" hidden="1" customHeight="1">
      <c r="A15107" s="198"/>
    </row>
    <row r="15108" spans="1:1" s="199" customFormat="1" ht="12" hidden="1" customHeight="1">
      <c r="A15108" s="198"/>
    </row>
    <row r="15109" spans="1:1" s="199" customFormat="1" ht="12" hidden="1" customHeight="1">
      <c r="A15109" s="198"/>
    </row>
    <row r="15110" spans="1:1" s="199" customFormat="1" ht="12" hidden="1" customHeight="1">
      <c r="A15110" s="198"/>
    </row>
    <row r="15111" spans="1:1" s="199" customFormat="1" ht="12" hidden="1" customHeight="1">
      <c r="A15111" s="198"/>
    </row>
    <row r="15112" spans="1:1" s="199" customFormat="1" ht="12" hidden="1" customHeight="1">
      <c r="A15112" s="198"/>
    </row>
    <row r="15113" spans="1:1" s="199" customFormat="1" ht="12" hidden="1" customHeight="1">
      <c r="A15113" s="198"/>
    </row>
    <row r="15114" spans="1:1" s="199" customFormat="1" ht="12" hidden="1" customHeight="1">
      <c r="A15114" s="198"/>
    </row>
    <row r="15115" spans="1:1" s="199" customFormat="1" ht="12" hidden="1" customHeight="1">
      <c r="A15115" s="198"/>
    </row>
    <row r="15116" spans="1:1" s="199" customFormat="1" ht="12" hidden="1" customHeight="1">
      <c r="A15116" s="198"/>
    </row>
    <row r="15117" spans="1:1" s="199" customFormat="1" ht="12" hidden="1" customHeight="1">
      <c r="A15117" s="198"/>
    </row>
    <row r="15118" spans="1:1" s="199" customFormat="1" ht="12" hidden="1" customHeight="1">
      <c r="A15118" s="198"/>
    </row>
    <row r="15119" spans="1:1" s="199" customFormat="1" ht="12" hidden="1" customHeight="1">
      <c r="A15119" s="198"/>
    </row>
    <row r="15120" spans="1:1" s="199" customFormat="1" ht="12" hidden="1" customHeight="1">
      <c r="A15120" s="198"/>
    </row>
    <row r="15121" spans="1:1" s="199" customFormat="1" ht="12" hidden="1" customHeight="1">
      <c r="A15121" s="198"/>
    </row>
    <row r="15122" spans="1:1" s="199" customFormat="1" ht="12" hidden="1" customHeight="1">
      <c r="A15122" s="198"/>
    </row>
    <row r="15123" spans="1:1" s="199" customFormat="1" ht="12" hidden="1" customHeight="1">
      <c r="A15123" s="198"/>
    </row>
    <row r="15124" spans="1:1" s="199" customFormat="1" ht="12" hidden="1" customHeight="1">
      <c r="A15124" s="198"/>
    </row>
    <row r="15125" spans="1:1" s="199" customFormat="1" ht="12" hidden="1" customHeight="1">
      <c r="A15125" s="198"/>
    </row>
    <row r="15126" spans="1:1" s="199" customFormat="1" ht="12" hidden="1" customHeight="1">
      <c r="A15126" s="198"/>
    </row>
    <row r="15127" spans="1:1" s="199" customFormat="1" ht="12" hidden="1" customHeight="1">
      <c r="A15127" s="198"/>
    </row>
    <row r="15128" spans="1:1" s="199" customFormat="1" ht="12" hidden="1" customHeight="1">
      <c r="A15128" s="198"/>
    </row>
    <row r="15129" spans="1:1" s="199" customFormat="1" ht="12" hidden="1" customHeight="1">
      <c r="A15129" s="198"/>
    </row>
    <row r="15130" spans="1:1" s="199" customFormat="1" ht="12" hidden="1" customHeight="1">
      <c r="A15130" s="198"/>
    </row>
    <row r="15131" spans="1:1" s="199" customFormat="1" ht="12" hidden="1" customHeight="1">
      <c r="A15131" s="198"/>
    </row>
    <row r="15132" spans="1:1" s="199" customFormat="1" ht="12" hidden="1" customHeight="1">
      <c r="A15132" s="198"/>
    </row>
    <row r="15133" spans="1:1" s="199" customFormat="1" ht="12" hidden="1" customHeight="1">
      <c r="A15133" s="198"/>
    </row>
    <row r="15134" spans="1:1" s="199" customFormat="1" ht="12" hidden="1" customHeight="1">
      <c r="A15134" s="198"/>
    </row>
    <row r="15135" spans="1:1" s="199" customFormat="1" ht="12" hidden="1" customHeight="1">
      <c r="A15135" s="198"/>
    </row>
    <row r="15136" spans="1:1" s="199" customFormat="1" ht="12" hidden="1" customHeight="1">
      <c r="A15136" s="198"/>
    </row>
    <row r="15137" spans="1:1" s="199" customFormat="1" ht="12" hidden="1" customHeight="1">
      <c r="A15137" s="198"/>
    </row>
    <row r="15138" spans="1:1" s="199" customFormat="1" ht="12" hidden="1" customHeight="1">
      <c r="A15138" s="198"/>
    </row>
    <row r="15139" spans="1:1" s="199" customFormat="1" ht="12" hidden="1" customHeight="1">
      <c r="A15139" s="198"/>
    </row>
    <row r="15140" spans="1:1" s="199" customFormat="1" ht="12" hidden="1" customHeight="1">
      <c r="A15140" s="198"/>
    </row>
    <row r="15141" spans="1:1" s="199" customFormat="1" ht="12" hidden="1" customHeight="1">
      <c r="A15141" s="198"/>
    </row>
    <row r="15142" spans="1:1" s="199" customFormat="1" ht="12" hidden="1" customHeight="1">
      <c r="A15142" s="198"/>
    </row>
    <row r="15143" spans="1:1" s="199" customFormat="1" ht="12" hidden="1" customHeight="1">
      <c r="A15143" s="198"/>
    </row>
    <row r="15144" spans="1:1" s="199" customFormat="1" ht="12" hidden="1" customHeight="1">
      <c r="A15144" s="198"/>
    </row>
    <row r="15145" spans="1:1" s="199" customFormat="1" ht="12" hidden="1" customHeight="1">
      <c r="A15145" s="198"/>
    </row>
    <row r="15146" spans="1:1" s="199" customFormat="1" ht="12" hidden="1" customHeight="1">
      <c r="A15146" s="198"/>
    </row>
    <row r="15147" spans="1:1" s="199" customFormat="1" ht="12" hidden="1" customHeight="1">
      <c r="A15147" s="198"/>
    </row>
    <row r="15148" spans="1:1" s="199" customFormat="1" ht="12" hidden="1" customHeight="1">
      <c r="A15148" s="198"/>
    </row>
    <row r="15149" spans="1:1" s="199" customFormat="1" ht="12" hidden="1" customHeight="1">
      <c r="A15149" s="198"/>
    </row>
    <row r="15150" spans="1:1" s="199" customFormat="1" ht="12" hidden="1" customHeight="1">
      <c r="A15150" s="198"/>
    </row>
    <row r="15151" spans="1:1" s="199" customFormat="1" ht="12" hidden="1" customHeight="1">
      <c r="A15151" s="198"/>
    </row>
    <row r="15152" spans="1:1" s="199" customFormat="1" ht="12" hidden="1" customHeight="1">
      <c r="A15152" s="198"/>
    </row>
    <row r="15153" spans="1:1" s="199" customFormat="1" ht="12" hidden="1" customHeight="1">
      <c r="A15153" s="198"/>
    </row>
    <row r="15154" spans="1:1" s="199" customFormat="1" ht="12" hidden="1" customHeight="1">
      <c r="A15154" s="198"/>
    </row>
    <row r="15155" spans="1:1" s="199" customFormat="1" ht="12" hidden="1" customHeight="1">
      <c r="A15155" s="198"/>
    </row>
    <row r="15156" spans="1:1" s="199" customFormat="1" ht="12" hidden="1" customHeight="1">
      <c r="A15156" s="198"/>
    </row>
    <row r="15157" spans="1:1" s="199" customFormat="1" ht="12" hidden="1" customHeight="1">
      <c r="A15157" s="198"/>
    </row>
    <row r="15158" spans="1:1" s="199" customFormat="1" ht="12" hidden="1" customHeight="1">
      <c r="A15158" s="198"/>
    </row>
    <row r="15159" spans="1:1" s="199" customFormat="1" ht="12" hidden="1" customHeight="1">
      <c r="A15159" s="198"/>
    </row>
    <row r="15160" spans="1:1" s="199" customFormat="1" ht="12" hidden="1" customHeight="1">
      <c r="A15160" s="198"/>
    </row>
    <row r="15161" spans="1:1" s="199" customFormat="1" ht="12" hidden="1" customHeight="1">
      <c r="A15161" s="198"/>
    </row>
    <row r="15162" spans="1:1" s="199" customFormat="1" ht="12" hidden="1" customHeight="1">
      <c r="A15162" s="198"/>
    </row>
    <row r="15163" spans="1:1" s="199" customFormat="1" ht="12" hidden="1" customHeight="1">
      <c r="A15163" s="198"/>
    </row>
    <row r="15164" spans="1:1" s="199" customFormat="1" ht="12" hidden="1" customHeight="1">
      <c r="A15164" s="198"/>
    </row>
    <row r="15165" spans="1:1" s="199" customFormat="1" ht="12" hidden="1" customHeight="1">
      <c r="A15165" s="198"/>
    </row>
    <row r="15166" spans="1:1" s="199" customFormat="1" ht="12" hidden="1" customHeight="1">
      <c r="A15166" s="198"/>
    </row>
    <row r="15167" spans="1:1" s="199" customFormat="1" ht="12" hidden="1" customHeight="1">
      <c r="A15167" s="198"/>
    </row>
    <row r="15168" spans="1:1" s="199" customFormat="1" ht="12" hidden="1" customHeight="1">
      <c r="A15168" s="198"/>
    </row>
    <row r="15169" spans="1:1" s="199" customFormat="1" ht="12" hidden="1" customHeight="1">
      <c r="A15169" s="198"/>
    </row>
    <row r="15170" spans="1:1" s="199" customFormat="1" ht="12" hidden="1" customHeight="1">
      <c r="A15170" s="198"/>
    </row>
    <row r="15171" spans="1:1" s="199" customFormat="1" ht="12" hidden="1" customHeight="1">
      <c r="A15171" s="198"/>
    </row>
    <row r="15172" spans="1:1" s="199" customFormat="1" ht="12" hidden="1" customHeight="1">
      <c r="A15172" s="198"/>
    </row>
    <row r="15173" spans="1:1" s="199" customFormat="1" ht="12" hidden="1" customHeight="1">
      <c r="A15173" s="198"/>
    </row>
    <row r="15174" spans="1:1" s="199" customFormat="1" ht="12" hidden="1" customHeight="1">
      <c r="A15174" s="198"/>
    </row>
    <row r="15175" spans="1:1" s="199" customFormat="1" ht="12" hidden="1" customHeight="1">
      <c r="A15175" s="198"/>
    </row>
    <row r="15176" spans="1:1" s="199" customFormat="1" ht="12" hidden="1" customHeight="1">
      <c r="A15176" s="198"/>
    </row>
    <row r="15177" spans="1:1" s="199" customFormat="1" ht="12" hidden="1" customHeight="1">
      <c r="A15177" s="198"/>
    </row>
    <row r="15178" spans="1:1" s="199" customFormat="1" ht="12" hidden="1" customHeight="1">
      <c r="A15178" s="198"/>
    </row>
    <row r="15179" spans="1:1" s="199" customFormat="1" ht="12" hidden="1" customHeight="1">
      <c r="A15179" s="198"/>
    </row>
    <row r="15180" spans="1:1" s="199" customFormat="1" ht="12" hidden="1" customHeight="1">
      <c r="A15180" s="198"/>
    </row>
    <row r="15181" spans="1:1" s="199" customFormat="1" ht="12" hidden="1" customHeight="1">
      <c r="A15181" s="198"/>
    </row>
    <row r="15182" spans="1:1" s="199" customFormat="1" ht="12" hidden="1" customHeight="1">
      <c r="A15182" s="198"/>
    </row>
    <row r="15183" spans="1:1" s="199" customFormat="1" ht="12" hidden="1" customHeight="1">
      <c r="A15183" s="198"/>
    </row>
    <row r="15184" spans="1:1" s="199" customFormat="1" ht="12" hidden="1" customHeight="1">
      <c r="A15184" s="198"/>
    </row>
    <row r="15185" spans="1:1" s="199" customFormat="1" ht="12" hidden="1" customHeight="1">
      <c r="A15185" s="198"/>
    </row>
    <row r="15186" spans="1:1" s="199" customFormat="1" ht="12" hidden="1" customHeight="1">
      <c r="A15186" s="198"/>
    </row>
    <row r="15187" spans="1:1" s="199" customFormat="1" ht="12" hidden="1" customHeight="1">
      <c r="A15187" s="198"/>
    </row>
    <row r="15188" spans="1:1" s="199" customFormat="1" ht="12" hidden="1" customHeight="1">
      <c r="A15188" s="198"/>
    </row>
    <row r="15189" spans="1:1" s="199" customFormat="1" ht="12" hidden="1" customHeight="1">
      <c r="A15189" s="198"/>
    </row>
    <row r="15190" spans="1:1" s="199" customFormat="1" ht="12" hidden="1" customHeight="1">
      <c r="A15190" s="198"/>
    </row>
    <row r="15191" spans="1:1" s="199" customFormat="1" ht="12" hidden="1" customHeight="1">
      <c r="A15191" s="198"/>
    </row>
    <row r="15192" spans="1:1" s="199" customFormat="1" ht="12" hidden="1" customHeight="1">
      <c r="A15192" s="198"/>
    </row>
    <row r="15193" spans="1:1" s="199" customFormat="1" ht="12" hidden="1" customHeight="1">
      <c r="A15193" s="198"/>
    </row>
    <row r="15194" spans="1:1" s="199" customFormat="1" ht="12" hidden="1" customHeight="1">
      <c r="A15194" s="198"/>
    </row>
    <row r="15195" spans="1:1" s="199" customFormat="1" ht="12" hidden="1" customHeight="1">
      <c r="A15195" s="198"/>
    </row>
    <row r="15196" spans="1:1" s="199" customFormat="1" ht="12" hidden="1" customHeight="1">
      <c r="A15196" s="198"/>
    </row>
    <row r="15197" spans="1:1" s="199" customFormat="1" ht="12" hidden="1" customHeight="1">
      <c r="A15197" s="198"/>
    </row>
    <row r="15198" spans="1:1" s="199" customFormat="1" ht="12" hidden="1" customHeight="1">
      <c r="A15198" s="198"/>
    </row>
    <row r="15199" spans="1:1" s="199" customFormat="1" ht="12" hidden="1" customHeight="1">
      <c r="A15199" s="198"/>
    </row>
    <row r="15200" spans="1:1" s="199" customFormat="1" ht="12" hidden="1" customHeight="1">
      <c r="A15200" s="198"/>
    </row>
    <row r="15201" spans="1:1" s="199" customFormat="1" ht="12" hidden="1" customHeight="1">
      <c r="A15201" s="198"/>
    </row>
    <row r="15202" spans="1:1" s="199" customFormat="1" ht="12" hidden="1" customHeight="1">
      <c r="A15202" s="198"/>
    </row>
    <row r="15203" spans="1:1" s="199" customFormat="1" ht="12" hidden="1" customHeight="1">
      <c r="A15203" s="198"/>
    </row>
    <row r="15204" spans="1:1" s="199" customFormat="1" ht="12" hidden="1" customHeight="1">
      <c r="A15204" s="198"/>
    </row>
    <row r="15205" spans="1:1" s="199" customFormat="1" ht="12" hidden="1" customHeight="1">
      <c r="A15205" s="198"/>
    </row>
    <row r="15206" spans="1:1" s="199" customFormat="1" ht="12" hidden="1" customHeight="1">
      <c r="A15206" s="198"/>
    </row>
    <row r="15207" spans="1:1" s="199" customFormat="1" ht="12" hidden="1" customHeight="1">
      <c r="A15207" s="198"/>
    </row>
    <row r="15208" spans="1:1" s="199" customFormat="1" ht="12" hidden="1" customHeight="1">
      <c r="A15208" s="198"/>
    </row>
    <row r="15209" spans="1:1" s="199" customFormat="1" ht="12" hidden="1" customHeight="1">
      <c r="A15209" s="198"/>
    </row>
    <row r="15210" spans="1:1" s="199" customFormat="1" ht="12" hidden="1" customHeight="1">
      <c r="A15210" s="198"/>
    </row>
    <row r="15211" spans="1:1" s="199" customFormat="1" ht="12" hidden="1" customHeight="1">
      <c r="A15211" s="198"/>
    </row>
    <row r="15212" spans="1:1" s="199" customFormat="1" ht="12" hidden="1" customHeight="1">
      <c r="A15212" s="198"/>
    </row>
    <row r="15213" spans="1:1" s="199" customFormat="1" ht="12" hidden="1" customHeight="1">
      <c r="A15213" s="198"/>
    </row>
    <row r="15214" spans="1:1" s="199" customFormat="1" ht="12" hidden="1" customHeight="1">
      <c r="A15214" s="198"/>
    </row>
    <row r="15215" spans="1:1" s="199" customFormat="1" ht="12" hidden="1" customHeight="1">
      <c r="A15215" s="198"/>
    </row>
    <row r="15216" spans="1:1" s="199" customFormat="1" ht="12" hidden="1" customHeight="1">
      <c r="A15216" s="198"/>
    </row>
    <row r="15217" spans="1:1" s="199" customFormat="1" ht="12" hidden="1" customHeight="1">
      <c r="A15217" s="198"/>
    </row>
    <row r="15218" spans="1:1" s="199" customFormat="1" ht="12" hidden="1" customHeight="1">
      <c r="A15218" s="198"/>
    </row>
    <row r="15219" spans="1:1" s="199" customFormat="1" ht="12" hidden="1" customHeight="1">
      <c r="A15219" s="198"/>
    </row>
    <row r="15220" spans="1:1" s="199" customFormat="1" ht="12" hidden="1" customHeight="1">
      <c r="A15220" s="198"/>
    </row>
    <row r="15221" spans="1:1" s="199" customFormat="1" ht="12" hidden="1" customHeight="1">
      <c r="A15221" s="198"/>
    </row>
    <row r="15222" spans="1:1" s="199" customFormat="1" ht="12" hidden="1" customHeight="1">
      <c r="A15222" s="198"/>
    </row>
    <row r="15223" spans="1:1" s="199" customFormat="1" ht="12" hidden="1" customHeight="1">
      <c r="A15223" s="198"/>
    </row>
    <row r="15224" spans="1:1" s="199" customFormat="1" ht="12" hidden="1" customHeight="1">
      <c r="A15224" s="198"/>
    </row>
    <row r="15225" spans="1:1" s="199" customFormat="1" ht="12" hidden="1" customHeight="1">
      <c r="A15225" s="198"/>
    </row>
    <row r="15226" spans="1:1" s="199" customFormat="1" ht="12" hidden="1" customHeight="1">
      <c r="A15226" s="198"/>
    </row>
    <row r="15227" spans="1:1" s="199" customFormat="1" ht="12" hidden="1" customHeight="1">
      <c r="A15227" s="198"/>
    </row>
    <row r="15228" spans="1:1" s="199" customFormat="1" ht="12" hidden="1" customHeight="1">
      <c r="A15228" s="198"/>
    </row>
    <row r="15229" spans="1:1" s="199" customFormat="1" ht="12" hidden="1" customHeight="1">
      <c r="A15229" s="198"/>
    </row>
    <row r="15230" spans="1:1" s="199" customFormat="1" ht="12" hidden="1" customHeight="1">
      <c r="A15230" s="198"/>
    </row>
    <row r="15231" spans="1:1" s="199" customFormat="1" ht="12" hidden="1" customHeight="1">
      <c r="A15231" s="198"/>
    </row>
    <row r="15232" spans="1:1" s="199" customFormat="1" ht="12" hidden="1" customHeight="1">
      <c r="A15232" s="198"/>
    </row>
    <row r="15233" spans="1:1" s="199" customFormat="1" ht="12" hidden="1" customHeight="1">
      <c r="A15233" s="198"/>
    </row>
    <row r="15234" spans="1:1" s="199" customFormat="1" ht="12" hidden="1" customHeight="1">
      <c r="A15234" s="198"/>
    </row>
    <row r="15235" spans="1:1" s="199" customFormat="1" ht="12" hidden="1" customHeight="1">
      <c r="A15235" s="198"/>
    </row>
    <row r="15236" spans="1:1" s="199" customFormat="1" ht="12" hidden="1" customHeight="1">
      <c r="A15236" s="198"/>
    </row>
    <row r="15237" spans="1:1" s="199" customFormat="1" ht="12" hidden="1" customHeight="1">
      <c r="A15237" s="198"/>
    </row>
    <row r="15238" spans="1:1" s="199" customFormat="1" ht="12" hidden="1" customHeight="1">
      <c r="A15238" s="198"/>
    </row>
    <row r="15239" spans="1:1" s="199" customFormat="1" ht="12" hidden="1" customHeight="1">
      <c r="A15239" s="198"/>
    </row>
    <row r="15240" spans="1:1" s="199" customFormat="1" ht="12" hidden="1" customHeight="1">
      <c r="A15240" s="198"/>
    </row>
    <row r="15241" spans="1:1" s="199" customFormat="1" ht="12" hidden="1" customHeight="1">
      <c r="A15241" s="198"/>
    </row>
    <row r="15242" spans="1:1" s="199" customFormat="1" ht="12" hidden="1" customHeight="1">
      <c r="A15242" s="198"/>
    </row>
    <row r="15243" spans="1:1" s="199" customFormat="1" ht="12" hidden="1" customHeight="1">
      <c r="A15243" s="198"/>
    </row>
    <row r="15244" spans="1:1" s="199" customFormat="1" ht="12" hidden="1" customHeight="1">
      <c r="A15244" s="198"/>
    </row>
    <row r="15245" spans="1:1" s="199" customFormat="1" ht="12" hidden="1" customHeight="1">
      <c r="A15245" s="198"/>
    </row>
    <row r="15246" spans="1:1" s="199" customFormat="1" ht="12" hidden="1" customHeight="1">
      <c r="A15246" s="198"/>
    </row>
    <row r="15247" spans="1:1" s="199" customFormat="1" ht="12" hidden="1" customHeight="1">
      <c r="A15247" s="198"/>
    </row>
    <row r="15248" spans="1:1" s="199" customFormat="1" ht="12" hidden="1" customHeight="1">
      <c r="A15248" s="198"/>
    </row>
    <row r="15249" spans="1:1" s="199" customFormat="1" ht="12" hidden="1" customHeight="1">
      <c r="A15249" s="198"/>
    </row>
    <row r="15250" spans="1:1" s="199" customFormat="1" ht="12" hidden="1" customHeight="1">
      <c r="A15250" s="198"/>
    </row>
    <row r="15251" spans="1:1" s="199" customFormat="1" ht="12" hidden="1" customHeight="1">
      <c r="A15251" s="198"/>
    </row>
    <row r="15252" spans="1:1" s="199" customFormat="1" ht="12" hidden="1" customHeight="1">
      <c r="A15252" s="198"/>
    </row>
    <row r="15253" spans="1:1" s="199" customFormat="1" ht="12" hidden="1" customHeight="1">
      <c r="A15253" s="198"/>
    </row>
    <row r="15254" spans="1:1" s="199" customFormat="1" ht="12" hidden="1" customHeight="1">
      <c r="A15254" s="198"/>
    </row>
    <row r="15255" spans="1:1" s="199" customFormat="1" ht="12" hidden="1" customHeight="1">
      <c r="A15255" s="198"/>
    </row>
    <row r="15256" spans="1:1" s="199" customFormat="1" ht="12" hidden="1" customHeight="1">
      <c r="A15256" s="198"/>
    </row>
    <row r="15257" spans="1:1" s="199" customFormat="1" ht="12" hidden="1" customHeight="1">
      <c r="A15257" s="198"/>
    </row>
    <row r="15258" spans="1:1" s="199" customFormat="1" ht="12" hidden="1" customHeight="1">
      <c r="A15258" s="198"/>
    </row>
    <row r="15259" spans="1:1" s="199" customFormat="1" ht="12" hidden="1" customHeight="1">
      <c r="A15259" s="198"/>
    </row>
    <row r="15260" spans="1:1" s="199" customFormat="1" ht="12" hidden="1" customHeight="1">
      <c r="A15260" s="198"/>
    </row>
    <row r="15261" spans="1:1" s="199" customFormat="1" ht="12" hidden="1" customHeight="1">
      <c r="A15261" s="198"/>
    </row>
    <row r="15262" spans="1:1" s="199" customFormat="1" ht="12" hidden="1" customHeight="1">
      <c r="A15262" s="198"/>
    </row>
    <row r="15263" spans="1:1" s="199" customFormat="1" ht="12" hidden="1" customHeight="1">
      <c r="A15263" s="198"/>
    </row>
    <row r="15264" spans="1:1" s="199" customFormat="1" ht="12" hidden="1" customHeight="1">
      <c r="A15264" s="198"/>
    </row>
    <row r="15265" spans="1:1" s="199" customFormat="1" ht="12" hidden="1" customHeight="1">
      <c r="A15265" s="198"/>
    </row>
    <row r="15266" spans="1:1" s="199" customFormat="1" ht="12" hidden="1" customHeight="1">
      <c r="A15266" s="198"/>
    </row>
    <row r="15267" spans="1:1" s="199" customFormat="1" ht="12" hidden="1" customHeight="1">
      <c r="A15267" s="198"/>
    </row>
    <row r="15268" spans="1:1" s="199" customFormat="1" ht="12" hidden="1" customHeight="1">
      <c r="A15268" s="198"/>
    </row>
    <row r="15269" spans="1:1" s="199" customFormat="1" ht="12" hidden="1" customHeight="1">
      <c r="A15269" s="198"/>
    </row>
    <row r="15270" spans="1:1" s="199" customFormat="1" ht="12" hidden="1" customHeight="1">
      <c r="A15270" s="198"/>
    </row>
    <row r="15271" spans="1:1" s="199" customFormat="1" ht="12" hidden="1" customHeight="1">
      <c r="A15271" s="198"/>
    </row>
    <row r="15272" spans="1:1" s="199" customFormat="1" ht="12" hidden="1" customHeight="1">
      <c r="A15272" s="198"/>
    </row>
    <row r="15273" spans="1:1" s="199" customFormat="1" ht="12" hidden="1" customHeight="1">
      <c r="A15273" s="198"/>
    </row>
    <row r="15274" spans="1:1" s="199" customFormat="1" ht="12" hidden="1" customHeight="1">
      <c r="A15274" s="198"/>
    </row>
    <row r="15275" spans="1:1" s="199" customFormat="1" ht="12" hidden="1" customHeight="1">
      <c r="A15275" s="198"/>
    </row>
    <row r="15276" spans="1:1" s="199" customFormat="1" ht="12" hidden="1" customHeight="1">
      <c r="A15276" s="198"/>
    </row>
    <row r="15277" spans="1:1" s="199" customFormat="1" ht="12" hidden="1" customHeight="1">
      <c r="A15277" s="198"/>
    </row>
    <row r="15278" spans="1:1" s="199" customFormat="1" ht="12" hidden="1" customHeight="1">
      <c r="A15278" s="198"/>
    </row>
    <row r="15279" spans="1:1" s="199" customFormat="1" ht="12" hidden="1" customHeight="1">
      <c r="A15279" s="198"/>
    </row>
    <row r="15280" spans="1:1" s="199" customFormat="1" ht="12" hidden="1" customHeight="1">
      <c r="A15280" s="198"/>
    </row>
    <row r="15281" spans="1:1" s="199" customFormat="1" ht="12" hidden="1" customHeight="1">
      <c r="A15281" s="198"/>
    </row>
    <row r="15282" spans="1:1" s="199" customFormat="1" ht="12" hidden="1" customHeight="1">
      <c r="A15282" s="198"/>
    </row>
    <row r="15283" spans="1:1" s="199" customFormat="1" ht="12" hidden="1" customHeight="1">
      <c r="A15283" s="198"/>
    </row>
    <row r="15284" spans="1:1" s="199" customFormat="1" ht="12" hidden="1" customHeight="1">
      <c r="A15284" s="198"/>
    </row>
    <row r="15285" spans="1:1" s="199" customFormat="1" ht="12" hidden="1" customHeight="1">
      <c r="A15285" s="198"/>
    </row>
    <row r="15286" spans="1:1" s="199" customFormat="1" ht="12" hidden="1" customHeight="1">
      <c r="A15286" s="198"/>
    </row>
    <row r="15287" spans="1:1" s="199" customFormat="1" ht="12" hidden="1" customHeight="1">
      <c r="A15287" s="198"/>
    </row>
    <row r="15288" spans="1:1" s="199" customFormat="1" ht="12" hidden="1" customHeight="1">
      <c r="A15288" s="198"/>
    </row>
    <row r="15289" spans="1:1" s="199" customFormat="1" ht="12" hidden="1" customHeight="1">
      <c r="A15289" s="198"/>
    </row>
    <row r="15290" spans="1:1" s="199" customFormat="1" ht="12" hidden="1" customHeight="1">
      <c r="A15290" s="198"/>
    </row>
    <row r="15291" spans="1:1" s="199" customFormat="1" ht="12" hidden="1" customHeight="1">
      <c r="A15291" s="198"/>
    </row>
    <row r="15292" spans="1:1" s="199" customFormat="1" ht="12" hidden="1" customHeight="1">
      <c r="A15292" s="198"/>
    </row>
    <row r="15293" spans="1:1" s="199" customFormat="1" ht="12" hidden="1" customHeight="1">
      <c r="A15293" s="198"/>
    </row>
    <row r="15294" spans="1:1" s="199" customFormat="1" ht="12" hidden="1" customHeight="1">
      <c r="A15294" s="198"/>
    </row>
    <row r="15295" spans="1:1" s="199" customFormat="1" ht="12" hidden="1" customHeight="1">
      <c r="A15295" s="198"/>
    </row>
    <row r="15296" spans="1:1" s="199" customFormat="1" ht="12" hidden="1" customHeight="1">
      <c r="A15296" s="198"/>
    </row>
    <row r="15297" spans="1:1" s="199" customFormat="1" ht="12" hidden="1" customHeight="1">
      <c r="A15297" s="198"/>
    </row>
    <row r="15298" spans="1:1" s="199" customFormat="1" ht="12" hidden="1" customHeight="1">
      <c r="A15298" s="198"/>
    </row>
    <row r="15299" spans="1:1" s="199" customFormat="1" ht="12" hidden="1" customHeight="1">
      <c r="A15299" s="198"/>
    </row>
    <row r="15300" spans="1:1" s="199" customFormat="1" ht="12" hidden="1" customHeight="1">
      <c r="A15300" s="198"/>
    </row>
    <row r="15301" spans="1:1" s="199" customFormat="1" ht="12" hidden="1" customHeight="1">
      <c r="A15301" s="198"/>
    </row>
    <row r="15302" spans="1:1" s="199" customFormat="1" ht="12" hidden="1" customHeight="1">
      <c r="A15302" s="198"/>
    </row>
    <row r="15303" spans="1:1" s="199" customFormat="1" ht="12" hidden="1" customHeight="1">
      <c r="A15303" s="198"/>
    </row>
    <row r="15304" spans="1:1" s="199" customFormat="1" ht="12" hidden="1" customHeight="1">
      <c r="A15304" s="198"/>
    </row>
    <row r="15305" spans="1:1" s="199" customFormat="1" ht="12" hidden="1" customHeight="1">
      <c r="A15305" s="198"/>
    </row>
    <row r="15306" spans="1:1" s="199" customFormat="1" ht="12" hidden="1" customHeight="1">
      <c r="A15306" s="198"/>
    </row>
    <row r="15307" spans="1:1" s="199" customFormat="1" ht="12" hidden="1" customHeight="1">
      <c r="A15307" s="198"/>
    </row>
    <row r="15308" spans="1:1" s="199" customFormat="1" ht="12" hidden="1" customHeight="1">
      <c r="A15308" s="198"/>
    </row>
    <row r="15309" spans="1:1" s="199" customFormat="1" ht="12" hidden="1" customHeight="1">
      <c r="A15309" s="198"/>
    </row>
    <row r="15310" spans="1:1" s="199" customFormat="1" ht="12" hidden="1" customHeight="1">
      <c r="A15310" s="198"/>
    </row>
    <row r="15311" spans="1:1" s="199" customFormat="1" ht="12" hidden="1" customHeight="1">
      <c r="A15311" s="198"/>
    </row>
    <row r="15312" spans="1:1" s="199" customFormat="1" ht="12" hidden="1" customHeight="1">
      <c r="A15312" s="198"/>
    </row>
    <row r="15313" spans="1:1" s="199" customFormat="1" ht="12" hidden="1" customHeight="1">
      <c r="A15313" s="198"/>
    </row>
    <row r="15314" spans="1:1" s="199" customFormat="1" ht="12" hidden="1" customHeight="1">
      <c r="A15314" s="198"/>
    </row>
    <row r="15315" spans="1:1" s="199" customFormat="1" ht="12" hidden="1" customHeight="1">
      <c r="A15315" s="198"/>
    </row>
    <row r="15316" spans="1:1" s="199" customFormat="1" ht="12" hidden="1" customHeight="1">
      <c r="A15316" s="198"/>
    </row>
    <row r="15317" spans="1:1" s="199" customFormat="1" ht="12" hidden="1" customHeight="1">
      <c r="A15317" s="198"/>
    </row>
    <row r="15318" spans="1:1" s="199" customFormat="1" ht="12" hidden="1" customHeight="1">
      <c r="A15318" s="198"/>
    </row>
    <row r="15319" spans="1:1" s="199" customFormat="1" ht="12" hidden="1" customHeight="1">
      <c r="A15319" s="198"/>
    </row>
    <row r="15320" spans="1:1" s="199" customFormat="1" ht="12" hidden="1" customHeight="1">
      <c r="A15320" s="198"/>
    </row>
    <row r="15321" spans="1:1" s="199" customFormat="1" ht="12" hidden="1" customHeight="1">
      <c r="A15321" s="198"/>
    </row>
    <row r="15322" spans="1:1" s="199" customFormat="1" ht="12" hidden="1" customHeight="1">
      <c r="A15322" s="198"/>
    </row>
    <row r="15323" spans="1:1" s="199" customFormat="1" ht="12" hidden="1" customHeight="1">
      <c r="A15323" s="198"/>
    </row>
    <row r="15324" spans="1:1" s="199" customFormat="1" ht="12" hidden="1" customHeight="1">
      <c r="A15324" s="198"/>
    </row>
    <row r="15325" spans="1:1" s="199" customFormat="1" ht="12" hidden="1" customHeight="1">
      <c r="A15325" s="198"/>
    </row>
    <row r="15326" spans="1:1" s="199" customFormat="1" ht="12" hidden="1" customHeight="1">
      <c r="A15326" s="198"/>
    </row>
    <row r="15327" spans="1:1" s="199" customFormat="1" ht="12" hidden="1" customHeight="1">
      <c r="A15327" s="198"/>
    </row>
    <row r="15328" spans="1:1" s="199" customFormat="1" ht="12" hidden="1" customHeight="1">
      <c r="A15328" s="198"/>
    </row>
    <row r="15329" spans="1:1" s="199" customFormat="1" ht="12" hidden="1" customHeight="1">
      <c r="A15329" s="198"/>
    </row>
    <row r="15330" spans="1:1" s="199" customFormat="1" ht="12" hidden="1" customHeight="1">
      <c r="A15330" s="198"/>
    </row>
    <row r="15331" spans="1:1" s="199" customFormat="1" ht="12" hidden="1" customHeight="1">
      <c r="A15331" s="198"/>
    </row>
    <row r="15332" spans="1:1" s="199" customFormat="1" ht="12" hidden="1" customHeight="1">
      <c r="A15332" s="198"/>
    </row>
    <row r="15333" spans="1:1" s="199" customFormat="1" ht="12" hidden="1" customHeight="1">
      <c r="A15333" s="198"/>
    </row>
    <row r="15334" spans="1:1" s="199" customFormat="1" ht="12" hidden="1" customHeight="1">
      <c r="A15334" s="198"/>
    </row>
    <row r="15335" spans="1:1" s="199" customFormat="1" ht="12" hidden="1" customHeight="1">
      <c r="A15335" s="198"/>
    </row>
    <row r="15336" spans="1:1" s="199" customFormat="1" ht="12" hidden="1" customHeight="1">
      <c r="A15336" s="198"/>
    </row>
    <row r="15337" spans="1:1" s="199" customFormat="1" ht="12" hidden="1" customHeight="1">
      <c r="A15337" s="198"/>
    </row>
    <row r="15338" spans="1:1" s="199" customFormat="1" ht="12" hidden="1" customHeight="1">
      <c r="A15338" s="198"/>
    </row>
    <row r="15339" spans="1:1" s="199" customFormat="1" ht="12" hidden="1" customHeight="1">
      <c r="A15339" s="198"/>
    </row>
    <row r="15340" spans="1:1" s="199" customFormat="1" ht="12" hidden="1" customHeight="1">
      <c r="A15340" s="198"/>
    </row>
    <row r="15341" spans="1:1" s="199" customFormat="1" ht="12" hidden="1" customHeight="1">
      <c r="A15341" s="198"/>
    </row>
    <row r="15342" spans="1:1" s="199" customFormat="1" ht="12" hidden="1" customHeight="1">
      <c r="A15342" s="198"/>
    </row>
    <row r="15343" spans="1:1" s="199" customFormat="1" ht="12" hidden="1" customHeight="1">
      <c r="A15343" s="198"/>
    </row>
    <row r="15344" spans="1:1" s="199" customFormat="1" ht="12" hidden="1" customHeight="1">
      <c r="A15344" s="198"/>
    </row>
    <row r="15345" spans="1:1" s="199" customFormat="1" ht="12" hidden="1" customHeight="1">
      <c r="A15345" s="198"/>
    </row>
    <row r="15346" spans="1:1" s="199" customFormat="1" ht="12" hidden="1" customHeight="1">
      <c r="A15346" s="198"/>
    </row>
    <row r="15347" spans="1:1" s="199" customFormat="1" ht="12" hidden="1" customHeight="1">
      <c r="A15347" s="198"/>
    </row>
    <row r="15348" spans="1:1" s="199" customFormat="1" ht="12" hidden="1" customHeight="1">
      <c r="A15348" s="198"/>
    </row>
    <row r="15349" spans="1:1" s="199" customFormat="1" ht="12" hidden="1" customHeight="1">
      <c r="A15349" s="198"/>
    </row>
    <row r="15350" spans="1:1" s="199" customFormat="1" ht="12" hidden="1" customHeight="1">
      <c r="A15350" s="198"/>
    </row>
    <row r="15351" spans="1:1" s="199" customFormat="1" ht="12" hidden="1" customHeight="1">
      <c r="A15351" s="198"/>
    </row>
    <row r="15352" spans="1:1" s="199" customFormat="1" ht="12" hidden="1" customHeight="1">
      <c r="A15352" s="198"/>
    </row>
    <row r="15353" spans="1:1" s="199" customFormat="1" ht="12" hidden="1" customHeight="1">
      <c r="A15353" s="198"/>
    </row>
    <row r="15354" spans="1:1" s="199" customFormat="1" ht="12" hidden="1" customHeight="1">
      <c r="A15354" s="198"/>
    </row>
    <row r="15355" spans="1:1" s="199" customFormat="1" ht="12" hidden="1" customHeight="1">
      <c r="A15355" s="198"/>
    </row>
    <row r="15356" spans="1:1" s="199" customFormat="1" ht="12" hidden="1" customHeight="1">
      <c r="A15356" s="198"/>
    </row>
    <row r="15357" spans="1:1" s="199" customFormat="1" ht="12" hidden="1" customHeight="1">
      <c r="A15357" s="198"/>
    </row>
    <row r="15358" spans="1:1" s="199" customFormat="1" ht="12" hidden="1" customHeight="1">
      <c r="A15358" s="198"/>
    </row>
    <row r="15359" spans="1:1" s="199" customFormat="1" ht="12" hidden="1" customHeight="1">
      <c r="A15359" s="198"/>
    </row>
    <row r="15360" spans="1:1" s="199" customFormat="1" ht="12" hidden="1" customHeight="1">
      <c r="A15360" s="198"/>
    </row>
    <row r="15361" spans="1:1" s="199" customFormat="1" ht="12" hidden="1" customHeight="1">
      <c r="A15361" s="198"/>
    </row>
    <row r="15362" spans="1:1" s="199" customFormat="1" ht="12" hidden="1" customHeight="1">
      <c r="A15362" s="198"/>
    </row>
    <row r="15363" spans="1:1" s="199" customFormat="1" ht="12" hidden="1" customHeight="1">
      <c r="A15363" s="198"/>
    </row>
    <row r="15364" spans="1:1" s="199" customFormat="1" ht="12" hidden="1" customHeight="1">
      <c r="A15364" s="198"/>
    </row>
    <row r="15365" spans="1:1" s="199" customFormat="1" ht="12" hidden="1" customHeight="1">
      <c r="A15365" s="198"/>
    </row>
    <row r="15366" spans="1:1" s="199" customFormat="1" ht="12" hidden="1" customHeight="1">
      <c r="A15366" s="198"/>
    </row>
    <row r="15367" spans="1:1" s="199" customFormat="1" ht="12" hidden="1" customHeight="1">
      <c r="A15367" s="198"/>
    </row>
    <row r="15368" spans="1:1" s="199" customFormat="1" ht="12" hidden="1" customHeight="1">
      <c r="A15368" s="198"/>
    </row>
    <row r="15369" spans="1:1" s="199" customFormat="1" ht="12" hidden="1" customHeight="1">
      <c r="A15369" s="198"/>
    </row>
    <row r="15370" spans="1:1" s="199" customFormat="1" ht="12" hidden="1" customHeight="1">
      <c r="A15370" s="198"/>
    </row>
    <row r="15371" spans="1:1" s="199" customFormat="1" ht="12" hidden="1" customHeight="1">
      <c r="A15371" s="198"/>
    </row>
    <row r="15372" spans="1:1" s="199" customFormat="1" ht="12" hidden="1" customHeight="1">
      <c r="A15372" s="198"/>
    </row>
    <row r="15373" spans="1:1" s="199" customFormat="1" ht="12" hidden="1" customHeight="1">
      <c r="A15373" s="198"/>
    </row>
    <row r="15374" spans="1:1" s="199" customFormat="1" ht="12" hidden="1" customHeight="1">
      <c r="A15374" s="198"/>
    </row>
    <row r="15375" spans="1:1" s="199" customFormat="1" ht="12" hidden="1" customHeight="1">
      <c r="A15375" s="198"/>
    </row>
    <row r="15376" spans="1:1" s="199" customFormat="1" ht="12" hidden="1" customHeight="1">
      <c r="A15376" s="198"/>
    </row>
    <row r="15377" spans="1:1" s="199" customFormat="1" ht="12" hidden="1" customHeight="1">
      <c r="A15377" s="198"/>
    </row>
    <row r="15378" spans="1:1" s="199" customFormat="1" ht="12" hidden="1" customHeight="1">
      <c r="A15378" s="198"/>
    </row>
    <row r="15379" spans="1:1" s="199" customFormat="1" ht="12" hidden="1" customHeight="1">
      <c r="A15379" s="198"/>
    </row>
    <row r="15380" spans="1:1" s="199" customFormat="1" ht="12" hidden="1" customHeight="1">
      <c r="A15380" s="198"/>
    </row>
    <row r="15381" spans="1:1" s="199" customFormat="1" ht="12" hidden="1" customHeight="1">
      <c r="A15381" s="198"/>
    </row>
    <row r="15382" spans="1:1" s="199" customFormat="1" ht="12" hidden="1" customHeight="1">
      <c r="A15382" s="198"/>
    </row>
    <row r="15383" spans="1:1" s="199" customFormat="1" ht="12" hidden="1" customHeight="1">
      <c r="A15383" s="198"/>
    </row>
    <row r="15384" spans="1:1" s="199" customFormat="1" ht="12" hidden="1" customHeight="1">
      <c r="A15384" s="198"/>
    </row>
    <row r="15385" spans="1:1" s="199" customFormat="1" ht="12" hidden="1" customHeight="1">
      <c r="A15385" s="198"/>
    </row>
    <row r="15386" spans="1:1" s="199" customFormat="1" ht="12" hidden="1" customHeight="1">
      <c r="A15386" s="198"/>
    </row>
    <row r="15387" spans="1:1" s="199" customFormat="1" ht="12" hidden="1" customHeight="1">
      <c r="A15387" s="198"/>
    </row>
    <row r="15388" spans="1:1" s="199" customFormat="1" ht="12" hidden="1" customHeight="1">
      <c r="A15388" s="198"/>
    </row>
    <row r="15389" spans="1:1" s="199" customFormat="1" ht="12" hidden="1" customHeight="1">
      <c r="A15389" s="198"/>
    </row>
    <row r="15390" spans="1:1" s="199" customFormat="1" ht="12" hidden="1" customHeight="1">
      <c r="A15390" s="198"/>
    </row>
    <row r="15391" spans="1:1" s="199" customFormat="1" ht="12" hidden="1" customHeight="1">
      <c r="A15391" s="198"/>
    </row>
    <row r="15392" spans="1:1" s="199" customFormat="1" ht="12" hidden="1" customHeight="1">
      <c r="A15392" s="198"/>
    </row>
    <row r="15393" spans="1:1" s="199" customFormat="1" ht="12" hidden="1" customHeight="1">
      <c r="A15393" s="198"/>
    </row>
    <row r="15394" spans="1:1" s="199" customFormat="1" ht="12" hidden="1" customHeight="1">
      <c r="A15394" s="198"/>
    </row>
    <row r="15395" spans="1:1" s="199" customFormat="1" ht="12" hidden="1" customHeight="1">
      <c r="A15395" s="198"/>
    </row>
    <row r="15396" spans="1:1" s="199" customFormat="1" ht="12" hidden="1" customHeight="1">
      <c r="A15396" s="198"/>
    </row>
    <row r="15397" spans="1:1" s="199" customFormat="1" ht="12" hidden="1" customHeight="1">
      <c r="A15397" s="198"/>
    </row>
    <row r="15398" spans="1:1" s="199" customFormat="1" ht="12" hidden="1" customHeight="1">
      <c r="A15398" s="198"/>
    </row>
    <row r="15399" spans="1:1" s="199" customFormat="1" ht="12" hidden="1" customHeight="1">
      <c r="A15399" s="198"/>
    </row>
    <row r="15400" spans="1:1" s="199" customFormat="1" ht="12" hidden="1" customHeight="1">
      <c r="A15400" s="198"/>
    </row>
    <row r="15401" spans="1:1" s="199" customFormat="1" ht="12" hidden="1" customHeight="1">
      <c r="A15401" s="198"/>
    </row>
    <row r="15402" spans="1:1" s="199" customFormat="1" ht="12" hidden="1" customHeight="1">
      <c r="A15402" s="198"/>
    </row>
    <row r="15403" spans="1:1" s="199" customFormat="1" ht="12" hidden="1" customHeight="1">
      <c r="A15403" s="198"/>
    </row>
    <row r="15404" spans="1:1" s="199" customFormat="1" ht="12" hidden="1" customHeight="1">
      <c r="A15404" s="198"/>
    </row>
    <row r="15405" spans="1:1" s="199" customFormat="1" ht="12" hidden="1" customHeight="1">
      <c r="A15405" s="198"/>
    </row>
    <row r="15406" spans="1:1" s="199" customFormat="1" ht="12" hidden="1" customHeight="1">
      <c r="A15406" s="198"/>
    </row>
    <row r="15407" spans="1:1" s="199" customFormat="1" ht="12" hidden="1" customHeight="1">
      <c r="A15407" s="198"/>
    </row>
    <row r="15408" spans="1:1" s="199" customFormat="1" ht="12" hidden="1" customHeight="1">
      <c r="A15408" s="198"/>
    </row>
    <row r="15409" spans="1:1" s="199" customFormat="1" ht="12" hidden="1" customHeight="1">
      <c r="A15409" s="198"/>
    </row>
    <row r="15410" spans="1:1" s="199" customFormat="1" ht="12" hidden="1" customHeight="1">
      <c r="A15410" s="198"/>
    </row>
    <row r="15411" spans="1:1" s="199" customFormat="1" ht="12" hidden="1" customHeight="1">
      <c r="A15411" s="198"/>
    </row>
    <row r="15412" spans="1:1" s="199" customFormat="1" ht="12" hidden="1" customHeight="1">
      <c r="A15412" s="198"/>
    </row>
    <row r="15413" spans="1:1" s="199" customFormat="1" ht="12" hidden="1" customHeight="1">
      <c r="A15413" s="198"/>
    </row>
    <row r="15414" spans="1:1" s="199" customFormat="1" ht="12" hidden="1" customHeight="1">
      <c r="A15414" s="198"/>
    </row>
    <row r="15415" spans="1:1" s="199" customFormat="1" ht="12" hidden="1" customHeight="1">
      <c r="A15415" s="198"/>
    </row>
    <row r="15416" spans="1:1" s="199" customFormat="1" ht="12" hidden="1" customHeight="1">
      <c r="A15416" s="198"/>
    </row>
    <row r="15417" spans="1:1" s="199" customFormat="1" ht="12" hidden="1" customHeight="1">
      <c r="A15417" s="198"/>
    </row>
    <row r="15418" spans="1:1" s="199" customFormat="1" ht="12" hidden="1" customHeight="1">
      <c r="A15418" s="198"/>
    </row>
    <row r="15419" spans="1:1" s="199" customFormat="1" ht="12" hidden="1" customHeight="1">
      <c r="A15419" s="198"/>
    </row>
    <row r="15420" spans="1:1" s="199" customFormat="1" ht="12" hidden="1" customHeight="1">
      <c r="A15420" s="198"/>
    </row>
    <row r="15421" spans="1:1" s="199" customFormat="1" ht="12" hidden="1" customHeight="1">
      <c r="A15421" s="198"/>
    </row>
    <row r="15422" spans="1:1" s="199" customFormat="1" ht="12" hidden="1" customHeight="1">
      <c r="A15422" s="198"/>
    </row>
    <row r="15423" spans="1:1" s="199" customFormat="1" ht="12" hidden="1" customHeight="1">
      <c r="A15423" s="198"/>
    </row>
    <row r="15424" spans="1:1" s="199" customFormat="1" ht="12" hidden="1" customHeight="1">
      <c r="A15424" s="198"/>
    </row>
    <row r="15425" spans="1:1" s="199" customFormat="1" ht="12" hidden="1" customHeight="1">
      <c r="A15425" s="198"/>
    </row>
    <row r="15426" spans="1:1" s="199" customFormat="1" ht="12" hidden="1" customHeight="1">
      <c r="A15426" s="198"/>
    </row>
    <row r="15427" spans="1:1" s="199" customFormat="1" ht="12" hidden="1" customHeight="1">
      <c r="A15427" s="198"/>
    </row>
    <row r="15428" spans="1:1" s="199" customFormat="1" ht="12" hidden="1" customHeight="1">
      <c r="A15428" s="198"/>
    </row>
    <row r="15429" spans="1:1" s="199" customFormat="1" ht="12" hidden="1" customHeight="1">
      <c r="A15429" s="198"/>
    </row>
    <row r="15430" spans="1:1" s="199" customFormat="1" ht="12" hidden="1" customHeight="1">
      <c r="A15430" s="198"/>
    </row>
    <row r="15431" spans="1:1" s="199" customFormat="1" ht="12" hidden="1" customHeight="1">
      <c r="A15431" s="198"/>
    </row>
    <row r="15432" spans="1:1" s="199" customFormat="1" ht="12" hidden="1" customHeight="1">
      <c r="A15432" s="198"/>
    </row>
    <row r="15433" spans="1:1" s="199" customFormat="1" ht="12" hidden="1" customHeight="1">
      <c r="A15433" s="198"/>
    </row>
    <row r="15434" spans="1:1" s="199" customFormat="1" ht="12" hidden="1" customHeight="1">
      <c r="A15434" s="198"/>
    </row>
    <row r="15435" spans="1:1" s="199" customFormat="1" ht="12" hidden="1" customHeight="1">
      <c r="A15435" s="198"/>
    </row>
    <row r="15436" spans="1:1" s="199" customFormat="1" ht="12" hidden="1" customHeight="1">
      <c r="A15436" s="198"/>
    </row>
    <row r="15437" spans="1:1" s="199" customFormat="1" ht="12" hidden="1" customHeight="1">
      <c r="A15437" s="198"/>
    </row>
    <row r="15438" spans="1:1" s="199" customFormat="1" ht="12" hidden="1" customHeight="1">
      <c r="A15438" s="198"/>
    </row>
    <row r="15439" spans="1:1" s="199" customFormat="1" ht="12" hidden="1" customHeight="1">
      <c r="A15439" s="198"/>
    </row>
    <row r="15440" spans="1:1" s="199" customFormat="1" ht="12" hidden="1" customHeight="1">
      <c r="A15440" s="198"/>
    </row>
    <row r="15441" spans="1:1" s="199" customFormat="1" ht="12" hidden="1" customHeight="1">
      <c r="A15441" s="198"/>
    </row>
    <row r="15442" spans="1:1" s="199" customFormat="1" ht="12" hidden="1" customHeight="1">
      <c r="A15442" s="198"/>
    </row>
    <row r="15443" spans="1:1" s="199" customFormat="1" ht="12" hidden="1" customHeight="1">
      <c r="A15443" s="198"/>
    </row>
    <row r="15444" spans="1:1" s="199" customFormat="1" ht="12" hidden="1" customHeight="1">
      <c r="A15444" s="198"/>
    </row>
    <row r="15445" spans="1:1" s="199" customFormat="1" ht="12" hidden="1" customHeight="1">
      <c r="A15445" s="198"/>
    </row>
    <row r="15446" spans="1:1" s="199" customFormat="1" ht="12" hidden="1" customHeight="1">
      <c r="A15446" s="198"/>
    </row>
    <row r="15447" spans="1:1" s="199" customFormat="1" ht="12" hidden="1" customHeight="1">
      <c r="A15447" s="198"/>
    </row>
    <row r="15448" spans="1:1" s="199" customFormat="1" ht="12" hidden="1" customHeight="1">
      <c r="A15448" s="198"/>
    </row>
    <row r="15449" spans="1:1" s="199" customFormat="1" ht="12" hidden="1" customHeight="1">
      <c r="A15449" s="198"/>
    </row>
    <row r="15450" spans="1:1" s="199" customFormat="1" ht="12" hidden="1" customHeight="1">
      <c r="A15450" s="198"/>
    </row>
    <row r="15451" spans="1:1" s="199" customFormat="1" ht="12" hidden="1" customHeight="1">
      <c r="A15451" s="198"/>
    </row>
    <row r="15452" spans="1:1" s="199" customFormat="1" ht="12" hidden="1" customHeight="1">
      <c r="A15452" s="198"/>
    </row>
    <row r="15453" spans="1:1" s="199" customFormat="1" ht="12" hidden="1" customHeight="1">
      <c r="A15453" s="198"/>
    </row>
    <row r="15454" spans="1:1" s="199" customFormat="1" ht="12" hidden="1" customHeight="1">
      <c r="A15454" s="198"/>
    </row>
    <row r="15455" spans="1:1" s="199" customFormat="1" ht="12" hidden="1" customHeight="1">
      <c r="A15455" s="198"/>
    </row>
    <row r="15456" spans="1:1" s="199" customFormat="1" ht="12" hidden="1" customHeight="1">
      <c r="A15456" s="198"/>
    </row>
    <row r="15457" spans="1:1" s="199" customFormat="1" ht="12" hidden="1" customHeight="1">
      <c r="A15457" s="198"/>
    </row>
    <row r="15458" spans="1:1" s="199" customFormat="1" ht="12" hidden="1" customHeight="1">
      <c r="A15458" s="198"/>
    </row>
    <row r="15459" spans="1:1" s="199" customFormat="1" ht="12" hidden="1" customHeight="1">
      <c r="A15459" s="198"/>
    </row>
    <row r="15460" spans="1:1" s="199" customFormat="1" ht="12" hidden="1" customHeight="1">
      <c r="A15460" s="198"/>
    </row>
    <row r="15461" spans="1:1" s="199" customFormat="1" ht="12" hidden="1" customHeight="1">
      <c r="A15461" s="198"/>
    </row>
    <row r="15462" spans="1:1" s="199" customFormat="1" ht="12" hidden="1" customHeight="1">
      <c r="A15462" s="198"/>
    </row>
    <row r="15463" spans="1:1" s="199" customFormat="1" ht="12" hidden="1" customHeight="1">
      <c r="A15463" s="198"/>
    </row>
    <row r="15464" spans="1:1" s="199" customFormat="1" ht="12" hidden="1" customHeight="1">
      <c r="A15464" s="198"/>
    </row>
    <row r="15465" spans="1:1" s="199" customFormat="1" ht="12" hidden="1" customHeight="1">
      <c r="A15465" s="198"/>
    </row>
    <row r="15466" spans="1:1" s="199" customFormat="1" ht="12" hidden="1" customHeight="1">
      <c r="A15466" s="198"/>
    </row>
    <row r="15467" spans="1:1" s="199" customFormat="1" ht="12" hidden="1" customHeight="1">
      <c r="A15467" s="198"/>
    </row>
    <row r="15468" spans="1:1" s="199" customFormat="1" ht="12" hidden="1" customHeight="1">
      <c r="A15468" s="198"/>
    </row>
    <row r="15469" spans="1:1" s="199" customFormat="1" ht="12" hidden="1" customHeight="1">
      <c r="A15469" s="198"/>
    </row>
    <row r="15470" spans="1:1" s="199" customFormat="1" ht="12" hidden="1" customHeight="1">
      <c r="A15470" s="198"/>
    </row>
    <row r="15471" spans="1:1" s="199" customFormat="1" ht="12" hidden="1" customHeight="1">
      <c r="A15471" s="198"/>
    </row>
    <row r="15472" spans="1:1" s="199" customFormat="1" ht="12" hidden="1" customHeight="1">
      <c r="A15472" s="198"/>
    </row>
    <row r="15473" spans="1:1" s="199" customFormat="1" ht="12" hidden="1" customHeight="1">
      <c r="A15473" s="198"/>
    </row>
    <row r="15474" spans="1:1" s="199" customFormat="1" ht="12" hidden="1" customHeight="1">
      <c r="A15474" s="198"/>
    </row>
    <row r="15475" spans="1:1" s="199" customFormat="1" ht="12" hidden="1" customHeight="1">
      <c r="A15475" s="198"/>
    </row>
    <row r="15476" spans="1:1" s="199" customFormat="1" ht="12" hidden="1" customHeight="1">
      <c r="A15476" s="198"/>
    </row>
    <row r="15477" spans="1:1" s="199" customFormat="1" ht="12" hidden="1" customHeight="1">
      <c r="A15477" s="198"/>
    </row>
    <row r="15478" spans="1:1" s="199" customFormat="1" ht="12" hidden="1" customHeight="1">
      <c r="A15478" s="198"/>
    </row>
    <row r="15479" spans="1:1" s="199" customFormat="1" ht="12" hidden="1" customHeight="1">
      <c r="A15479" s="198"/>
    </row>
    <row r="15480" spans="1:1" s="199" customFormat="1" ht="12" hidden="1" customHeight="1">
      <c r="A15480" s="198"/>
    </row>
    <row r="15481" spans="1:1" s="199" customFormat="1" ht="12" hidden="1" customHeight="1">
      <c r="A15481" s="198"/>
    </row>
    <row r="15482" spans="1:1" s="199" customFormat="1" ht="12" hidden="1" customHeight="1">
      <c r="A15482" s="198"/>
    </row>
    <row r="15483" spans="1:1" s="199" customFormat="1" ht="12" hidden="1" customHeight="1">
      <c r="A15483" s="198"/>
    </row>
    <row r="15484" spans="1:1" s="199" customFormat="1" ht="12" hidden="1" customHeight="1">
      <c r="A15484" s="198"/>
    </row>
    <row r="15485" spans="1:1" s="199" customFormat="1" ht="12" hidden="1" customHeight="1">
      <c r="A15485" s="198"/>
    </row>
    <row r="15486" spans="1:1" s="199" customFormat="1" ht="12" hidden="1" customHeight="1">
      <c r="A15486" s="198"/>
    </row>
    <row r="15487" spans="1:1" s="199" customFormat="1" ht="12" hidden="1" customHeight="1">
      <c r="A15487" s="198"/>
    </row>
    <row r="15488" spans="1:1" s="199" customFormat="1" ht="12" hidden="1" customHeight="1">
      <c r="A15488" s="198"/>
    </row>
    <row r="15489" spans="1:1" s="199" customFormat="1" ht="12" hidden="1" customHeight="1">
      <c r="A15489" s="198"/>
    </row>
    <row r="15490" spans="1:1" s="199" customFormat="1" ht="12" hidden="1" customHeight="1">
      <c r="A15490" s="198"/>
    </row>
    <row r="15491" spans="1:1" s="199" customFormat="1" ht="12" hidden="1" customHeight="1">
      <c r="A15491" s="198"/>
    </row>
    <row r="15492" spans="1:1" s="199" customFormat="1" ht="12" hidden="1" customHeight="1">
      <c r="A15492" s="198"/>
    </row>
    <row r="15493" spans="1:1" s="199" customFormat="1" ht="12" hidden="1" customHeight="1">
      <c r="A15493" s="198"/>
    </row>
    <row r="15494" spans="1:1" s="199" customFormat="1" ht="12" hidden="1" customHeight="1">
      <c r="A15494" s="198"/>
    </row>
    <row r="15495" spans="1:1" s="199" customFormat="1" ht="12" hidden="1" customHeight="1">
      <c r="A15495" s="198"/>
    </row>
    <row r="15496" spans="1:1" s="199" customFormat="1" ht="12" hidden="1" customHeight="1">
      <c r="A15496" s="198"/>
    </row>
    <row r="15497" spans="1:1" s="199" customFormat="1" ht="12" hidden="1" customHeight="1">
      <c r="A15497" s="198"/>
    </row>
    <row r="15498" spans="1:1" s="199" customFormat="1" ht="12" hidden="1" customHeight="1">
      <c r="A15498" s="198"/>
    </row>
    <row r="15499" spans="1:1" s="199" customFormat="1" ht="12" hidden="1" customHeight="1">
      <c r="A15499" s="198"/>
    </row>
    <row r="15500" spans="1:1" s="199" customFormat="1" ht="12" hidden="1" customHeight="1">
      <c r="A15500" s="198"/>
    </row>
    <row r="15501" spans="1:1" s="199" customFormat="1" ht="12" hidden="1" customHeight="1">
      <c r="A15501" s="198"/>
    </row>
    <row r="15502" spans="1:1" s="199" customFormat="1" ht="12" hidden="1" customHeight="1">
      <c r="A15502" s="198"/>
    </row>
    <row r="15503" spans="1:1" s="199" customFormat="1" ht="12" hidden="1" customHeight="1">
      <c r="A15503" s="198"/>
    </row>
    <row r="15504" spans="1:1" s="199" customFormat="1" ht="12" hidden="1" customHeight="1">
      <c r="A15504" s="198"/>
    </row>
    <row r="15505" spans="1:1" s="199" customFormat="1" ht="12" hidden="1" customHeight="1">
      <c r="A15505" s="198"/>
    </row>
    <row r="15506" spans="1:1" s="199" customFormat="1" ht="12" hidden="1" customHeight="1">
      <c r="A15506" s="198"/>
    </row>
    <row r="15507" spans="1:1" s="199" customFormat="1" ht="12" hidden="1" customHeight="1">
      <c r="A15507" s="198"/>
    </row>
    <row r="15508" spans="1:1" s="199" customFormat="1" ht="12" hidden="1" customHeight="1">
      <c r="A15508" s="198"/>
    </row>
    <row r="15509" spans="1:1" s="199" customFormat="1" ht="12" hidden="1" customHeight="1">
      <c r="A15509" s="198"/>
    </row>
    <row r="15510" spans="1:1" s="199" customFormat="1" ht="12" hidden="1" customHeight="1">
      <c r="A15510" s="198"/>
    </row>
    <row r="15511" spans="1:1" s="199" customFormat="1" ht="12" hidden="1" customHeight="1">
      <c r="A15511" s="198"/>
    </row>
    <row r="15512" spans="1:1" s="199" customFormat="1" ht="12" hidden="1" customHeight="1">
      <c r="A15512" s="198"/>
    </row>
    <row r="15513" spans="1:1" s="199" customFormat="1" ht="12" hidden="1" customHeight="1">
      <c r="A15513" s="198"/>
    </row>
    <row r="15514" spans="1:1" s="199" customFormat="1" ht="12" hidden="1" customHeight="1">
      <c r="A15514" s="198"/>
    </row>
    <row r="15515" spans="1:1" s="199" customFormat="1" ht="12" hidden="1" customHeight="1">
      <c r="A15515" s="198"/>
    </row>
    <row r="15516" spans="1:1" s="199" customFormat="1" ht="12" hidden="1" customHeight="1">
      <c r="A15516" s="198"/>
    </row>
    <row r="15517" spans="1:1" s="199" customFormat="1" ht="12" hidden="1" customHeight="1">
      <c r="A15517" s="198"/>
    </row>
    <row r="15518" spans="1:1" s="199" customFormat="1" ht="12" hidden="1" customHeight="1">
      <c r="A15518" s="198"/>
    </row>
    <row r="15519" spans="1:1" s="199" customFormat="1" ht="12" hidden="1" customHeight="1">
      <c r="A15519" s="198"/>
    </row>
    <row r="15520" spans="1:1" s="199" customFormat="1" ht="12" hidden="1" customHeight="1">
      <c r="A15520" s="198"/>
    </row>
    <row r="15521" spans="1:1" s="199" customFormat="1" ht="12" hidden="1" customHeight="1">
      <c r="A15521" s="198"/>
    </row>
    <row r="15522" spans="1:1" s="199" customFormat="1" ht="12" hidden="1" customHeight="1">
      <c r="A15522" s="198"/>
    </row>
    <row r="15523" spans="1:1" s="199" customFormat="1" ht="12" hidden="1" customHeight="1">
      <c r="A15523" s="198"/>
    </row>
    <row r="15524" spans="1:1" s="199" customFormat="1" ht="12" hidden="1" customHeight="1">
      <c r="A15524" s="198"/>
    </row>
    <row r="15525" spans="1:1" s="199" customFormat="1" ht="12" hidden="1" customHeight="1">
      <c r="A15525" s="198"/>
    </row>
    <row r="15526" spans="1:1" s="199" customFormat="1" ht="12" hidden="1" customHeight="1">
      <c r="A15526" s="198"/>
    </row>
    <row r="15527" spans="1:1" s="199" customFormat="1" ht="12" hidden="1" customHeight="1">
      <c r="A15527" s="198"/>
    </row>
    <row r="15528" spans="1:1" s="199" customFormat="1" ht="12" hidden="1" customHeight="1">
      <c r="A15528" s="198"/>
    </row>
    <row r="15529" spans="1:1" s="199" customFormat="1" ht="12" hidden="1" customHeight="1">
      <c r="A15529" s="198"/>
    </row>
    <row r="15530" spans="1:1" s="199" customFormat="1" ht="12" hidden="1" customHeight="1">
      <c r="A15530" s="198"/>
    </row>
    <row r="15531" spans="1:1" s="199" customFormat="1" ht="12" hidden="1" customHeight="1">
      <c r="A15531" s="198"/>
    </row>
    <row r="15532" spans="1:1" s="199" customFormat="1" ht="12" hidden="1" customHeight="1">
      <c r="A15532" s="198"/>
    </row>
    <row r="15533" spans="1:1" s="199" customFormat="1" ht="12" hidden="1" customHeight="1">
      <c r="A15533" s="198"/>
    </row>
    <row r="15534" spans="1:1" s="199" customFormat="1" ht="12" hidden="1" customHeight="1">
      <c r="A15534" s="198"/>
    </row>
    <row r="15535" spans="1:1" s="199" customFormat="1" ht="12" hidden="1" customHeight="1">
      <c r="A15535" s="198"/>
    </row>
    <row r="15536" spans="1:1" s="199" customFormat="1" ht="12" hidden="1" customHeight="1">
      <c r="A15536" s="198"/>
    </row>
    <row r="15537" spans="1:1" s="199" customFormat="1" ht="12" hidden="1" customHeight="1">
      <c r="A15537" s="198"/>
    </row>
    <row r="15538" spans="1:1" s="199" customFormat="1" ht="12" hidden="1" customHeight="1">
      <c r="A15538" s="198"/>
    </row>
    <row r="15539" spans="1:1" s="199" customFormat="1" ht="12" hidden="1" customHeight="1">
      <c r="A15539" s="198"/>
    </row>
    <row r="15540" spans="1:1" s="199" customFormat="1" ht="12" hidden="1" customHeight="1">
      <c r="A15540" s="198"/>
    </row>
    <row r="15541" spans="1:1" s="199" customFormat="1" ht="12" hidden="1" customHeight="1">
      <c r="A15541" s="198"/>
    </row>
    <row r="15542" spans="1:1" s="199" customFormat="1" ht="12" hidden="1" customHeight="1">
      <c r="A15542" s="198"/>
    </row>
    <row r="15543" spans="1:1" s="199" customFormat="1" ht="12" hidden="1" customHeight="1">
      <c r="A15543" s="198"/>
    </row>
    <row r="15544" spans="1:1" s="199" customFormat="1" ht="12" hidden="1" customHeight="1">
      <c r="A15544" s="198"/>
    </row>
    <row r="15545" spans="1:1" s="199" customFormat="1" ht="12" hidden="1" customHeight="1">
      <c r="A15545" s="198"/>
    </row>
    <row r="15546" spans="1:1" s="199" customFormat="1" ht="12" hidden="1" customHeight="1">
      <c r="A15546" s="198"/>
    </row>
    <row r="15547" spans="1:1" s="199" customFormat="1" ht="12" hidden="1" customHeight="1">
      <c r="A15547" s="198"/>
    </row>
    <row r="15548" spans="1:1" s="199" customFormat="1" ht="12" hidden="1" customHeight="1">
      <c r="A15548" s="198"/>
    </row>
    <row r="15549" spans="1:1" s="199" customFormat="1" ht="12" hidden="1" customHeight="1">
      <c r="A15549" s="198"/>
    </row>
    <row r="15550" spans="1:1" s="199" customFormat="1" ht="12" hidden="1" customHeight="1">
      <c r="A15550" s="198"/>
    </row>
    <row r="15551" spans="1:1" s="199" customFormat="1" ht="12" hidden="1" customHeight="1">
      <c r="A15551" s="198"/>
    </row>
    <row r="15552" spans="1:1" s="199" customFormat="1" ht="12" hidden="1" customHeight="1">
      <c r="A15552" s="198"/>
    </row>
    <row r="15553" spans="1:1" s="199" customFormat="1" ht="12" hidden="1" customHeight="1">
      <c r="A15553" s="198"/>
    </row>
    <row r="15554" spans="1:1" s="199" customFormat="1" ht="12" hidden="1" customHeight="1">
      <c r="A15554" s="198"/>
    </row>
    <row r="15555" spans="1:1" s="199" customFormat="1" ht="12" hidden="1" customHeight="1">
      <c r="A15555" s="198"/>
    </row>
    <row r="15556" spans="1:1" s="199" customFormat="1" ht="12" hidden="1" customHeight="1">
      <c r="A15556" s="198"/>
    </row>
    <row r="15557" spans="1:1" s="199" customFormat="1" ht="12" hidden="1" customHeight="1">
      <c r="A15557" s="198"/>
    </row>
    <row r="15558" spans="1:1" s="199" customFormat="1" ht="12" hidden="1" customHeight="1">
      <c r="A15558" s="198"/>
    </row>
    <row r="15559" spans="1:1" s="199" customFormat="1" ht="12" hidden="1" customHeight="1">
      <c r="A15559" s="198"/>
    </row>
    <row r="15560" spans="1:1" s="199" customFormat="1" ht="12" hidden="1" customHeight="1">
      <c r="A15560" s="198"/>
    </row>
    <row r="15561" spans="1:1" s="199" customFormat="1" ht="12" hidden="1" customHeight="1">
      <c r="A15561" s="198"/>
    </row>
    <row r="15562" spans="1:1" s="199" customFormat="1" ht="12" hidden="1" customHeight="1">
      <c r="A15562" s="198"/>
    </row>
    <row r="15563" spans="1:1" s="199" customFormat="1" ht="12" hidden="1" customHeight="1">
      <c r="A15563" s="198"/>
    </row>
    <row r="15564" spans="1:1" s="199" customFormat="1" ht="12" hidden="1" customHeight="1">
      <c r="A15564" s="198"/>
    </row>
    <row r="15565" spans="1:1" s="199" customFormat="1" ht="12" hidden="1" customHeight="1">
      <c r="A15565" s="198"/>
    </row>
    <row r="15566" spans="1:1" s="199" customFormat="1" ht="12" hidden="1" customHeight="1">
      <c r="A15566" s="198"/>
    </row>
    <row r="15567" spans="1:1" s="199" customFormat="1" ht="12" hidden="1" customHeight="1">
      <c r="A15567" s="198"/>
    </row>
    <row r="15568" spans="1:1" s="199" customFormat="1" ht="12" hidden="1" customHeight="1">
      <c r="A15568" s="198"/>
    </row>
    <row r="15569" spans="1:1" s="199" customFormat="1" ht="12" hidden="1" customHeight="1">
      <c r="A15569" s="198"/>
    </row>
    <row r="15570" spans="1:1" s="199" customFormat="1" ht="12" hidden="1" customHeight="1">
      <c r="A15570" s="198"/>
    </row>
    <row r="15571" spans="1:1" s="199" customFormat="1" ht="12" hidden="1" customHeight="1">
      <c r="A15571" s="198"/>
    </row>
    <row r="15572" spans="1:1" s="199" customFormat="1" ht="12" hidden="1" customHeight="1">
      <c r="A15572" s="198"/>
    </row>
    <row r="15573" spans="1:1" s="199" customFormat="1" ht="12" hidden="1" customHeight="1">
      <c r="A15573" s="198"/>
    </row>
    <row r="15574" spans="1:1" s="199" customFormat="1" ht="12" hidden="1" customHeight="1">
      <c r="A15574" s="198"/>
    </row>
    <row r="15575" spans="1:1" s="199" customFormat="1" ht="12" hidden="1" customHeight="1">
      <c r="A15575" s="198"/>
    </row>
    <row r="15576" spans="1:1" s="199" customFormat="1" ht="12" hidden="1" customHeight="1">
      <c r="A15576" s="198"/>
    </row>
    <row r="15577" spans="1:1" s="199" customFormat="1" ht="12" hidden="1" customHeight="1">
      <c r="A15577" s="198"/>
    </row>
    <row r="15578" spans="1:1" s="199" customFormat="1" ht="12" hidden="1" customHeight="1">
      <c r="A15578" s="198"/>
    </row>
    <row r="15579" spans="1:1" s="199" customFormat="1" ht="12" hidden="1" customHeight="1">
      <c r="A15579" s="198"/>
    </row>
    <row r="15580" spans="1:1" s="199" customFormat="1" ht="12" hidden="1" customHeight="1">
      <c r="A15580" s="198"/>
    </row>
    <row r="15581" spans="1:1" s="199" customFormat="1" ht="12" hidden="1" customHeight="1">
      <c r="A15581" s="198"/>
    </row>
    <row r="15582" spans="1:1" s="199" customFormat="1" ht="12" hidden="1" customHeight="1">
      <c r="A15582" s="198"/>
    </row>
    <row r="15583" spans="1:1" s="199" customFormat="1" ht="12" hidden="1" customHeight="1">
      <c r="A15583" s="198"/>
    </row>
    <row r="15584" spans="1:1" s="199" customFormat="1" ht="12" hidden="1" customHeight="1">
      <c r="A15584" s="198"/>
    </row>
    <row r="15585" spans="1:1" s="199" customFormat="1" ht="12" hidden="1" customHeight="1">
      <c r="A15585" s="198"/>
    </row>
    <row r="15586" spans="1:1" s="199" customFormat="1" ht="12" hidden="1" customHeight="1">
      <c r="A15586" s="198"/>
    </row>
    <row r="15587" spans="1:1" s="199" customFormat="1" ht="12" hidden="1" customHeight="1">
      <c r="A15587" s="198"/>
    </row>
    <row r="15588" spans="1:1" s="199" customFormat="1" ht="12" hidden="1" customHeight="1">
      <c r="A15588" s="198"/>
    </row>
    <row r="15589" spans="1:1" s="199" customFormat="1" ht="12" hidden="1" customHeight="1">
      <c r="A15589" s="198"/>
    </row>
    <row r="15590" spans="1:1" s="199" customFormat="1" ht="12" hidden="1" customHeight="1">
      <c r="A15590" s="198"/>
    </row>
    <row r="15591" spans="1:1" s="199" customFormat="1" ht="12" hidden="1" customHeight="1">
      <c r="A15591" s="198"/>
    </row>
    <row r="15592" spans="1:1" s="199" customFormat="1" ht="12" hidden="1" customHeight="1">
      <c r="A15592" s="198"/>
    </row>
    <row r="15593" spans="1:1" s="199" customFormat="1" ht="12" hidden="1" customHeight="1">
      <c r="A15593" s="198"/>
    </row>
    <row r="15594" spans="1:1" s="199" customFormat="1" ht="12" hidden="1" customHeight="1">
      <c r="A15594" s="198"/>
    </row>
    <row r="15595" spans="1:1" s="199" customFormat="1" ht="12" hidden="1" customHeight="1">
      <c r="A15595" s="198"/>
    </row>
    <row r="15596" spans="1:1" s="199" customFormat="1" ht="12" hidden="1" customHeight="1">
      <c r="A15596" s="198"/>
    </row>
    <row r="15597" spans="1:1" s="199" customFormat="1" ht="12" hidden="1" customHeight="1">
      <c r="A15597" s="198"/>
    </row>
    <row r="15598" spans="1:1" s="199" customFormat="1" ht="12" hidden="1" customHeight="1">
      <c r="A15598" s="198"/>
    </row>
    <row r="15599" spans="1:1" s="199" customFormat="1" ht="12" hidden="1" customHeight="1">
      <c r="A15599" s="198"/>
    </row>
    <row r="15600" spans="1:1" s="199" customFormat="1" ht="12" hidden="1" customHeight="1">
      <c r="A15600" s="198"/>
    </row>
    <row r="15601" spans="1:1" s="199" customFormat="1" ht="12" hidden="1" customHeight="1">
      <c r="A15601" s="198"/>
    </row>
    <row r="15602" spans="1:1" s="199" customFormat="1" ht="12" hidden="1" customHeight="1">
      <c r="A15602" s="198"/>
    </row>
    <row r="15603" spans="1:1" s="199" customFormat="1" ht="12" hidden="1" customHeight="1">
      <c r="A15603" s="198"/>
    </row>
    <row r="15604" spans="1:1" s="199" customFormat="1" ht="12" hidden="1" customHeight="1">
      <c r="A15604" s="198"/>
    </row>
    <row r="15605" spans="1:1" s="199" customFormat="1" ht="12" hidden="1" customHeight="1">
      <c r="A15605" s="198"/>
    </row>
    <row r="15606" spans="1:1" s="199" customFormat="1" ht="12" hidden="1" customHeight="1">
      <c r="A15606" s="198"/>
    </row>
    <row r="15607" spans="1:1" s="199" customFormat="1" ht="12" hidden="1" customHeight="1">
      <c r="A15607" s="198"/>
    </row>
    <row r="15608" spans="1:1" s="199" customFormat="1" ht="12" hidden="1" customHeight="1">
      <c r="A15608" s="198"/>
    </row>
    <row r="15609" spans="1:1" s="199" customFormat="1" ht="12" hidden="1" customHeight="1">
      <c r="A15609" s="198"/>
    </row>
    <row r="15610" spans="1:1" s="199" customFormat="1" ht="12" hidden="1" customHeight="1">
      <c r="A15610" s="198"/>
    </row>
    <row r="15611" spans="1:1" s="199" customFormat="1" ht="12" hidden="1" customHeight="1">
      <c r="A15611" s="198"/>
    </row>
    <row r="15612" spans="1:1" s="199" customFormat="1" ht="12" hidden="1" customHeight="1">
      <c r="A15612" s="198"/>
    </row>
    <row r="15613" spans="1:1" s="199" customFormat="1" ht="12" hidden="1" customHeight="1">
      <c r="A15613" s="198"/>
    </row>
    <row r="15614" spans="1:1" s="199" customFormat="1" ht="12" hidden="1" customHeight="1">
      <c r="A15614" s="198"/>
    </row>
    <row r="15615" spans="1:1" s="199" customFormat="1" ht="12" hidden="1" customHeight="1">
      <c r="A15615" s="198"/>
    </row>
    <row r="15616" spans="1:1" s="199" customFormat="1" ht="12" hidden="1" customHeight="1">
      <c r="A15616" s="198"/>
    </row>
    <row r="15617" spans="1:1" s="199" customFormat="1" ht="12" hidden="1" customHeight="1">
      <c r="A15617" s="198"/>
    </row>
    <row r="15618" spans="1:1" s="199" customFormat="1" ht="12" hidden="1" customHeight="1">
      <c r="A15618" s="198"/>
    </row>
    <row r="15619" spans="1:1" s="199" customFormat="1" ht="12" hidden="1" customHeight="1">
      <c r="A15619" s="198"/>
    </row>
    <row r="15620" spans="1:1" s="199" customFormat="1" ht="12" hidden="1" customHeight="1">
      <c r="A15620" s="198"/>
    </row>
    <row r="15621" spans="1:1" s="199" customFormat="1" ht="12" hidden="1" customHeight="1">
      <c r="A15621" s="198"/>
    </row>
    <row r="15622" spans="1:1" s="199" customFormat="1" ht="12" hidden="1" customHeight="1">
      <c r="A15622" s="198"/>
    </row>
    <row r="15623" spans="1:1" s="199" customFormat="1" ht="12" hidden="1" customHeight="1">
      <c r="A15623" s="198"/>
    </row>
    <row r="15624" spans="1:1" s="199" customFormat="1" ht="12" hidden="1" customHeight="1">
      <c r="A15624" s="198"/>
    </row>
    <row r="15625" spans="1:1" s="199" customFormat="1" ht="12" hidden="1" customHeight="1">
      <c r="A15625" s="198"/>
    </row>
    <row r="15626" spans="1:1" s="199" customFormat="1" ht="12" hidden="1" customHeight="1">
      <c r="A15626" s="198"/>
    </row>
    <row r="15627" spans="1:1" s="199" customFormat="1" ht="12" hidden="1" customHeight="1">
      <c r="A15627" s="198"/>
    </row>
    <row r="15628" spans="1:1" s="199" customFormat="1" ht="12" hidden="1" customHeight="1">
      <c r="A15628" s="198"/>
    </row>
    <row r="15629" spans="1:1" s="199" customFormat="1" ht="12" hidden="1" customHeight="1">
      <c r="A15629" s="198"/>
    </row>
    <row r="15630" spans="1:1" s="199" customFormat="1" ht="12" hidden="1" customHeight="1">
      <c r="A15630" s="198"/>
    </row>
    <row r="15631" spans="1:1" s="199" customFormat="1" ht="12" hidden="1" customHeight="1">
      <c r="A15631" s="198"/>
    </row>
    <row r="15632" spans="1:1" s="199" customFormat="1" ht="12" hidden="1" customHeight="1">
      <c r="A15632" s="198"/>
    </row>
    <row r="15633" spans="1:1" s="199" customFormat="1" ht="12" hidden="1" customHeight="1">
      <c r="A15633" s="198"/>
    </row>
    <row r="15634" spans="1:1" s="199" customFormat="1" ht="12" hidden="1" customHeight="1">
      <c r="A15634" s="198"/>
    </row>
    <row r="15635" spans="1:1" s="199" customFormat="1" ht="12" hidden="1" customHeight="1">
      <c r="A15635" s="198"/>
    </row>
    <row r="15636" spans="1:1" s="199" customFormat="1" ht="12" hidden="1" customHeight="1">
      <c r="A15636" s="198"/>
    </row>
    <row r="15637" spans="1:1" s="199" customFormat="1" ht="12" hidden="1" customHeight="1">
      <c r="A15637" s="198"/>
    </row>
    <row r="15638" spans="1:1" s="199" customFormat="1" ht="12" hidden="1" customHeight="1">
      <c r="A15638" s="198"/>
    </row>
    <row r="15639" spans="1:1" s="199" customFormat="1" ht="12" hidden="1" customHeight="1">
      <c r="A15639" s="198"/>
    </row>
    <row r="15640" spans="1:1" s="199" customFormat="1" ht="12" hidden="1" customHeight="1">
      <c r="A15640" s="198"/>
    </row>
    <row r="15641" spans="1:1" s="199" customFormat="1" ht="12" hidden="1" customHeight="1">
      <c r="A15641" s="198"/>
    </row>
    <row r="15642" spans="1:1" s="199" customFormat="1" ht="12" hidden="1" customHeight="1">
      <c r="A15642" s="198"/>
    </row>
    <row r="15643" spans="1:1" s="199" customFormat="1" ht="12" hidden="1" customHeight="1">
      <c r="A15643" s="198"/>
    </row>
    <row r="15644" spans="1:1" s="199" customFormat="1" ht="12" hidden="1" customHeight="1">
      <c r="A15644" s="198"/>
    </row>
    <row r="15645" spans="1:1" s="199" customFormat="1" ht="12" hidden="1" customHeight="1">
      <c r="A15645" s="198"/>
    </row>
    <row r="15646" spans="1:1" s="199" customFormat="1" ht="12" hidden="1" customHeight="1">
      <c r="A15646" s="198"/>
    </row>
    <row r="15647" spans="1:1" s="199" customFormat="1" ht="12" hidden="1" customHeight="1">
      <c r="A15647" s="198"/>
    </row>
    <row r="15648" spans="1:1" s="199" customFormat="1" ht="12" hidden="1" customHeight="1">
      <c r="A15648" s="198"/>
    </row>
    <row r="15649" spans="1:1" s="199" customFormat="1" ht="12" hidden="1" customHeight="1">
      <c r="A15649" s="198"/>
    </row>
    <row r="15650" spans="1:1" s="199" customFormat="1" ht="12" hidden="1" customHeight="1">
      <c r="A15650" s="198"/>
    </row>
    <row r="15651" spans="1:1" s="199" customFormat="1" ht="12" hidden="1" customHeight="1">
      <c r="A15651" s="198"/>
    </row>
    <row r="15652" spans="1:1" s="199" customFormat="1" ht="12" hidden="1" customHeight="1">
      <c r="A15652" s="198"/>
    </row>
    <row r="15653" spans="1:1" s="199" customFormat="1" ht="12" hidden="1" customHeight="1">
      <c r="A15653" s="198"/>
    </row>
    <row r="15654" spans="1:1" s="199" customFormat="1" ht="12" hidden="1" customHeight="1">
      <c r="A15654" s="198"/>
    </row>
    <row r="15655" spans="1:1" s="199" customFormat="1" ht="12" hidden="1" customHeight="1">
      <c r="A15655" s="198"/>
    </row>
    <row r="15656" spans="1:1" s="199" customFormat="1" ht="12" hidden="1" customHeight="1">
      <c r="A15656" s="198"/>
    </row>
    <row r="15657" spans="1:1" s="199" customFormat="1" ht="12" hidden="1" customHeight="1">
      <c r="A15657" s="198"/>
    </row>
    <row r="15658" spans="1:1" s="199" customFormat="1" ht="12" hidden="1" customHeight="1">
      <c r="A15658" s="198"/>
    </row>
    <row r="15659" spans="1:1" s="199" customFormat="1" ht="12" hidden="1" customHeight="1">
      <c r="A15659" s="198"/>
    </row>
    <row r="15660" spans="1:1" s="199" customFormat="1" ht="12" hidden="1" customHeight="1">
      <c r="A15660" s="198"/>
    </row>
    <row r="15661" spans="1:1" s="199" customFormat="1" ht="12" hidden="1" customHeight="1">
      <c r="A15661" s="198"/>
    </row>
    <row r="15662" spans="1:1" s="199" customFormat="1" ht="12" hidden="1" customHeight="1">
      <c r="A15662" s="198"/>
    </row>
    <row r="15663" spans="1:1" s="199" customFormat="1" ht="12" hidden="1" customHeight="1">
      <c r="A15663" s="198"/>
    </row>
    <row r="15664" spans="1:1" s="199" customFormat="1" ht="12" hidden="1" customHeight="1">
      <c r="A15664" s="198"/>
    </row>
    <row r="15665" spans="1:1" s="199" customFormat="1" ht="12" hidden="1" customHeight="1">
      <c r="A15665" s="198"/>
    </row>
    <row r="15666" spans="1:1" s="199" customFormat="1" ht="12" hidden="1" customHeight="1">
      <c r="A15666" s="198"/>
    </row>
    <row r="15667" spans="1:1" s="199" customFormat="1" ht="12" hidden="1" customHeight="1">
      <c r="A15667" s="198"/>
    </row>
    <row r="15668" spans="1:1" s="199" customFormat="1" ht="12" hidden="1" customHeight="1">
      <c r="A15668" s="198"/>
    </row>
    <row r="15669" spans="1:1" s="199" customFormat="1" ht="12" hidden="1" customHeight="1">
      <c r="A15669" s="198"/>
    </row>
    <row r="15670" spans="1:1" s="199" customFormat="1" ht="12" hidden="1" customHeight="1">
      <c r="A15670" s="198"/>
    </row>
    <row r="15671" spans="1:1" s="199" customFormat="1" ht="12" hidden="1" customHeight="1">
      <c r="A15671" s="198"/>
    </row>
    <row r="15672" spans="1:1" s="199" customFormat="1" ht="12" hidden="1" customHeight="1">
      <c r="A15672" s="198"/>
    </row>
    <row r="15673" spans="1:1" s="199" customFormat="1" ht="12" hidden="1" customHeight="1">
      <c r="A15673" s="198"/>
    </row>
    <row r="15674" spans="1:1" s="199" customFormat="1" ht="12" hidden="1" customHeight="1">
      <c r="A15674" s="198"/>
    </row>
    <row r="15675" spans="1:1" s="199" customFormat="1" ht="12" hidden="1" customHeight="1">
      <c r="A15675" s="198"/>
    </row>
    <row r="15676" spans="1:1" s="199" customFormat="1" ht="12" hidden="1" customHeight="1">
      <c r="A15676" s="198"/>
    </row>
    <row r="15677" spans="1:1" s="199" customFormat="1" ht="12" hidden="1" customHeight="1">
      <c r="A15677" s="198"/>
    </row>
    <row r="15678" spans="1:1" s="199" customFormat="1" ht="12" hidden="1" customHeight="1">
      <c r="A15678" s="198"/>
    </row>
    <row r="15679" spans="1:1" s="199" customFormat="1" ht="12" hidden="1" customHeight="1">
      <c r="A15679" s="198"/>
    </row>
    <row r="15680" spans="1:1" s="199" customFormat="1" ht="12" hidden="1" customHeight="1">
      <c r="A15680" s="198"/>
    </row>
    <row r="15681" spans="1:1" s="199" customFormat="1" ht="12" hidden="1" customHeight="1">
      <c r="A15681" s="198"/>
    </row>
    <row r="15682" spans="1:1" s="199" customFormat="1" ht="12" hidden="1" customHeight="1">
      <c r="A15682" s="198"/>
    </row>
    <row r="15683" spans="1:1" s="199" customFormat="1" ht="12" hidden="1" customHeight="1">
      <c r="A15683" s="198"/>
    </row>
    <row r="15684" spans="1:1" s="199" customFormat="1" ht="12" hidden="1" customHeight="1">
      <c r="A15684" s="198"/>
    </row>
    <row r="15685" spans="1:1" s="199" customFormat="1" ht="12" hidden="1" customHeight="1">
      <c r="A15685" s="198"/>
    </row>
    <row r="15686" spans="1:1" s="199" customFormat="1" ht="12" hidden="1" customHeight="1">
      <c r="A15686" s="198"/>
    </row>
    <row r="15687" spans="1:1" s="199" customFormat="1" ht="12" hidden="1" customHeight="1">
      <c r="A15687" s="198"/>
    </row>
    <row r="15688" spans="1:1" s="199" customFormat="1" ht="12" hidden="1" customHeight="1">
      <c r="A15688" s="198"/>
    </row>
    <row r="15689" spans="1:1" s="199" customFormat="1" ht="12" hidden="1" customHeight="1">
      <c r="A15689" s="198"/>
    </row>
    <row r="15690" spans="1:1" s="199" customFormat="1" ht="12" hidden="1" customHeight="1">
      <c r="A15690" s="198"/>
    </row>
    <row r="15691" spans="1:1" s="199" customFormat="1" ht="12" hidden="1" customHeight="1">
      <c r="A15691" s="198"/>
    </row>
    <row r="15692" spans="1:1" s="199" customFormat="1" ht="12" hidden="1" customHeight="1">
      <c r="A15692" s="198"/>
    </row>
    <row r="15693" spans="1:1" s="199" customFormat="1" ht="12" hidden="1" customHeight="1">
      <c r="A15693" s="198"/>
    </row>
    <row r="15694" spans="1:1" s="199" customFormat="1" ht="12" hidden="1" customHeight="1">
      <c r="A15694" s="198"/>
    </row>
    <row r="15695" spans="1:1" s="199" customFormat="1" ht="12" hidden="1" customHeight="1">
      <c r="A15695" s="198"/>
    </row>
    <row r="15696" spans="1:1" s="199" customFormat="1" ht="12" hidden="1" customHeight="1">
      <c r="A15696" s="198"/>
    </row>
    <row r="15697" spans="1:1" s="199" customFormat="1" ht="12" hidden="1" customHeight="1">
      <c r="A15697" s="198"/>
    </row>
    <row r="15698" spans="1:1" s="199" customFormat="1" ht="12" hidden="1" customHeight="1">
      <c r="A15698" s="198"/>
    </row>
    <row r="15699" spans="1:1" s="199" customFormat="1" ht="12" hidden="1" customHeight="1">
      <c r="A15699" s="198"/>
    </row>
    <row r="15700" spans="1:1" s="199" customFormat="1" ht="12" hidden="1" customHeight="1">
      <c r="A15700" s="198"/>
    </row>
    <row r="15701" spans="1:1" s="199" customFormat="1" ht="12" hidden="1" customHeight="1">
      <c r="A15701" s="198"/>
    </row>
    <row r="15702" spans="1:1" s="199" customFormat="1" ht="12" hidden="1" customHeight="1">
      <c r="A15702" s="198"/>
    </row>
    <row r="15703" spans="1:1" s="199" customFormat="1" ht="12" hidden="1" customHeight="1">
      <c r="A15703" s="198"/>
    </row>
    <row r="15704" spans="1:1" s="199" customFormat="1" ht="12" hidden="1" customHeight="1">
      <c r="A15704" s="198"/>
    </row>
    <row r="15705" spans="1:1" s="199" customFormat="1" ht="12" hidden="1" customHeight="1">
      <c r="A15705" s="198"/>
    </row>
    <row r="15706" spans="1:1" s="199" customFormat="1" ht="12" hidden="1" customHeight="1">
      <c r="A15706" s="198"/>
    </row>
    <row r="15707" spans="1:1" s="199" customFormat="1" ht="12" hidden="1" customHeight="1">
      <c r="A15707" s="198"/>
    </row>
    <row r="15708" spans="1:1" s="199" customFormat="1" ht="12" hidden="1" customHeight="1">
      <c r="A15708" s="198"/>
    </row>
    <row r="15709" spans="1:1" s="199" customFormat="1" ht="12" hidden="1" customHeight="1">
      <c r="A15709" s="198"/>
    </row>
    <row r="15710" spans="1:1" s="199" customFormat="1" ht="12" hidden="1" customHeight="1">
      <c r="A15710" s="198"/>
    </row>
    <row r="15711" spans="1:1" s="199" customFormat="1" ht="12" hidden="1" customHeight="1">
      <c r="A15711" s="198"/>
    </row>
    <row r="15712" spans="1:1" s="199" customFormat="1" ht="12" hidden="1" customHeight="1">
      <c r="A15712" s="198"/>
    </row>
    <row r="15713" spans="1:1" s="199" customFormat="1" ht="12" hidden="1" customHeight="1">
      <c r="A15713" s="198"/>
    </row>
    <row r="15714" spans="1:1" s="199" customFormat="1" ht="12" hidden="1" customHeight="1">
      <c r="A15714" s="198"/>
    </row>
    <row r="15715" spans="1:1" s="199" customFormat="1" ht="12" hidden="1" customHeight="1">
      <c r="A15715" s="198"/>
    </row>
    <row r="15716" spans="1:1" s="199" customFormat="1" ht="12" hidden="1" customHeight="1">
      <c r="A15716" s="198"/>
    </row>
    <row r="15717" spans="1:1" s="199" customFormat="1" ht="12" hidden="1" customHeight="1">
      <c r="A15717" s="198"/>
    </row>
    <row r="15718" spans="1:1" s="199" customFormat="1" ht="12" hidden="1" customHeight="1">
      <c r="A15718" s="198"/>
    </row>
    <row r="15719" spans="1:1" s="199" customFormat="1" ht="12" hidden="1" customHeight="1">
      <c r="A15719" s="198"/>
    </row>
    <row r="15720" spans="1:1" s="199" customFormat="1" ht="12" hidden="1" customHeight="1">
      <c r="A15720" s="198"/>
    </row>
    <row r="15721" spans="1:1" s="199" customFormat="1" ht="12" hidden="1" customHeight="1">
      <c r="A15721" s="198"/>
    </row>
    <row r="15722" spans="1:1" s="199" customFormat="1" ht="12" hidden="1" customHeight="1">
      <c r="A15722" s="198"/>
    </row>
    <row r="15723" spans="1:1" s="199" customFormat="1" ht="12" hidden="1" customHeight="1">
      <c r="A15723" s="198"/>
    </row>
    <row r="15724" spans="1:1" s="199" customFormat="1" ht="12" hidden="1" customHeight="1">
      <c r="A15724" s="198"/>
    </row>
    <row r="15725" spans="1:1" s="199" customFormat="1" ht="12" hidden="1" customHeight="1">
      <c r="A15725" s="198"/>
    </row>
    <row r="15726" spans="1:1" s="199" customFormat="1" ht="12" hidden="1" customHeight="1">
      <c r="A15726" s="198"/>
    </row>
    <row r="15727" spans="1:1" s="199" customFormat="1" ht="12" hidden="1" customHeight="1">
      <c r="A15727" s="198"/>
    </row>
    <row r="15728" spans="1:1" s="199" customFormat="1" ht="12" hidden="1" customHeight="1">
      <c r="A15728" s="198"/>
    </row>
    <row r="15729" spans="1:1" s="199" customFormat="1" ht="12" hidden="1" customHeight="1">
      <c r="A15729" s="198"/>
    </row>
    <row r="15730" spans="1:1" s="199" customFormat="1" ht="12" hidden="1" customHeight="1">
      <c r="A15730" s="198"/>
    </row>
    <row r="15731" spans="1:1" s="199" customFormat="1" ht="12" hidden="1" customHeight="1">
      <c r="A15731" s="198"/>
    </row>
    <row r="15732" spans="1:1" s="199" customFormat="1" ht="12" hidden="1" customHeight="1">
      <c r="A15732" s="198"/>
    </row>
    <row r="15733" spans="1:1" s="199" customFormat="1" ht="12" hidden="1" customHeight="1">
      <c r="A15733" s="198"/>
    </row>
    <row r="15734" spans="1:1" s="199" customFormat="1" ht="12" hidden="1" customHeight="1">
      <c r="A15734" s="198"/>
    </row>
    <row r="15735" spans="1:1" s="199" customFormat="1" ht="12" hidden="1" customHeight="1">
      <c r="A15735" s="198"/>
    </row>
    <row r="15736" spans="1:1" s="199" customFormat="1" ht="12" hidden="1" customHeight="1">
      <c r="A15736" s="198"/>
    </row>
    <row r="15737" spans="1:1" s="199" customFormat="1" ht="12" hidden="1" customHeight="1">
      <c r="A15737" s="198"/>
    </row>
    <row r="15738" spans="1:1" s="199" customFormat="1" ht="12" hidden="1" customHeight="1">
      <c r="A15738" s="198"/>
    </row>
    <row r="15739" spans="1:1" s="199" customFormat="1" ht="12" hidden="1" customHeight="1">
      <c r="A15739" s="198"/>
    </row>
    <row r="15740" spans="1:1" s="199" customFormat="1" ht="12" hidden="1" customHeight="1">
      <c r="A15740" s="198"/>
    </row>
    <row r="15741" spans="1:1" s="199" customFormat="1" ht="12" hidden="1" customHeight="1">
      <c r="A15741" s="198"/>
    </row>
    <row r="15742" spans="1:1" s="199" customFormat="1" ht="12" hidden="1" customHeight="1">
      <c r="A15742" s="198"/>
    </row>
    <row r="15743" spans="1:1" s="199" customFormat="1" ht="12" hidden="1" customHeight="1">
      <c r="A15743" s="198"/>
    </row>
    <row r="15744" spans="1:1" s="199" customFormat="1" ht="12" hidden="1" customHeight="1">
      <c r="A15744" s="198"/>
    </row>
    <row r="15745" spans="1:1" s="199" customFormat="1" ht="12" hidden="1" customHeight="1">
      <c r="A15745" s="198"/>
    </row>
    <row r="15746" spans="1:1" s="199" customFormat="1" ht="12" hidden="1" customHeight="1">
      <c r="A15746" s="198"/>
    </row>
    <row r="15747" spans="1:1" s="199" customFormat="1" ht="12" hidden="1" customHeight="1">
      <c r="A15747" s="198"/>
    </row>
    <row r="15748" spans="1:1" s="199" customFormat="1" ht="12" hidden="1" customHeight="1">
      <c r="A15748" s="198"/>
    </row>
    <row r="15749" spans="1:1" s="199" customFormat="1" ht="12" hidden="1" customHeight="1">
      <c r="A15749" s="198"/>
    </row>
    <row r="15750" spans="1:1" s="199" customFormat="1" ht="12" hidden="1" customHeight="1">
      <c r="A15750" s="198"/>
    </row>
    <row r="15751" spans="1:1" s="199" customFormat="1" ht="12" hidden="1" customHeight="1">
      <c r="A15751" s="198"/>
    </row>
    <row r="15752" spans="1:1" s="199" customFormat="1" ht="12" hidden="1" customHeight="1">
      <c r="A15752" s="198"/>
    </row>
    <row r="15753" spans="1:1" s="199" customFormat="1" ht="12" hidden="1" customHeight="1">
      <c r="A15753" s="198"/>
    </row>
    <row r="15754" spans="1:1" s="199" customFormat="1" ht="12" hidden="1" customHeight="1">
      <c r="A15754" s="198"/>
    </row>
    <row r="15755" spans="1:1" s="199" customFormat="1" ht="12" hidden="1" customHeight="1">
      <c r="A15755" s="198"/>
    </row>
    <row r="15756" spans="1:1" s="199" customFormat="1" ht="12" hidden="1" customHeight="1">
      <c r="A15756" s="198"/>
    </row>
    <row r="15757" spans="1:1" s="199" customFormat="1" ht="12" hidden="1" customHeight="1">
      <c r="A15757" s="198"/>
    </row>
    <row r="15758" spans="1:1" s="199" customFormat="1" ht="12" hidden="1" customHeight="1">
      <c r="A15758" s="198"/>
    </row>
    <row r="15759" spans="1:1" s="199" customFormat="1" ht="12" hidden="1" customHeight="1">
      <c r="A15759" s="198"/>
    </row>
    <row r="15760" spans="1:1" s="199" customFormat="1" ht="12" hidden="1" customHeight="1">
      <c r="A15760" s="198"/>
    </row>
    <row r="15761" spans="1:1" s="199" customFormat="1" ht="12" hidden="1" customHeight="1">
      <c r="A15761" s="198"/>
    </row>
    <row r="15762" spans="1:1" s="199" customFormat="1" ht="12" hidden="1" customHeight="1">
      <c r="A15762" s="198"/>
    </row>
    <row r="15763" spans="1:1" s="199" customFormat="1" ht="12" hidden="1" customHeight="1">
      <c r="A15763" s="198"/>
    </row>
    <row r="15764" spans="1:1" s="199" customFormat="1" ht="12" hidden="1" customHeight="1">
      <c r="A15764" s="198"/>
    </row>
    <row r="15765" spans="1:1" s="199" customFormat="1" ht="12" hidden="1" customHeight="1">
      <c r="A15765" s="198"/>
    </row>
    <row r="15766" spans="1:1" s="199" customFormat="1" ht="12" hidden="1" customHeight="1">
      <c r="A15766" s="198"/>
    </row>
    <row r="15767" spans="1:1" s="199" customFormat="1" ht="12" hidden="1" customHeight="1">
      <c r="A15767" s="198"/>
    </row>
    <row r="15768" spans="1:1" s="199" customFormat="1" ht="12" hidden="1" customHeight="1">
      <c r="A15768" s="198"/>
    </row>
    <row r="15769" spans="1:1" s="199" customFormat="1" ht="12" hidden="1" customHeight="1">
      <c r="A15769" s="198"/>
    </row>
    <row r="15770" spans="1:1" s="199" customFormat="1" ht="12" hidden="1" customHeight="1">
      <c r="A15770" s="198"/>
    </row>
    <row r="15771" spans="1:1" s="199" customFormat="1" ht="12" hidden="1" customHeight="1">
      <c r="A15771" s="198"/>
    </row>
    <row r="15772" spans="1:1" s="199" customFormat="1" ht="12" hidden="1" customHeight="1">
      <c r="A15772" s="198"/>
    </row>
    <row r="15773" spans="1:1" s="199" customFormat="1" ht="12" hidden="1" customHeight="1">
      <c r="A15773" s="198"/>
    </row>
    <row r="15774" spans="1:1" s="199" customFormat="1" ht="12" hidden="1" customHeight="1">
      <c r="A15774" s="198"/>
    </row>
    <row r="15775" spans="1:1" s="199" customFormat="1" ht="12" hidden="1" customHeight="1">
      <c r="A15775" s="198"/>
    </row>
    <row r="15776" spans="1:1" s="199" customFormat="1" ht="12" hidden="1" customHeight="1">
      <c r="A15776" s="198"/>
    </row>
    <row r="15777" spans="1:1" s="199" customFormat="1" ht="12" hidden="1" customHeight="1">
      <c r="A15777" s="198"/>
    </row>
    <row r="15778" spans="1:1" s="199" customFormat="1" ht="12" hidden="1" customHeight="1">
      <c r="A15778" s="198"/>
    </row>
    <row r="15779" spans="1:1" s="199" customFormat="1" ht="12" hidden="1" customHeight="1">
      <c r="A15779" s="198"/>
    </row>
    <row r="15780" spans="1:1" s="199" customFormat="1" ht="12" hidden="1" customHeight="1">
      <c r="A15780" s="198"/>
    </row>
    <row r="15781" spans="1:1" s="199" customFormat="1" ht="12" hidden="1" customHeight="1">
      <c r="A15781" s="198"/>
    </row>
    <row r="15782" spans="1:1" s="199" customFormat="1" ht="12" hidden="1" customHeight="1">
      <c r="A15782" s="198"/>
    </row>
    <row r="15783" spans="1:1" s="199" customFormat="1" ht="12" hidden="1" customHeight="1">
      <c r="A15783" s="198"/>
    </row>
    <row r="15784" spans="1:1" s="199" customFormat="1" ht="12" hidden="1" customHeight="1">
      <c r="A15784" s="198"/>
    </row>
    <row r="15785" spans="1:1" s="199" customFormat="1" ht="12" hidden="1" customHeight="1">
      <c r="A15785" s="198"/>
    </row>
    <row r="15786" spans="1:1" s="199" customFormat="1" ht="12" hidden="1" customHeight="1">
      <c r="A15786" s="198"/>
    </row>
    <row r="15787" spans="1:1" s="199" customFormat="1" ht="12" hidden="1" customHeight="1">
      <c r="A15787" s="198"/>
    </row>
    <row r="15788" spans="1:1" s="199" customFormat="1" ht="12" hidden="1" customHeight="1">
      <c r="A15788" s="198"/>
    </row>
    <row r="15789" spans="1:1" s="199" customFormat="1" ht="12" hidden="1" customHeight="1">
      <c r="A15789" s="198"/>
    </row>
    <row r="15790" spans="1:1" s="199" customFormat="1" ht="12" hidden="1" customHeight="1">
      <c r="A15790" s="198"/>
    </row>
    <row r="15791" spans="1:1" s="199" customFormat="1" ht="12" hidden="1" customHeight="1">
      <c r="A15791" s="198"/>
    </row>
    <row r="15792" spans="1:1" s="199" customFormat="1" ht="12" hidden="1" customHeight="1">
      <c r="A15792" s="198"/>
    </row>
    <row r="15793" spans="1:1" s="199" customFormat="1" ht="12" hidden="1" customHeight="1">
      <c r="A15793" s="198"/>
    </row>
    <row r="15794" spans="1:1" s="199" customFormat="1" ht="12" hidden="1" customHeight="1">
      <c r="A15794" s="198"/>
    </row>
    <row r="15795" spans="1:1" s="199" customFormat="1" ht="12" hidden="1" customHeight="1">
      <c r="A15795" s="198"/>
    </row>
    <row r="15796" spans="1:1" s="199" customFormat="1" ht="12" hidden="1" customHeight="1">
      <c r="A15796" s="198"/>
    </row>
    <row r="15797" spans="1:1" s="199" customFormat="1" ht="12" hidden="1" customHeight="1">
      <c r="A15797" s="198"/>
    </row>
    <row r="15798" spans="1:1" s="199" customFormat="1" ht="12" hidden="1" customHeight="1">
      <c r="A15798" s="198"/>
    </row>
    <row r="15799" spans="1:1" s="199" customFormat="1" ht="12" hidden="1" customHeight="1">
      <c r="A15799" s="198"/>
    </row>
    <row r="15800" spans="1:1" s="199" customFormat="1" ht="12" hidden="1" customHeight="1">
      <c r="A15800" s="198"/>
    </row>
    <row r="15801" spans="1:1" s="199" customFormat="1" ht="12" hidden="1" customHeight="1">
      <c r="A15801" s="198"/>
    </row>
    <row r="15802" spans="1:1" s="199" customFormat="1" ht="12" hidden="1" customHeight="1">
      <c r="A15802" s="198"/>
    </row>
    <row r="15803" spans="1:1" s="199" customFormat="1" ht="12" hidden="1" customHeight="1">
      <c r="A15803" s="198"/>
    </row>
    <row r="15804" spans="1:1" s="199" customFormat="1" ht="12" hidden="1" customHeight="1">
      <c r="A15804" s="198"/>
    </row>
    <row r="15805" spans="1:1" s="199" customFormat="1" ht="12" hidden="1" customHeight="1">
      <c r="A15805" s="198"/>
    </row>
    <row r="15806" spans="1:1" s="199" customFormat="1" ht="12" hidden="1" customHeight="1">
      <c r="A15806" s="198"/>
    </row>
    <row r="15807" spans="1:1" s="199" customFormat="1" ht="12" hidden="1" customHeight="1">
      <c r="A15807" s="198"/>
    </row>
    <row r="15808" spans="1:1" s="199" customFormat="1" ht="12" hidden="1" customHeight="1">
      <c r="A15808" s="198"/>
    </row>
    <row r="15809" spans="1:1" s="199" customFormat="1" ht="12" hidden="1" customHeight="1">
      <c r="A15809" s="198"/>
    </row>
    <row r="15810" spans="1:1" s="199" customFormat="1" ht="12" hidden="1" customHeight="1">
      <c r="A15810" s="198"/>
    </row>
    <row r="15811" spans="1:1" s="199" customFormat="1" ht="12" hidden="1" customHeight="1">
      <c r="A15811" s="198"/>
    </row>
    <row r="15812" spans="1:1" s="199" customFormat="1" ht="12" hidden="1" customHeight="1">
      <c r="A15812" s="198"/>
    </row>
    <row r="15813" spans="1:1" s="199" customFormat="1" ht="12" hidden="1" customHeight="1">
      <c r="A15813" s="198"/>
    </row>
    <row r="15814" spans="1:1" s="199" customFormat="1" ht="12" hidden="1" customHeight="1">
      <c r="A15814" s="198"/>
    </row>
    <row r="15815" spans="1:1" s="199" customFormat="1" ht="12" hidden="1" customHeight="1">
      <c r="A15815" s="198"/>
    </row>
    <row r="15816" spans="1:1" s="199" customFormat="1" ht="12" hidden="1" customHeight="1">
      <c r="A15816" s="198"/>
    </row>
    <row r="15817" spans="1:1" s="199" customFormat="1" ht="12" hidden="1" customHeight="1">
      <c r="A15817" s="198"/>
    </row>
    <row r="15818" spans="1:1" s="199" customFormat="1" ht="12" hidden="1" customHeight="1">
      <c r="A15818" s="198"/>
    </row>
    <row r="15819" spans="1:1" s="199" customFormat="1" ht="12" hidden="1" customHeight="1">
      <c r="A15819" s="198"/>
    </row>
    <row r="15820" spans="1:1" s="199" customFormat="1" ht="12" hidden="1" customHeight="1">
      <c r="A15820" s="198"/>
    </row>
    <row r="15821" spans="1:1" s="199" customFormat="1" ht="12" hidden="1" customHeight="1">
      <c r="A15821" s="198"/>
    </row>
    <row r="15822" spans="1:1" s="199" customFormat="1" ht="12" hidden="1" customHeight="1">
      <c r="A15822" s="198"/>
    </row>
    <row r="15823" spans="1:1" s="199" customFormat="1" ht="12" hidden="1" customHeight="1">
      <c r="A15823" s="198"/>
    </row>
    <row r="15824" spans="1:1" s="199" customFormat="1" ht="12" hidden="1" customHeight="1">
      <c r="A15824" s="198"/>
    </row>
    <row r="15825" spans="1:1" s="199" customFormat="1" ht="12" hidden="1" customHeight="1">
      <c r="A15825" s="198"/>
    </row>
    <row r="15826" spans="1:1" s="199" customFormat="1" ht="12" hidden="1" customHeight="1">
      <c r="A15826" s="198"/>
    </row>
    <row r="15827" spans="1:1" s="199" customFormat="1" ht="12" hidden="1" customHeight="1">
      <c r="A15827" s="198"/>
    </row>
    <row r="15828" spans="1:1" s="199" customFormat="1" ht="12" hidden="1" customHeight="1">
      <c r="A15828" s="198"/>
    </row>
    <row r="15829" spans="1:1" s="199" customFormat="1" ht="12" hidden="1" customHeight="1">
      <c r="A15829" s="198"/>
    </row>
    <row r="15830" spans="1:1" s="199" customFormat="1" ht="12" hidden="1" customHeight="1">
      <c r="A15830" s="198"/>
    </row>
    <row r="15831" spans="1:1" s="199" customFormat="1" ht="12" hidden="1" customHeight="1">
      <c r="A15831" s="198"/>
    </row>
    <row r="15832" spans="1:1" s="199" customFormat="1" ht="12" hidden="1" customHeight="1">
      <c r="A15832" s="198"/>
    </row>
    <row r="15833" spans="1:1" s="199" customFormat="1" ht="12" hidden="1" customHeight="1">
      <c r="A15833" s="198"/>
    </row>
    <row r="15834" spans="1:1" s="199" customFormat="1" ht="12" hidden="1" customHeight="1">
      <c r="A15834" s="198"/>
    </row>
    <row r="15835" spans="1:1" s="199" customFormat="1" ht="12" hidden="1" customHeight="1">
      <c r="A15835" s="198"/>
    </row>
    <row r="15836" spans="1:1" s="199" customFormat="1" ht="12" hidden="1" customHeight="1">
      <c r="A15836" s="198"/>
    </row>
    <row r="15837" spans="1:1" s="199" customFormat="1" ht="12" hidden="1" customHeight="1">
      <c r="A15837" s="198"/>
    </row>
    <row r="15838" spans="1:1" s="199" customFormat="1" ht="12" hidden="1" customHeight="1">
      <c r="A15838" s="198"/>
    </row>
    <row r="15839" spans="1:1" s="199" customFormat="1" ht="12" hidden="1" customHeight="1">
      <c r="A15839" s="198"/>
    </row>
    <row r="15840" spans="1:1" s="199" customFormat="1" ht="12" hidden="1" customHeight="1">
      <c r="A15840" s="198"/>
    </row>
    <row r="15841" spans="1:1" s="199" customFormat="1" ht="12" hidden="1" customHeight="1">
      <c r="A15841" s="198"/>
    </row>
    <row r="15842" spans="1:1" s="199" customFormat="1" ht="12" hidden="1" customHeight="1">
      <c r="A15842" s="198"/>
    </row>
    <row r="15843" spans="1:1" s="199" customFormat="1" ht="12" hidden="1" customHeight="1">
      <c r="A15843" s="198"/>
    </row>
    <row r="15844" spans="1:1" s="199" customFormat="1" ht="12" hidden="1" customHeight="1">
      <c r="A15844" s="198"/>
    </row>
    <row r="15845" spans="1:1" s="199" customFormat="1" ht="12" hidden="1" customHeight="1">
      <c r="A15845" s="198"/>
    </row>
    <row r="15846" spans="1:1" s="199" customFormat="1" ht="12" hidden="1" customHeight="1">
      <c r="A15846" s="198"/>
    </row>
    <row r="15847" spans="1:1" s="199" customFormat="1" ht="12" hidden="1" customHeight="1">
      <c r="A15847" s="198"/>
    </row>
    <row r="15848" spans="1:1" s="199" customFormat="1" ht="12" hidden="1" customHeight="1">
      <c r="A15848" s="198"/>
    </row>
    <row r="15849" spans="1:1" s="199" customFormat="1" ht="12" hidden="1" customHeight="1">
      <c r="A15849" s="198"/>
    </row>
    <row r="15850" spans="1:1" s="199" customFormat="1" ht="12" hidden="1" customHeight="1">
      <c r="A15850" s="198"/>
    </row>
    <row r="15851" spans="1:1" s="199" customFormat="1" ht="12" hidden="1" customHeight="1">
      <c r="A15851" s="198"/>
    </row>
    <row r="15852" spans="1:1" s="199" customFormat="1" ht="12" hidden="1" customHeight="1">
      <c r="A15852" s="198"/>
    </row>
    <row r="15853" spans="1:1" s="199" customFormat="1" ht="12" hidden="1" customHeight="1">
      <c r="A15853" s="198"/>
    </row>
    <row r="15854" spans="1:1" s="199" customFormat="1" ht="12" hidden="1" customHeight="1">
      <c r="A15854" s="198"/>
    </row>
    <row r="15855" spans="1:1" s="199" customFormat="1" ht="12" hidden="1" customHeight="1">
      <c r="A15855" s="198"/>
    </row>
    <row r="15856" spans="1:1" s="199" customFormat="1" ht="12" hidden="1" customHeight="1">
      <c r="A15856" s="198"/>
    </row>
    <row r="15857" spans="1:1" s="199" customFormat="1" ht="12" hidden="1" customHeight="1">
      <c r="A15857" s="198"/>
    </row>
    <row r="15858" spans="1:1" s="199" customFormat="1" ht="12" hidden="1" customHeight="1">
      <c r="A15858" s="198"/>
    </row>
    <row r="15859" spans="1:1" s="199" customFormat="1" ht="12" hidden="1" customHeight="1">
      <c r="A15859" s="198"/>
    </row>
    <row r="15860" spans="1:1" s="199" customFormat="1" ht="12" hidden="1" customHeight="1">
      <c r="A15860" s="198"/>
    </row>
    <row r="15861" spans="1:1" s="199" customFormat="1" ht="12" hidden="1" customHeight="1">
      <c r="A15861" s="198"/>
    </row>
    <row r="15862" spans="1:1" s="199" customFormat="1" ht="12" hidden="1" customHeight="1">
      <c r="A15862" s="198"/>
    </row>
    <row r="15863" spans="1:1" s="199" customFormat="1" ht="12" hidden="1" customHeight="1">
      <c r="A15863" s="198"/>
    </row>
    <row r="15864" spans="1:1" s="199" customFormat="1" ht="12" hidden="1" customHeight="1">
      <c r="A15864" s="198"/>
    </row>
    <row r="15865" spans="1:1" s="199" customFormat="1" ht="12" hidden="1" customHeight="1">
      <c r="A15865" s="198"/>
    </row>
    <row r="15866" spans="1:1" s="199" customFormat="1" ht="12" hidden="1" customHeight="1">
      <c r="A15866" s="198"/>
    </row>
    <row r="15867" spans="1:1" s="199" customFormat="1" ht="12" hidden="1" customHeight="1">
      <c r="A15867" s="198"/>
    </row>
    <row r="15868" spans="1:1" s="199" customFormat="1" ht="12" hidden="1" customHeight="1">
      <c r="A15868" s="198"/>
    </row>
    <row r="15869" spans="1:1" s="199" customFormat="1" ht="12" hidden="1" customHeight="1">
      <c r="A15869" s="198"/>
    </row>
    <row r="15870" spans="1:1" s="199" customFormat="1" ht="12" hidden="1" customHeight="1">
      <c r="A15870" s="198"/>
    </row>
    <row r="15871" spans="1:1" s="199" customFormat="1" ht="12" hidden="1" customHeight="1">
      <c r="A15871" s="198"/>
    </row>
    <row r="15872" spans="1:1" s="199" customFormat="1" ht="12" hidden="1" customHeight="1">
      <c r="A15872" s="198"/>
    </row>
    <row r="15873" spans="1:1" s="199" customFormat="1" ht="12" hidden="1" customHeight="1">
      <c r="A15873" s="198"/>
    </row>
    <row r="15874" spans="1:1" s="199" customFormat="1" ht="12" hidden="1" customHeight="1">
      <c r="A15874" s="198"/>
    </row>
    <row r="15875" spans="1:1" s="199" customFormat="1" ht="12" hidden="1" customHeight="1">
      <c r="A15875" s="198"/>
    </row>
    <row r="15876" spans="1:1" s="199" customFormat="1" ht="12" hidden="1" customHeight="1">
      <c r="A15876" s="198"/>
    </row>
    <row r="15877" spans="1:1" s="199" customFormat="1" ht="12" hidden="1" customHeight="1">
      <c r="A15877" s="198"/>
    </row>
    <row r="15878" spans="1:1" s="199" customFormat="1" ht="12" hidden="1" customHeight="1">
      <c r="A15878" s="198"/>
    </row>
    <row r="15879" spans="1:1" s="199" customFormat="1" ht="12" hidden="1" customHeight="1">
      <c r="A15879" s="198"/>
    </row>
    <row r="15880" spans="1:1" s="199" customFormat="1" ht="12" hidden="1" customHeight="1">
      <c r="A15880" s="198"/>
    </row>
    <row r="15881" spans="1:1" s="199" customFormat="1" ht="12" hidden="1" customHeight="1">
      <c r="A15881" s="198"/>
    </row>
    <row r="15882" spans="1:1" s="199" customFormat="1" ht="12" hidden="1" customHeight="1">
      <c r="A15882" s="198"/>
    </row>
    <row r="15883" spans="1:1" s="199" customFormat="1" ht="12" hidden="1" customHeight="1">
      <c r="A15883" s="198"/>
    </row>
    <row r="15884" spans="1:1" s="199" customFormat="1" ht="12" hidden="1" customHeight="1">
      <c r="A15884" s="198"/>
    </row>
    <row r="15885" spans="1:1" s="199" customFormat="1" ht="12" hidden="1" customHeight="1">
      <c r="A15885" s="198"/>
    </row>
    <row r="15886" spans="1:1" s="199" customFormat="1" ht="12" hidden="1" customHeight="1">
      <c r="A15886" s="198"/>
    </row>
    <row r="15887" spans="1:1" s="199" customFormat="1" ht="12" hidden="1" customHeight="1">
      <c r="A15887" s="198"/>
    </row>
    <row r="15888" spans="1:1" s="199" customFormat="1" ht="12" hidden="1" customHeight="1">
      <c r="A15888" s="198"/>
    </row>
    <row r="15889" spans="1:1" s="199" customFormat="1" ht="12" hidden="1" customHeight="1">
      <c r="A15889" s="198"/>
    </row>
    <row r="15890" spans="1:1" s="199" customFormat="1" ht="12" hidden="1" customHeight="1">
      <c r="A15890" s="198"/>
    </row>
    <row r="15891" spans="1:1" s="199" customFormat="1" ht="12" hidden="1" customHeight="1">
      <c r="A15891" s="198"/>
    </row>
    <row r="15892" spans="1:1" s="199" customFormat="1" ht="12" hidden="1" customHeight="1">
      <c r="A15892" s="198"/>
    </row>
    <row r="15893" spans="1:1" s="199" customFormat="1" ht="12" hidden="1" customHeight="1">
      <c r="A15893" s="198"/>
    </row>
    <row r="15894" spans="1:1" s="199" customFormat="1" ht="12" hidden="1" customHeight="1">
      <c r="A15894" s="198"/>
    </row>
    <row r="15895" spans="1:1" s="199" customFormat="1" ht="12" hidden="1" customHeight="1">
      <c r="A15895" s="198"/>
    </row>
    <row r="15896" spans="1:1" s="199" customFormat="1" ht="12" hidden="1" customHeight="1">
      <c r="A15896" s="198"/>
    </row>
    <row r="15897" spans="1:1" s="199" customFormat="1" ht="12" hidden="1" customHeight="1">
      <c r="A15897" s="198"/>
    </row>
    <row r="15898" spans="1:1" s="199" customFormat="1" ht="12" hidden="1" customHeight="1">
      <c r="A15898" s="198"/>
    </row>
    <row r="15899" spans="1:1" s="199" customFormat="1" ht="12" hidden="1" customHeight="1">
      <c r="A15899" s="198"/>
    </row>
    <row r="15900" spans="1:1" s="199" customFormat="1" ht="12" hidden="1" customHeight="1">
      <c r="A15900" s="198"/>
    </row>
    <row r="15901" spans="1:1" s="199" customFormat="1" ht="12" hidden="1" customHeight="1">
      <c r="A15901" s="198"/>
    </row>
    <row r="15902" spans="1:1" s="199" customFormat="1" ht="12" hidden="1" customHeight="1">
      <c r="A15902" s="198"/>
    </row>
    <row r="15903" spans="1:1" s="199" customFormat="1" ht="12" hidden="1" customHeight="1">
      <c r="A15903" s="198"/>
    </row>
    <row r="15904" spans="1:1" s="199" customFormat="1" ht="12" hidden="1" customHeight="1">
      <c r="A15904" s="198"/>
    </row>
    <row r="15905" spans="1:1" s="199" customFormat="1" ht="12" hidden="1" customHeight="1">
      <c r="A15905" s="198"/>
    </row>
    <row r="15906" spans="1:1" s="199" customFormat="1" ht="12" hidden="1" customHeight="1">
      <c r="A15906" s="198"/>
    </row>
    <row r="15907" spans="1:1" s="199" customFormat="1" ht="12" hidden="1" customHeight="1">
      <c r="A15907" s="198"/>
    </row>
    <row r="15908" spans="1:1" s="199" customFormat="1" ht="12" hidden="1" customHeight="1">
      <c r="A15908" s="198"/>
    </row>
    <row r="15909" spans="1:1" s="199" customFormat="1" ht="12" hidden="1" customHeight="1">
      <c r="A15909" s="198"/>
    </row>
    <row r="15910" spans="1:1" s="199" customFormat="1" ht="12" hidden="1" customHeight="1">
      <c r="A15910" s="198"/>
    </row>
    <row r="15911" spans="1:1" s="199" customFormat="1" ht="12" hidden="1" customHeight="1">
      <c r="A15911" s="198"/>
    </row>
    <row r="15912" spans="1:1" s="199" customFormat="1" ht="12" hidden="1" customHeight="1">
      <c r="A15912" s="198"/>
    </row>
    <row r="15913" spans="1:1" s="199" customFormat="1" ht="12" hidden="1" customHeight="1">
      <c r="A15913" s="198"/>
    </row>
    <row r="15914" spans="1:1" s="199" customFormat="1" ht="12" hidden="1" customHeight="1">
      <c r="A15914" s="198"/>
    </row>
    <row r="15915" spans="1:1" s="199" customFormat="1" ht="12" hidden="1" customHeight="1">
      <c r="A15915" s="198"/>
    </row>
    <row r="15916" spans="1:1" s="199" customFormat="1" ht="12" hidden="1" customHeight="1">
      <c r="A15916" s="198"/>
    </row>
    <row r="15917" spans="1:1" s="199" customFormat="1" ht="12" hidden="1" customHeight="1">
      <c r="A15917" s="198"/>
    </row>
    <row r="15918" spans="1:1" s="199" customFormat="1" ht="12" hidden="1" customHeight="1">
      <c r="A15918" s="198"/>
    </row>
    <row r="15919" spans="1:1" s="199" customFormat="1" ht="12" hidden="1" customHeight="1">
      <c r="A15919" s="198"/>
    </row>
    <row r="15920" spans="1:1" s="199" customFormat="1" ht="12" hidden="1" customHeight="1">
      <c r="A15920" s="198"/>
    </row>
    <row r="15921" spans="1:1" s="199" customFormat="1" ht="12" hidden="1" customHeight="1">
      <c r="A15921" s="198"/>
    </row>
    <row r="15922" spans="1:1" s="199" customFormat="1" ht="12" hidden="1" customHeight="1">
      <c r="A15922" s="198"/>
    </row>
    <row r="15923" spans="1:1" s="199" customFormat="1" ht="12" hidden="1" customHeight="1">
      <c r="A15923" s="198"/>
    </row>
    <row r="15924" spans="1:1" s="199" customFormat="1" ht="12" hidden="1" customHeight="1">
      <c r="A15924" s="198"/>
    </row>
    <row r="15925" spans="1:1" s="199" customFormat="1" ht="12" hidden="1" customHeight="1">
      <c r="A15925" s="198"/>
    </row>
    <row r="15926" spans="1:1" s="199" customFormat="1" ht="12" hidden="1" customHeight="1">
      <c r="A15926" s="198"/>
    </row>
    <row r="15927" spans="1:1" s="199" customFormat="1" ht="12" hidden="1" customHeight="1">
      <c r="A15927" s="198"/>
    </row>
    <row r="15928" spans="1:1" s="199" customFormat="1" ht="12" hidden="1" customHeight="1">
      <c r="A15928" s="198"/>
    </row>
    <row r="15929" spans="1:1" s="199" customFormat="1" ht="12" hidden="1" customHeight="1">
      <c r="A15929" s="198"/>
    </row>
    <row r="15930" spans="1:1" s="199" customFormat="1" ht="12" hidden="1" customHeight="1">
      <c r="A15930" s="198"/>
    </row>
    <row r="15931" spans="1:1" s="199" customFormat="1" ht="12" hidden="1" customHeight="1">
      <c r="A15931" s="198"/>
    </row>
    <row r="15932" spans="1:1" s="199" customFormat="1" ht="12" hidden="1" customHeight="1">
      <c r="A15932" s="198"/>
    </row>
    <row r="15933" spans="1:1" s="199" customFormat="1" ht="12" hidden="1" customHeight="1">
      <c r="A15933" s="198"/>
    </row>
    <row r="15934" spans="1:1" s="199" customFormat="1" ht="12" hidden="1" customHeight="1">
      <c r="A15934" s="198"/>
    </row>
    <row r="15935" spans="1:1" s="199" customFormat="1" ht="12" hidden="1" customHeight="1">
      <c r="A15935" s="198"/>
    </row>
    <row r="15936" spans="1:1" s="199" customFormat="1" ht="12" hidden="1" customHeight="1">
      <c r="A15936" s="198"/>
    </row>
    <row r="15937" spans="1:1" s="199" customFormat="1" ht="12" hidden="1" customHeight="1">
      <c r="A15937" s="198"/>
    </row>
    <row r="15938" spans="1:1" s="199" customFormat="1" ht="12" hidden="1" customHeight="1">
      <c r="A15938" s="198"/>
    </row>
    <row r="15939" spans="1:1" s="199" customFormat="1" ht="12" hidden="1" customHeight="1">
      <c r="A15939" s="198"/>
    </row>
    <row r="15940" spans="1:1" s="199" customFormat="1" ht="12" hidden="1" customHeight="1">
      <c r="A15940" s="198"/>
    </row>
    <row r="15941" spans="1:1" s="199" customFormat="1" ht="12" hidden="1" customHeight="1">
      <c r="A15941" s="198"/>
    </row>
    <row r="15942" spans="1:1" s="199" customFormat="1" ht="12" hidden="1" customHeight="1">
      <c r="A15942" s="198"/>
    </row>
    <row r="15943" spans="1:1" s="199" customFormat="1" ht="12" hidden="1" customHeight="1">
      <c r="A15943" s="198"/>
    </row>
    <row r="15944" spans="1:1" s="199" customFormat="1" ht="12" hidden="1" customHeight="1">
      <c r="A15944" s="198"/>
    </row>
    <row r="15945" spans="1:1" s="199" customFormat="1" ht="12" hidden="1" customHeight="1">
      <c r="A15945" s="198"/>
    </row>
    <row r="15946" spans="1:1" s="199" customFormat="1" ht="12" hidden="1" customHeight="1">
      <c r="A15946" s="198"/>
    </row>
    <row r="15947" spans="1:1" s="199" customFormat="1" ht="12" hidden="1" customHeight="1">
      <c r="A15947" s="198"/>
    </row>
    <row r="15948" spans="1:1" s="199" customFormat="1" ht="12" hidden="1" customHeight="1">
      <c r="A15948" s="198"/>
    </row>
    <row r="15949" spans="1:1" s="199" customFormat="1" ht="12" hidden="1" customHeight="1">
      <c r="A15949" s="198"/>
    </row>
    <row r="15950" spans="1:1" s="199" customFormat="1" ht="12" hidden="1" customHeight="1">
      <c r="A15950" s="198"/>
    </row>
    <row r="15951" spans="1:1" s="199" customFormat="1" ht="12" hidden="1" customHeight="1">
      <c r="A15951" s="198"/>
    </row>
    <row r="15952" spans="1:1" s="199" customFormat="1" ht="12" hidden="1" customHeight="1">
      <c r="A15952" s="198"/>
    </row>
    <row r="15953" spans="1:1" s="199" customFormat="1" ht="12" hidden="1" customHeight="1">
      <c r="A15953" s="198"/>
    </row>
    <row r="15954" spans="1:1" s="199" customFormat="1" ht="12" hidden="1" customHeight="1">
      <c r="A15954" s="198"/>
    </row>
    <row r="15955" spans="1:1" s="199" customFormat="1" ht="12" hidden="1" customHeight="1">
      <c r="A15955" s="198"/>
    </row>
    <row r="15956" spans="1:1" s="199" customFormat="1" ht="12" hidden="1" customHeight="1">
      <c r="A15956" s="198"/>
    </row>
    <row r="15957" spans="1:1" s="199" customFormat="1" ht="12" hidden="1" customHeight="1">
      <c r="A15957" s="198"/>
    </row>
    <row r="15958" spans="1:1" s="199" customFormat="1" ht="12" hidden="1" customHeight="1">
      <c r="A15958" s="198"/>
    </row>
    <row r="15959" spans="1:1" s="199" customFormat="1" ht="12" hidden="1" customHeight="1">
      <c r="A15959" s="198"/>
    </row>
    <row r="15960" spans="1:1" s="199" customFormat="1" ht="12" hidden="1" customHeight="1">
      <c r="A15960" s="198"/>
    </row>
    <row r="15961" spans="1:1" s="199" customFormat="1" ht="12" hidden="1" customHeight="1">
      <c r="A15961" s="198"/>
    </row>
    <row r="15962" spans="1:1" s="199" customFormat="1" ht="12" hidden="1" customHeight="1">
      <c r="A15962" s="198"/>
    </row>
    <row r="15963" spans="1:1" s="199" customFormat="1" ht="12" hidden="1" customHeight="1">
      <c r="A15963" s="198"/>
    </row>
    <row r="15964" spans="1:1" s="199" customFormat="1" ht="12" hidden="1" customHeight="1">
      <c r="A15964" s="198"/>
    </row>
    <row r="15965" spans="1:1" s="199" customFormat="1" ht="12" hidden="1" customHeight="1">
      <c r="A15965" s="198"/>
    </row>
    <row r="15966" spans="1:1" s="199" customFormat="1" ht="12" hidden="1" customHeight="1">
      <c r="A15966" s="198"/>
    </row>
    <row r="15967" spans="1:1" s="199" customFormat="1" ht="12" hidden="1" customHeight="1">
      <c r="A15967" s="198"/>
    </row>
    <row r="15968" spans="1:1" s="199" customFormat="1" ht="12" hidden="1" customHeight="1">
      <c r="A15968" s="198"/>
    </row>
    <row r="15969" spans="1:1" s="199" customFormat="1" ht="12" hidden="1" customHeight="1">
      <c r="A15969" s="198"/>
    </row>
    <row r="15970" spans="1:1" s="199" customFormat="1" ht="12" hidden="1" customHeight="1">
      <c r="A15970" s="198"/>
    </row>
    <row r="15971" spans="1:1" s="199" customFormat="1" ht="12" hidden="1" customHeight="1">
      <c r="A15971" s="198"/>
    </row>
    <row r="15972" spans="1:1" s="199" customFormat="1" ht="12" hidden="1" customHeight="1">
      <c r="A15972" s="198"/>
    </row>
    <row r="15973" spans="1:1" s="199" customFormat="1" ht="12" hidden="1" customHeight="1">
      <c r="A15973" s="198"/>
    </row>
    <row r="15974" spans="1:1" s="199" customFormat="1" ht="12" hidden="1" customHeight="1">
      <c r="A15974" s="198"/>
    </row>
    <row r="15975" spans="1:1" s="199" customFormat="1" ht="12" hidden="1" customHeight="1">
      <c r="A15975" s="198"/>
    </row>
    <row r="15976" spans="1:1" s="199" customFormat="1" ht="12" hidden="1" customHeight="1">
      <c r="A15976" s="198"/>
    </row>
    <row r="15977" spans="1:1" s="199" customFormat="1" ht="12" hidden="1" customHeight="1">
      <c r="A15977" s="198"/>
    </row>
    <row r="15978" spans="1:1" s="199" customFormat="1" ht="12" hidden="1" customHeight="1">
      <c r="A15978" s="198"/>
    </row>
    <row r="15979" spans="1:1" s="199" customFormat="1" ht="12" hidden="1" customHeight="1">
      <c r="A15979" s="198"/>
    </row>
    <row r="15980" spans="1:1" s="199" customFormat="1" ht="12" hidden="1" customHeight="1">
      <c r="A15980" s="198"/>
    </row>
    <row r="15981" spans="1:1" s="199" customFormat="1" ht="12" hidden="1" customHeight="1">
      <c r="A15981" s="198"/>
    </row>
    <row r="15982" spans="1:1" s="199" customFormat="1" ht="12" hidden="1" customHeight="1">
      <c r="A15982" s="198"/>
    </row>
    <row r="15983" spans="1:1" s="199" customFormat="1" ht="12" hidden="1" customHeight="1">
      <c r="A15983" s="198"/>
    </row>
    <row r="15984" spans="1:1" s="199" customFormat="1" ht="12" hidden="1" customHeight="1">
      <c r="A15984" s="198"/>
    </row>
    <row r="15985" spans="1:1" s="199" customFormat="1" ht="12" hidden="1" customHeight="1">
      <c r="A15985" s="198"/>
    </row>
    <row r="15986" spans="1:1" s="199" customFormat="1" ht="12" hidden="1" customHeight="1">
      <c r="A15986" s="198"/>
    </row>
    <row r="15987" spans="1:1" s="199" customFormat="1" ht="12" hidden="1" customHeight="1">
      <c r="A15987" s="198"/>
    </row>
    <row r="15988" spans="1:1" s="199" customFormat="1" ht="12" hidden="1" customHeight="1">
      <c r="A15988" s="198"/>
    </row>
    <row r="15989" spans="1:1" s="199" customFormat="1" ht="12" hidden="1" customHeight="1">
      <c r="A15989" s="198"/>
    </row>
    <row r="15990" spans="1:1" s="199" customFormat="1" ht="12" hidden="1" customHeight="1">
      <c r="A15990" s="198"/>
    </row>
    <row r="15991" spans="1:1" s="199" customFormat="1" ht="12" hidden="1" customHeight="1">
      <c r="A15991" s="198"/>
    </row>
    <row r="15992" spans="1:1" s="199" customFormat="1" ht="12" hidden="1" customHeight="1">
      <c r="A15992" s="198"/>
    </row>
    <row r="15993" spans="1:1" s="199" customFormat="1" ht="12" hidden="1" customHeight="1">
      <c r="A15993" s="198"/>
    </row>
    <row r="15994" spans="1:1" s="199" customFormat="1" ht="12" hidden="1" customHeight="1">
      <c r="A15994" s="198"/>
    </row>
    <row r="15995" spans="1:1" s="199" customFormat="1" ht="12" hidden="1" customHeight="1">
      <c r="A15995" s="198"/>
    </row>
    <row r="15996" spans="1:1" s="199" customFormat="1" ht="12" hidden="1" customHeight="1">
      <c r="A15996" s="198"/>
    </row>
    <row r="15997" spans="1:1" s="199" customFormat="1" ht="12" hidden="1" customHeight="1">
      <c r="A15997" s="198"/>
    </row>
    <row r="15998" spans="1:1" s="199" customFormat="1" ht="12" hidden="1" customHeight="1">
      <c r="A15998" s="198"/>
    </row>
    <row r="15999" spans="1:1" s="199" customFormat="1" ht="12" hidden="1" customHeight="1">
      <c r="A15999" s="198"/>
    </row>
    <row r="16000" spans="1:1" s="199" customFormat="1" ht="12" hidden="1" customHeight="1">
      <c r="A16000" s="198"/>
    </row>
    <row r="16001" spans="1:1" s="199" customFormat="1" ht="12" hidden="1" customHeight="1">
      <c r="A16001" s="198"/>
    </row>
    <row r="16002" spans="1:1" s="199" customFormat="1" ht="12" hidden="1" customHeight="1">
      <c r="A16002" s="198"/>
    </row>
    <row r="16003" spans="1:1" s="199" customFormat="1" ht="12" hidden="1" customHeight="1">
      <c r="A16003" s="198"/>
    </row>
    <row r="16004" spans="1:1" s="199" customFormat="1" ht="12" hidden="1" customHeight="1">
      <c r="A16004" s="198"/>
    </row>
    <row r="16005" spans="1:1" s="199" customFormat="1" ht="12" hidden="1" customHeight="1">
      <c r="A16005" s="198"/>
    </row>
    <row r="16006" spans="1:1" s="199" customFormat="1" ht="12" hidden="1" customHeight="1">
      <c r="A16006" s="198"/>
    </row>
    <row r="16007" spans="1:1" s="199" customFormat="1" ht="12" hidden="1" customHeight="1">
      <c r="A16007" s="198"/>
    </row>
    <row r="16008" spans="1:1" s="199" customFormat="1" ht="12" hidden="1" customHeight="1">
      <c r="A16008" s="198"/>
    </row>
    <row r="16009" spans="1:1" s="199" customFormat="1" ht="12" hidden="1" customHeight="1">
      <c r="A16009" s="198"/>
    </row>
    <row r="16010" spans="1:1" s="199" customFormat="1" ht="12" hidden="1" customHeight="1">
      <c r="A16010" s="198"/>
    </row>
    <row r="16011" spans="1:1" s="199" customFormat="1" ht="12" hidden="1" customHeight="1">
      <c r="A16011" s="198"/>
    </row>
    <row r="16012" spans="1:1" s="199" customFormat="1" ht="12" hidden="1" customHeight="1">
      <c r="A16012" s="198"/>
    </row>
    <row r="16013" spans="1:1" s="199" customFormat="1" ht="12" hidden="1" customHeight="1">
      <c r="A16013" s="198"/>
    </row>
    <row r="16014" spans="1:1" s="199" customFormat="1" ht="12" hidden="1" customHeight="1">
      <c r="A16014" s="198"/>
    </row>
    <row r="16015" spans="1:1" s="199" customFormat="1" ht="12" hidden="1" customHeight="1">
      <c r="A16015" s="198"/>
    </row>
    <row r="16016" spans="1:1" s="199" customFormat="1" ht="12" hidden="1" customHeight="1">
      <c r="A16016" s="198"/>
    </row>
    <row r="16017" spans="1:1" s="199" customFormat="1" ht="12" hidden="1" customHeight="1">
      <c r="A16017" s="198"/>
    </row>
    <row r="16018" spans="1:1" s="199" customFormat="1" ht="12" hidden="1" customHeight="1">
      <c r="A16018" s="198"/>
    </row>
    <row r="16019" spans="1:1" s="199" customFormat="1" ht="12" hidden="1" customHeight="1">
      <c r="A16019" s="198"/>
    </row>
    <row r="16020" spans="1:1" s="199" customFormat="1" ht="12" hidden="1" customHeight="1">
      <c r="A16020" s="198"/>
    </row>
    <row r="16021" spans="1:1" s="199" customFormat="1" ht="12" hidden="1" customHeight="1">
      <c r="A16021" s="198"/>
    </row>
    <row r="16022" spans="1:1" s="199" customFormat="1" ht="12" hidden="1" customHeight="1">
      <c r="A16022" s="198"/>
    </row>
    <row r="16023" spans="1:1" s="199" customFormat="1" ht="12" hidden="1" customHeight="1">
      <c r="A16023" s="198"/>
    </row>
    <row r="16024" spans="1:1" s="199" customFormat="1" ht="12" hidden="1" customHeight="1">
      <c r="A16024" s="198"/>
    </row>
    <row r="16025" spans="1:1" s="199" customFormat="1" ht="12" hidden="1" customHeight="1">
      <c r="A16025" s="198"/>
    </row>
    <row r="16026" spans="1:1" s="199" customFormat="1" ht="12" hidden="1" customHeight="1">
      <c r="A16026" s="198"/>
    </row>
    <row r="16027" spans="1:1" s="199" customFormat="1" ht="12" hidden="1" customHeight="1">
      <c r="A16027" s="198"/>
    </row>
    <row r="16028" spans="1:1" s="199" customFormat="1" ht="12" hidden="1" customHeight="1">
      <c r="A16028" s="198"/>
    </row>
    <row r="16029" spans="1:1" s="199" customFormat="1" ht="12" hidden="1" customHeight="1">
      <c r="A16029" s="198"/>
    </row>
    <row r="16030" spans="1:1" s="199" customFormat="1" ht="12" hidden="1" customHeight="1">
      <c r="A16030" s="198"/>
    </row>
    <row r="16031" spans="1:1" s="199" customFormat="1" ht="12" hidden="1" customHeight="1">
      <c r="A16031" s="198"/>
    </row>
    <row r="16032" spans="1:1" s="199" customFormat="1" ht="12" hidden="1" customHeight="1">
      <c r="A16032" s="198"/>
    </row>
    <row r="16033" spans="1:1" s="199" customFormat="1" ht="12" hidden="1" customHeight="1">
      <c r="A16033" s="198"/>
    </row>
    <row r="16034" spans="1:1" s="199" customFormat="1" ht="12" hidden="1" customHeight="1">
      <c r="A16034" s="198"/>
    </row>
    <row r="16035" spans="1:1" s="199" customFormat="1" ht="12" hidden="1" customHeight="1">
      <c r="A16035" s="198"/>
    </row>
    <row r="16036" spans="1:1" s="199" customFormat="1" ht="12" hidden="1" customHeight="1">
      <c r="A16036" s="198"/>
    </row>
    <row r="16037" spans="1:1" s="199" customFormat="1" ht="12" hidden="1" customHeight="1">
      <c r="A16037" s="198"/>
    </row>
    <row r="16038" spans="1:1" s="199" customFormat="1" ht="12" hidden="1" customHeight="1">
      <c r="A16038" s="198"/>
    </row>
    <row r="16039" spans="1:1" s="199" customFormat="1" ht="12" hidden="1" customHeight="1">
      <c r="A16039" s="198"/>
    </row>
    <row r="16040" spans="1:1" s="199" customFormat="1" ht="12" hidden="1" customHeight="1">
      <c r="A16040" s="198"/>
    </row>
    <row r="16041" spans="1:1" s="199" customFormat="1" ht="12" hidden="1" customHeight="1">
      <c r="A16041" s="198"/>
    </row>
    <row r="16042" spans="1:1" s="199" customFormat="1" ht="12" hidden="1" customHeight="1">
      <c r="A16042" s="198"/>
    </row>
    <row r="16043" spans="1:1" s="199" customFormat="1" ht="12" hidden="1" customHeight="1">
      <c r="A16043" s="198"/>
    </row>
    <row r="16044" spans="1:1" s="199" customFormat="1" ht="12" hidden="1" customHeight="1">
      <c r="A16044" s="198"/>
    </row>
    <row r="16045" spans="1:1" s="199" customFormat="1" ht="12" hidden="1" customHeight="1">
      <c r="A16045" s="198"/>
    </row>
    <row r="16046" spans="1:1" s="199" customFormat="1" ht="12" hidden="1" customHeight="1">
      <c r="A16046" s="198"/>
    </row>
    <row r="16047" spans="1:1" s="199" customFormat="1" ht="12" hidden="1" customHeight="1">
      <c r="A16047" s="198"/>
    </row>
    <row r="16048" spans="1:1" s="199" customFormat="1" ht="12" hidden="1" customHeight="1">
      <c r="A16048" s="198"/>
    </row>
    <row r="16049" spans="1:1" s="199" customFormat="1" ht="12" hidden="1" customHeight="1">
      <c r="A16049" s="198"/>
    </row>
    <row r="16050" spans="1:1" s="199" customFormat="1" ht="12" hidden="1" customHeight="1">
      <c r="A16050" s="198"/>
    </row>
    <row r="16051" spans="1:1" s="199" customFormat="1" ht="12" hidden="1" customHeight="1">
      <c r="A16051" s="198"/>
    </row>
    <row r="16052" spans="1:1" s="199" customFormat="1" ht="12" hidden="1" customHeight="1">
      <c r="A16052" s="198"/>
    </row>
    <row r="16053" spans="1:1" s="199" customFormat="1" ht="12" hidden="1" customHeight="1">
      <c r="A16053" s="198"/>
    </row>
    <row r="16054" spans="1:1" s="199" customFormat="1" ht="12" hidden="1" customHeight="1">
      <c r="A16054" s="198"/>
    </row>
    <row r="16055" spans="1:1" s="199" customFormat="1" ht="12" hidden="1" customHeight="1">
      <c r="A16055" s="198"/>
    </row>
    <row r="16056" spans="1:1" s="199" customFormat="1" ht="12" hidden="1" customHeight="1">
      <c r="A16056" s="198"/>
    </row>
    <row r="16057" spans="1:1" s="199" customFormat="1" ht="12" hidden="1" customHeight="1">
      <c r="A16057" s="198"/>
    </row>
    <row r="16058" spans="1:1" s="199" customFormat="1" ht="12" hidden="1" customHeight="1">
      <c r="A16058" s="198"/>
    </row>
    <row r="16059" spans="1:1" s="199" customFormat="1" ht="12" hidden="1" customHeight="1">
      <c r="A16059" s="198"/>
    </row>
    <row r="16060" spans="1:1" s="199" customFormat="1" ht="12" hidden="1" customHeight="1">
      <c r="A16060" s="198"/>
    </row>
    <row r="16061" spans="1:1" s="199" customFormat="1" ht="12" hidden="1" customHeight="1">
      <c r="A16061" s="198"/>
    </row>
    <row r="16062" spans="1:1" s="199" customFormat="1" ht="12" hidden="1" customHeight="1">
      <c r="A16062" s="198"/>
    </row>
    <row r="16063" spans="1:1" s="199" customFormat="1" ht="12" hidden="1" customHeight="1">
      <c r="A16063" s="198"/>
    </row>
    <row r="16064" spans="1:1" s="199" customFormat="1" ht="12" hidden="1" customHeight="1">
      <c r="A16064" s="198"/>
    </row>
    <row r="16065" spans="1:1" s="199" customFormat="1" ht="12" hidden="1" customHeight="1">
      <c r="A16065" s="198"/>
    </row>
    <row r="16066" spans="1:1" s="199" customFormat="1" ht="12" hidden="1" customHeight="1">
      <c r="A16066" s="198"/>
    </row>
    <row r="16067" spans="1:1" s="199" customFormat="1" ht="12" hidden="1" customHeight="1">
      <c r="A16067" s="198"/>
    </row>
    <row r="16068" spans="1:1" s="199" customFormat="1" ht="12" hidden="1" customHeight="1">
      <c r="A16068" s="198"/>
    </row>
    <row r="16069" spans="1:1" s="199" customFormat="1" ht="12" hidden="1" customHeight="1">
      <c r="A16069" s="198"/>
    </row>
    <row r="16070" spans="1:1" s="199" customFormat="1" ht="12" hidden="1" customHeight="1">
      <c r="A16070" s="198"/>
    </row>
    <row r="16071" spans="1:1" s="199" customFormat="1" ht="12" hidden="1" customHeight="1">
      <c r="A16071" s="198"/>
    </row>
    <row r="16072" spans="1:1" s="199" customFormat="1" ht="12" hidden="1" customHeight="1">
      <c r="A16072" s="198"/>
    </row>
    <row r="16073" spans="1:1" s="199" customFormat="1" ht="12" hidden="1" customHeight="1">
      <c r="A16073" s="198"/>
    </row>
    <row r="16074" spans="1:1" s="199" customFormat="1" ht="12" hidden="1" customHeight="1">
      <c r="A16074" s="198"/>
    </row>
    <row r="16075" spans="1:1" s="199" customFormat="1" ht="12" hidden="1" customHeight="1">
      <c r="A16075" s="198"/>
    </row>
    <row r="16076" spans="1:1" s="199" customFormat="1" ht="12" hidden="1" customHeight="1">
      <c r="A16076" s="198"/>
    </row>
    <row r="16077" spans="1:1" s="199" customFormat="1" ht="12" hidden="1" customHeight="1">
      <c r="A16077" s="198"/>
    </row>
    <row r="16078" spans="1:1" s="199" customFormat="1" ht="12" hidden="1" customHeight="1">
      <c r="A16078" s="198"/>
    </row>
    <row r="16079" spans="1:1" s="199" customFormat="1" ht="12" hidden="1" customHeight="1">
      <c r="A16079" s="198"/>
    </row>
    <row r="16080" spans="1:1" s="199" customFormat="1" ht="12" hidden="1" customHeight="1">
      <c r="A16080" s="198"/>
    </row>
    <row r="16081" spans="1:1" s="199" customFormat="1" ht="12" hidden="1" customHeight="1">
      <c r="A16081" s="198"/>
    </row>
    <row r="16082" spans="1:1" s="199" customFormat="1" ht="12" hidden="1" customHeight="1">
      <c r="A16082" s="198"/>
    </row>
    <row r="16083" spans="1:1" s="199" customFormat="1" ht="12" hidden="1" customHeight="1">
      <c r="A16083" s="198"/>
    </row>
    <row r="16084" spans="1:1" s="199" customFormat="1" ht="12" hidden="1" customHeight="1">
      <c r="A16084" s="198"/>
    </row>
    <row r="16085" spans="1:1" s="199" customFormat="1" ht="12" hidden="1" customHeight="1">
      <c r="A16085" s="198"/>
    </row>
    <row r="16086" spans="1:1" s="199" customFormat="1" ht="12" hidden="1" customHeight="1">
      <c r="A16086" s="198"/>
    </row>
    <row r="16087" spans="1:1" s="199" customFormat="1" ht="12" hidden="1" customHeight="1">
      <c r="A16087" s="198"/>
    </row>
    <row r="16088" spans="1:1" s="199" customFormat="1" ht="12" hidden="1" customHeight="1">
      <c r="A16088" s="198"/>
    </row>
    <row r="16089" spans="1:1" s="199" customFormat="1" ht="12" hidden="1" customHeight="1">
      <c r="A16089" s="198"/>
    </row>
    <row r="16090" spans="1:1" s="199" customFormat="1" ht="12" hidden="1" customHeight="1">
      <c r="A16090" s="198"/>
    </row>
    <row r="16091" spans="1:1" s="199" customFormat="1" ht="12" hidden="1" customHeight="1">
      <c r="A16091" s="198"/>
    </row>
    <row r="16092" spans="1:1" s="199" customFormat="1" ht="12" hidden="1" customHeight="1">
      <c r="A16092" s="198"/>
    </row>
    <row r="16093" spans="1:1" s="199" customFormat="1" ht="12" hidden="1" customHeight="1">
      <c r="A16093" s="198"/>
    </row>
    <row r="16094" spans="1:1" s="199" customFormat="1" ht="12" hidden="1" customHeight="1">
      <c r="A16094" s="198"/>
    </row>
    <row r="16095" spans="1:1" s="199" customFormat="1" ht="12" hidden="1" customHeight="1">
      <c r="A16095" s="198"/>
    </row>
    <row r="16096" spans="1:1" s="199" customFormat="1" ht="12" hidden="1" customHeight="1">
      <c r="A16096" s="198"/>
    </row>
    <row r="16097" spans="1:1" s="199" customFormat="1" ht="12" hidden="1" customHeight="1">
      <c r="A16097" s="198"/>
    </row>
    <row r="16098" spans="1:1" s="199" customFormat="1" ht="12" hidden="1" customHeight="1">
      <c r="A16098" s="198"/>
    </row>
    <row r="16099" spans="1:1" s="199" customFormat="1" ht="12" hidden="1" customHeight="1">
      <c r="A16099" s="198"/>
    </row>
    <row r="16100" spans="1:1" s="199" customFormat="1" ht="12" hidden="1" customHeight="1">
      <c r="A16100" s="198"/>
    </row>
    <row r="16101" spans="1:1" s="199" customFormat="1" ht="12" hidden="1" customHeight="1">
      <c r="A16101" s="198"/>
    </row>
    <row r="16102" spans="1:1" s="199" customFormat="1" ht="12" hidden="1" customHeight="1">
      <c r="A16102" s="198"/>
    </row>
    <row r="16103" spans="1:1" s="199" customFormat="1" ht="12" hidden="1" customHeight="1">
      <c r="A16103" s="198"/>
    </row>
    <row r="16104" spans="1:1" s="199" customFormat="1" ht="12" hidden="1" customHeight="1">
      <c r="A16104" s="198"/>
    </row>
    <row r="16105" spans="1:1" s="199" customFormat="1" ht="12" hidden="1" customHeight="1">
      <c r="A16105" s="198"/>
    </row>
    <row r="16106" spans="1:1" s="199" customFormat="1" ht="12" hidden="1" customHeight="1">
      <c r="A16106" s="198"/>
    </row>
    <row r="16107" spans="1:1" s="199" customFormat="1" ht="12" hidden="1" customHeight="1">
      <c r="A16107" s="198"/>
    </row>
    <row r="16108" spans="1:1" s="199" customFormat="1" ht="12" hidden="1" customHeight="1">
      <c r="A16108" s="198"/>
    </row>
    <row r="16109" spans="1:1" s="199" customFormat="1" ht="12" hidden="1" customHeight="1">
      <c r="A16109" s="198"/>
    </row>
    <row r="16110" spans="1:1" s="199" customFormat="1" ht="12" hidden="1" customHeight="1">
      <c r="A16110" s="198"/>
    </row>
    <row r="16111" spans="1:1" s="199" customFormat="1" ht="12" hidden="1" customHeight="1">
      <c r="A16111" s="198"/>
    </row>
    <row r="16112" spans="1:1" s="199" customFormat="1" ht="12" hidden="1" customHeight="1">
      <c r="A16112" s="198"/>
    </row>
    <row r="16113" spans="1:1" s="199" customFormat="1" ht="12" hidden="1" customHeight="1">
      <c r="A16113" s="198"/>
    </row>
    <row r="16114" spans="1:1" s="199" customFormat="1" ht="12" hidden="1" customHeight="1">
      <c r="A16114" s="198"/>
    </row>
    <row r="16115" spans="1:1" s="199" customFormat="1" ht="12" hidden="1" customHeight="1">
      <c r="A16115" s="198"/>
    </row>
    <row r="16116" spans="1:1" s="199" customFormat="1" ht="12" hidden="1" customHeight="1">
      <c r="A16116" s="198"/>
    </row>
    <row r="16117" spans="1:1" s="199" customFormat="1" ht="12" hidden="1" customHeight="1">
      <c r="A16117" s="198"/>
    </row>
    <row r="16118" spans="1:1" s="199" customFormat="1" ht="12" hidden="1" customHeight="1">
      <c r="A16118" s="198"/>
    </row>
    <row r="16119" spans="1:1" s="199" customFormat="1" ht="12" hidden="1" customHeight="1">
      <c r="A16119" s="198"/>
    </row>
    <row r="16120" spans="1:1" s="199" customFormat="1" ht="12" hidden="1" customHeight="1">
      <c r="A16120" s="198"/>
    </row>
    <row r="16121" spans="1:1" s="199" customFormat="1" ht="12" hidden="1" customHeight="1">
      <c r="A16121" s="198"/>
    </row>
    <row r="16122" spans="1:1" s="199" customFormat="1" ht="12" hidden="1" customHeight="1">
      <c r="A16122" s="198"/>
    </row>
    <row r="16123" spans="1:1" s="199" customFormat="1" ht="12" hidden="1" customHeight="1">
      <c r="A16123" s="198"/>
    </row>
    <row r="16124" spans="1:1" s="199" customFormat="1" ht="12" hidden="1" customHeight="1">
      <c r="A16124" s="198"/>
    </row>
    <row r="16125" spans="1:1" s="199" customFormat="1" ht="12" hidden="1" customHeight="1">
      <c r="A16125" s="198"/>
    </row>
    <row r="16126" spans="1:1" s="199" customFormat="1" ht="12" hidden="1" customHeight="1">
      <c r="A16126" s="198"/>
    </row>
    <row r="16127" spans="1:1" s="199" customFormat="1" ht="12" hidden="1" customHeight="1">
      <c r="A16127" s="198"/>
    </row>
    <row r="16128" spans="1:1" s="199" customFormat="1" ht="12" hidden="1" customHeight="1">
      <c r="A16128" s="198"/>
    </row>
    <row r="16129" spans="1:1" s="199" customFormat="1" ht="12" hidden="1" customHeight="1">
      <c r="A16129" s="198"/>
    </row>
    <row r="16130" spans="1:1" s="199" customFormat="1" ht="12" hidden="1" customHeight="1">
      <c r="A16130" s="198"/>
    </row>
    <row r="16131" spans="1:1" s="199" customFormat="1" ht="12" hidden="1" customHeight="1">
      <c r="A16131" s="198"/>
    </row>
    <row r="16132" spans="1:1" s="199" customFormat="1" ht="12" hidden="1" customHeight="1">
      <c r="A16132" s="198"/>
    </row>
    <row r="16133" spans="1:1" s="199" customFormat="1" ht="12" hidden="1" customHeight="1">
      <c r="A16133" s="198"/>
    </row>
    <row r="16134" spans="1:1" s="199" customFormat="1" ht="12" hidden="1" customHeight="1">
      <c r="A16134" s="198"/>
    </row>
    <row r="16135" spans="1:1" s="199" customFormat="1" ht="12" hidden="1" customHeight="1">
      <c r="A16135" s="198"/>
    </row>
    <row r="16136" spans="1:1" s="199" customFormat="1" ht="12" hidden="1" customHeight="1">
      <c r="A16136" s="198"/>
    </row>
    <row r="16137" spans="1:1" s="199" customFormat="1" ht="12" hidden="1" customHeight="1">
      <c r="A16137" s="198"/>
    </row>
    <row r="16138" spans="1:1" s="199" customFormat="1" ht="12" hidden="1" customHeight="1">
      <c r="A16138" s="198"/>
    </row>
    <row r="16139" spans="1:1" s="199" customFormat="1" ht="12" hidden="1" customHeight="1">
      <c r="A16139" s="198"/>
    </row>
    <row r="16140" spans="1:1" s="199" customFormat="1" ht="12" hidden="1" customHeight="1">
      <c r="A16140" s="198"/>
    </row>
    <row r="16141" spans="1:1" s="199" customFormat="1" ht="12" hidden="1" customHeight="1">
      <c r="A16141" s="198"/>
    </row>
    <row r="16142" spans="1:1" s="199" customFormat="1" ht="12" hidden="1" customHeight="1">
      <c r="A16142" s="198"/>
    </row>
    <row r="16143" spans="1:1" s="199" customFormat="1" ht="12" hidden="1" customHeight="1">
      <c r="A16143" s="198"/>
    </row>
    <row r="16144" spans="1:1" s="199" customFormat="1" ht="12" hidden="1" customHeight="1">
      <c r="A16144" s="198"/>
    </row>
    <row r="16145" spans="1:1" s="199" customFormat="1" ht="12" hidden="1" customHeight="1">
      <c r="A16145" s="198"/>
    </row>
    <row r="16146" spans="1:1" s="199" customFormat="1" ht="12" hidden="1" customHeight="1">
      <c r="A16146" s="198"/>
    </row>
    <row r="16147" spans="1:1" s="199" customFormat="1" ht="12" hidden="1" customHeight="1">
      <c r="A16147" s="198"/>
    </row>
    <row r="16148" spans="1:1" s="199" customFormat="1" ht="12" hidden="1" customHeight="1">
      <c r="A16148" s="198"/>
    </row>
    <row r="16149" spans="1:1" s="199" customFormat="1" ht="12" hidden="1" customHeight="1">
      <c r="A16149" s="198"/>
    </row>
    <row r="16150" spans="1:1" s="199" customFormat="1" ht="12" hidden="1" customHeight="1">
      <c r="A16150" s="198"/>
    </row>
    <row r="16151" spans="1:1" s="199" customFormat="1" ht="12" hidden="1" customHeight="1">
      <c r="A16151" s="198"/>
    </row>
    <row r="16152" spans="1:1" s="199" customFormat="1" ht="12" hidden="1" customHeight="1">
      <c r="A16152" s="198"/>
    </row>
    <row r="16153" spans="1:1" s="199" customFormat="1" ht="12" hidden="1" customHeight="1">
      <c r="A16153" s="198"/>
    </row>
    <row r="16154" spans="1:1" s="199" customFormat="1" ht="12" hidden="1" customHeight="1">
      <c r="A16154" s="198"/>
    </row>
    <row r="16155" spans="1:1" s="199" customFormat="1" ht="12" hidden="1" customHeight="1">
      <c r="A16155" s="198"/>
    </row>
    <row r="16156" spans="1:1" s="199" customFormat="1" ht="12" hidden="1" customHeight="1">
      <c r="A16156" s="198"/>
    </row>
    <row r="16157" spans="1:1" s="199" customFormat="1" ht="12" hidden="1" customHeight="1">
      <c r="A16157" s="198"/>
    </row>
    <row r="16158" spans="1:1" s="199" customFormat="1" ht="12" hidden="1" customHeight="1">
      <c r="A16158" s="198"/>
    </row>
    <row r="16159" spans="1:1" s="199" customFormat="1" ht="12" hidden="1" customHeight="1">
      <c r="A16159" s="198"/>
    </row>
    <row r="16160" spans="1:1" s="199" customFormat="1" ht="12" hidden="1" customHeight="1">
      <c r="A16160" s="198"/>
    </row>
    <row r="16161" spans="1:1" s="199" customFormat="1" ht="12" hidden="1" customHeight="1">
      <c r="A16161" s="198"/>
    </row>
    <row r="16162" spans="1:1" s="199" customFormat="1" ht="12" hidden="1" customHeight="1">
      <c r="A16162" s="198"/>
    </row>
    <row r="16163" spans="1:1" s="199" customFormat="1" ht="12" hidden="1" customHeight="1">
      <c r="A16163" s="198"/>
    </row>
    <row r="16164" spans="1:1" s="199" customFormat="1" ht="12" hidden="1" customHeight="1">
      <c r="A16164" s="198"/>
    </row>
    <row r="16165" spans="1:1" s="199" customFormat="1" ht="12" hidden="1" customHeight="1">
      <c r="A16165" s="198"/>
    </row>
    <row r="16166" spans="1:1" s="199" customFormat="1" ht="12" hidden="1" customHeight="1">
      <c r="A16166" s="198"/>
    </row>
    <row r="16167" spans="1:1" s="199" customFormat="1" ht="12" hidden="1" customHeight="1">
      <c r="A16167" s="198"/>
    </row>
    <row r="16168" spans="1:1" s="199" customFormat="1" ht="12" hidden="1" customHeight="1">
      <c r="A16168" s="198"/>
    </row>
    <row r="16169" spans="1:1" s="199" customFormat="1" ht="12" hidden="1" customHeight="1">
      <c r="A16169" s="198"/>
    </row>
    <row r="16170" spans="1:1" s="199" customFormat="1" ht="12" hidden="1" customHeight="1">
      <c r="A16170" s="198"/>
    </row>
    <row r="16171" spans="1:1" s="199" customFormat="1" ht="12" hidden="1" customHeight="1">
      <c r="A16171" s="198"/>
    </row>
    <row r="16172" spans="1:1" s="199" customFormat="1" ht="12" hidden="1" customHeight="1">
      <c r="A16172" s="198"/>
    </row>
    <row r="16173" spans="1:1" s="199" customFormat="1" ht="12" hidden="1" customHeight="1">
      <c r="A16173" s="198"/>
    </row>
    <row r="16174" spans="1:1" s="199" customFormat="1" ht="12" hidden="1" customHeight="1">
      <c r="A16174" s="198"/>
    </row>
    <row r="16175" spans="1:1" s="199" customFormat="1" ht="12" hidden="1" customHeight="1">
      <c r="A16175" s="198"/>
    </row>
    <row r="16176" spans="1:1" s="199" customFormat="1" ht="12" hidden="1" customHeight="1">
      <c r="A16176" s="198"/>
    </row>
    <row r="16177" spans="1:1" s="199" customFormat="1" ht="12" hidden="1" customHeight="1">
      <c r="A16177" s="198"/>
    </row>
    <row r="16178" spans="1:1" s="199" customFormat="1" ht="12" hidden="1" customHeight="1">
      <c r="A16178" s="198"/>
    </row>
    <row r="16179" spans="1:1" s="199" customFormat="1" ht="12" hidden="1" customHeight="1">
      <c r="A16179" s="198"/>
    </row>
    <row r="16180" spans="1:1" s="199" customFormat="1" ht="12" hidden="1" customHeight="1">
      <c r="A16180" s="198"/>
    </row>
    <row r="16181" spans="1:1" s="199" customFormat="1" ht="12" hidden="1" customHeight="1">
      <c r="A16181" s="198"/>
    </row>
    <row r="16182" spans="1:1" s="199" customFormat="1" ht="12" hidden="1" customHeight="1">
      <c r="A16182" s="198"/>
    </row>
    <row r="16183" spans="1:1" s="199" customFormat="1" ht="12" hidden="1" customHeight="1">
      <c r="A16183" s="198"/>
    </row>
    <row r="16184" spans="1:1" s="199" customFormat="1" ht="12" hidden="1" customHeight="1">
      <c r="A16184" s="198"/>
    </row>
    <row r="16185" spans="1:1" s="199" customFormat="1" ht="12" hidden="1" customHeight="1">
      <c r="A16185" s="198"/>
    </row>
    <row r="16186" spans="1:1" s="199" customFormat="1" ht="12" hidden="1" customHeight="1">
      <c r="A16186" s="198"/>
    </row>
    <row r="16187" spans="1:1" s="199" customFormat="1" ht="12" hidden="1" customHeight="1">
      <c r="A16187" s="198"/>
    </row>
    <row r="16188" spans="1:1" s="199" customFormat="1" ht="12" hidden="1" customHeight="1">
      <c r="A16188" s="198"/>
    </row>
    <row r="16189" spans="1:1" s="199" customFormat="1" ht="12" hidden="1" customHeight="1">
      <c r="A16189" s="198"/>
    </row>
    <row r="16190" spans="1:1" s="199" customFormat="1" ht="12" hidden="1" customHeight="1">
      <c r="A16190" s="198"/>
    </row>
    <row r="16191" spans="1:1" s="199" customFormat="1" ht="12" hidden="1" customHeight="1">
      <c r="A16191" s="198"/>
    </row>
    <row r="16192" spans="1:1" s="199" customFormat="1" ht="12" hidden="1" customHeight="1">
      <c r="A16192" s="198"/>
    </row>
    <row r="16193" spans="1:1" s="199" customFormat="1" ht="12" hidden="1" customHeight="1">
      <c r="A16193" s="198"/>
    </row>
    <row r="16194" spans="1:1" s="199" customFormat="1" ht="12" hidden="1" customHeight="1">
      <c r="A16194" s="198"/>
    </row>
    <row r="16195" spans="1:1" s="199" customFormat="1" ht="12" hidden="1" customHeight="1">
      <c r="A16195" s="198"/>
    </row>
    <row r="16196" spans="1:1" s="199" customFormat="1" ht="12" hidden="1" customHeight="1">
      <c r="A16196" s="198"/>
    </row>
    <row r="16197" spans="1:1" s="199" customFormat="1" ht="12" hidden="1" customHeight="1">
      <c r="A16197" s="198"/>
    </row>
    <row r="16198" spans="1:1" s="199" customFormat="1" ht="12" hidden="1" customHeight="1">
      <c r="A16198" s="198"/>
    </row>
    <row r="16199" spans="1:1" s="199" customFormat="1" ht="12" hidden="1" customHeight="1">
      <c r="A16199" s="198"/>
    </row>
    <row r="16200" spans="1:1" s="199" customFormat="1" ht="12" hidden="1" customHeight="1">
      <c r="A16200" s="198"/>
    </row>
    <row r="16201" spans="1:1" s="199" customFormat="1" ht="12" hidden="1" customHeight="1">
      <c r="A16201" s="198"/>
    </row>
    <row r="16202" spans="1:1" s="199" customFormat="1" ht="12" hidden="1" customHeight="1">
      <c r="A16202" s="198"/>
    </row>
    <row r="16203" spans="1:1" s="199" customFormat="1" ht="12" hidden="1" customHeight="1">
      <c r="A16203" s="198"/>
    </row>
    <row r="16204" spans="1:1" s="199" customFormat="1" ht="12" hidden="1" customHeight="1">
      <c r="A16204" s="198"/>
    </row>
    <row r="16205" spans="1:1" s="199" customFormat="1" ht="12" hidden="1" customHeight="1">
      <c r="A16205" s="198"/>
    </row>
    <row r="16206" spans="1:1" s="199" customFormat="1" ht="12" hidden="1" customHeight="1">
      <c r="A16206" s="198"/>
    </row>
    <row r="16207" spans="1:1" s="199" customFormat="1" ht="12" hidden="1" customHeight="1">
      <c r="A16207" s="198"/>
    </row>
    <row r="16208" spans="1:1" s="199" customFormat="1" ht="12" hidden="1" customHeight="1">
      <c r="A16208" s="198"/>
    </row>
    <row r="16209" spans="1:1" s="199" customFormat="1" ht="12" hidden="1" customHeight="1">
      <c r="A16209" s="198"/>
    </row>
    <row r="16210" spans="1:1" s="199" customFormat="1" ht="12" hidden="1" customHeight="1">
      <c r="A16210" s="198"/>
    </row>
    <row r="16211" spans="1:1" s="199" customFormat="1" ht="12" hidden="1" customHeight="1">
      <c r="A16211" s="198"/>
    </row>
    <row r="16212" spans="1:1" s="199" customFormat="1" ht="12" hidden="1" customHeight="1">
      <c r="A16212" s="198"/>
    </row>
    <row r="16213" spans="1:1" s="199" customFormat="1" ht="12" hidden="1" customHeight="1">
      <c r="A16213" s="198"/>
    </row>
    <row r="16214" spans="1:1" s="199" customFormat="1" ht="12" hidden="1" customHeight="1">
      <c r="A16214" s="198"/>
    </row>
    <row r="16215" spans="1:1" s="199" customFormat="1" ht="12" hidden="1" customHeight="1">
      <c r="A16215" s="198"/>
    </row>
    <row r="16216" spans="1:1" s="199" customFormat="1" ht="12" hidden="1" customHeight="1">
      <c r="A16216" s="198"/>
    </row>
    <row r="16217" spans="1:1" s="199" customFormat="1" ht="12" hidden="1" customHeight="1">
      <c r="A16217" s="198"/>
    </row>
    <row r="16218" spans="1:1" s="199" customFormat="1" ht="12" hidden="1" customHeight="1">
      <c r="A16218" s="198"/>
    </row>
    <row r="16219" spans="1:1" s="199" customFormat="1" ht="12" hidden="1" customHeight="1">
      <c r="A16219" s="198"/>
    </row>
    <row r="16220" spans="1:1" s="199" customFormat="1" ht="12" hidden="1" customHeight="1">
      <c r="A16220" s="198"/>
    </row>
    <row r="16221" spans="1:1" s="199" customFormat="1" ht="12" hidden="1" customHeight="1">
      <c r="A16221" s="198"/>
    </row>
    <row r="16222" spans="1:1" s="199" customFormat="1" ht="12" hidden="1" customHeight="1">
      <c r="A16222" s="198"/>
    </row>
    <row r="16223" spans="1:1" s="199" customFormat="1" ht="12" hidden="1" customHeight="1">
      <c r="A16223" s="198"/>
    </row>
    <row r="16224" spans="1:1" s="199" customFormat="1" ht="12" hidden="1" customHeight="1">
      <c r="A16224" s="198"/>
    </row>
    <row r="16225" spans="1:1" s="199" customFormat="1" ht="12" hidden="1" customHeight="1">
      <c r="A16225" s="198"/>
    </row>
    <row r="16226" spans="1:1" s="199" customFormat="1" ht="12" hidden="1" customHeight="1">
      <c r="A16226" s="198"/>
    </row>
    <row r="16227" spans="1:1" s="199" customFormat="1" ht="12" hidden="1" customHeight="1">
      <c r="A16227" s="198"/>
    </row>
    <row r="16228" spans="1:1" s="199" customFormat="1" ht="12" hidden="1" customHeight="1">
      <c r="A16228" s="198"/>
    </row>
    <row r="16229" spans="1:1" s="199" customFormat="1" ht="12" hidden="1" customHeight="1">
      <c r="A16229" s="198"/>
    </row>
    <row r="16230" spans="1:1" s="199" customFormat="1" ht="12" hidden="1" customHeight="1">
      <c r="A16230" s="198"/>
    </row>
    <row r="16231" spans="1:1" s="199" customFormat="1" ht="12" hidden="1" customHeight="1">
      <c r="A16231" s="198"/>
    </row>
    <row r="16232" spans="1:1" s="199" customFormat="1" ht="12" hidden="1" customHeight="1">
      <c r="A16232" s="198"/>
    </row>
    <row r="16233" spans="1:1" s="199" customFormat="1" ht="12" hidden="1" customHeight="1">
      <c r="A16233" s="198"/>
    </row>
    <row r="16234" spans="1:1" s="199" customFormat="1" ht="12" hidden="1" customHeight="1">
      <c r="A16234" s="198"/>
    </row>
    <row r="16235" spans="1:1" s="199" customFormat="1" ht="12" hidden="1" customHeight="1">
      <c r="A16235" s="198"/>
    </row>
    <row r="16236" spans="1:1" s="199" customFormat="1" ht="12" hidden="1" customHeight="1">
      <c r="A16236" s="198"/>
    </row>
    <row r="16237" spans="1:1" s="199" customFormat="1" ht="12" hidden="1" customHeight="1">
      <c r="A16237" s="198"/>
    </row>
    <row r="16238" spans="1:1" s="199" customFormat="1" ht="12" hidden="1" customHeight="1">
      <c r="A16238" s="198"/>
    </row>
    <row r="16239" spans="1:1" s="199" customFormat="1" ht="12" hidden="1" customHeight="1">
      <c r="A16239" s="198"/>
    </row>
    <row r="16240" spans="1:1" s="199" customFormat="1" ht="12" hidden="1" customHeight="1">
      <c r="A16240" s="198"/>
    </row>
    <row r="16241" spans="1:1" s="199" customFormat="1" ht="12" hidden="1" customHeight="1">
      <c r="A16241" s="198"/>
    </row>
    <row r="16242" spans="1:1" s="199" customFormat="1" ht="12" hidden="1" customHeight="1">
      <c r="A16242" s="198"/>
    </row>
    <row r="16243" spans="1:1" s="199" customFormat="1" ht="12" hidden="1" customHeight="1">
      <c r="A16243" s="198"/>
    </row>
    <row r="16244" spans="1:1" s="199" customFormat="1" ht="12" hidden="1" customHeight="1">
      <c r="A16244" s="198"/>
    </row>
    <row r="16245" spans="1:1" s="199" customFormat="1" ht="12" hidden="1" customHeight="1">
      <c r="A16245" s="198"/>
    </row>
    <row r="16246" spans="1:1" s="199" customFormat="1" ht="12" hidden="1" customHeight="1">
      <c r="A16246" s="198"/>
    </row>
    <row r="16247" spans="1:1" s="199" customFormat="1" ht="12" hidden="1" customHeight="1">
      <c r="A16247" s="198"/>
    </row>
    <row r="16248" spans="1:1" s="199" customFormat="1" ht="12" hidden="1" customHeight="1">
      <c r="A16248" s="198"/>
    </row>
    <row r="16249" spans="1:1" s="199" customFormat="1" ht="12" hidden="1" customHeight="1">
      <c r="A16249" s="198"/>
    </row>
    <row r="16250" spans="1:1" s="199" customFormat="1" ht="12" hidden="1" customHeight="1">
      <c r="A16250" s="198"/>
    </row>
    <row r="16251" spans="1:1" s="199" customFormat="1" ht="12" hidden="1" customHeight="1">
      <c r="A16251" s="198"/>
    </row>
    <row r="16252" spans="1:1" s="199" customFormat="1" ht="12" hidden="1" customHeight="1">
      <c r="A16252" s="198"/>
    </row>
    <row r="16253" spans="1:1" s="199" customFormat="1" ht="12" hidden="1" customHeight="1">
      <c r="A16253" s="198"/>
    </row>
    <row r="16254" spans="1:1" s="199" customFormat="1" ht="12" hidden="1" customHeight="1">
      <c r="A16254" s="198"/>
    </row>
    <row r="16255" spans="1:1" s="199" customFormat="1" ht="12" hidden="1" customHeight="1">
      <c r="A16255" s="198"/>
    </row>
    <row r="16256" spans="1:1" s="199" customFormat="1" ht="12" hidden="1" customHeight="1">
      <c r="A16256" s="198"/>
    </row>
    <row r="16257" spans="1:1" s="199" customFormat="1" ht="12" hidden="1" customHeight="1">
      <c r="A16257" s="198"/>
    </row>
    <row r="16258" spans="1:1" s="199" customFormat="1" ht="12" hidden="1" customHeight="1">
      <c r="A16258" s="198"/>
    </row>
    <row r="16259" spans="1:1" s="199" customFormat="1" ht="12" hidden="1" customHeight="1">
      <c r="A16259" s="198"/>
    </row>
    <row r="16260" spans="1:1" s="199" customFormat="1" ht="12" hidden="1" customHeight="1">
      <c r="A16260" s="198"/>
    </row>
    <row r="16261" spans="1:1" s="199" customFormat="1" ht="12" hidden="1" customHeight="1">
      <c r="A16261" s="198"/>
    </row>
    <row r="16262" spans="1:1" s="199" customFormat="1" ht="12" hidden="1" customHeight="1">
      <c r="A16262" s="198"/>
    </row>
    <row r="16263" spans="1:1" s="199" customFormat="1" ht="12" hidden="1" customHeight="1">
      <c r="A16263" s="198"/>
    </row>
    <row r="16264" spans="1:1" s="199" customFormat="1" ht="12" hidden="1" customHeight="1">
      <c r="A16264" s="198"/>
    </row>
    <row r="16265" spans="1:1" s="199" customFormat="1" ht="12" hidden="1" customHeight="1">
      <c r="A16265" s="198"/>
    </row>
    <row r="16266" spans="1:1" s="199" customFormat="1" ht="12" hidden="1" customHeight="1">
      <c r="A16266" s="198"/>
    </row>
    <row r="16267" spans="1:1" s="199" customFormat="1" ht="12" hidden="1" customHeight="1">
      <c r="A16267" s="198"/>
    </row>
    <row r="16268" spans="1:1" s="199" customFormat="1" ht="12" hidden="1" customHeight="1">
      <c r="A16268" s="198"/>
    </row>
    <row r="16269" spans="1:1" s="199" customFormat="1" ht="12" hidden="1" customHeight="1">
      <c r="A16269" s="198"/>
    </row>
    <row r="16270" spans="1:1" s="199" customFormat="1" ht="12" hidden="1" customHeight="1">
      <c r="A16270" s="198"/>
    </row>
    <row r="16271" spans="1:1" s="199" customFormat="1" ht="12" hidden="1" customHeight="1">
      <c r="A16271" s="198"/>
    </row>
    <row r="16272" spans="1:1" s="199" customFormat="1" ht="12" hidden="1" customHeight="1">
      <c r="A16272" s="198"/>
    </row>
    <row r="16273" spans="1:1" s="199" customFormat="1" ht="12" hidden="1" customHeight="1">
      <c r="A16273" s="198"/>
    </row>
    <row r="16274" spans="1:1" s="199" customFormat="1" ht="12" hidden="1" customHeight="1">
      <c r="A16274" s="198"/>
    </row>
    <row r="16275" spans="1:1" s="199" customFormat="1" ht="12" hidden="1" customHeight="1">
      <c r="A16275" s="198"/>
    </row>
    <row r="16276" spans="1:1" s="199" customFormat="1" ht="12" hidden="1" customHeight="1">
      <c r="A16276" s="198"/>
    </row>
    <row r="16277" spans="1:1" s="199" customFormat="1" ht="12" hidden="1" customHeight="1">
      <c r="A16277" s="198"/>
    </row>
    <row r="16278" spans="1:1" s="199" customFormat="1" ht="12" hidden="1" customHeight="1">
      <c r="A16278" s="198"/>
    </row>
    <row r="16279" spans="1:1" s="199" customFormat="1" ht="12" hidden="1" customHeight="1">
      <c r="A16279" s="198"/>
    </row>
    <row r="16280" spans="1:1" s="199" customFormat="1" ht="12" hidden="1" customHeight="1">
      <c r="A16280" s="198"/>
    </row>
    <row r="16281" spans="1:1" s="199" customFormat="1" ht="12" hidden="1" customHeight="1">
      <c r="A16281" s="198"/>
    </row>
    <row r="16282" spans="1:1" s="199" customFormat="1" ht="12" hidden="1" customHeight="1">
      <c r="A16282" s="198"/>
    </row>
    <row r="16283" spans="1:1" s="199" customFormat="1" ht="12" hidden="1" customHeight="1">
      <c r="A16283" s="198"/>
    </row>
    <row r="16284" spans="1:1" s="199" customFormat="1" ht="12" hidden="1" customHeight="1">
      <c r="A16284" s="198"/>
    </row>
    <row r="16285" spans="1:1" s="199" customFormat="1" ht="12" hidden="1" customHeight="1">
      <c r="A16285" s="198"/>
    </row>
    <row r="16286" spans="1:1" s="199" customFormat="1" ht="12" hidden="1" customHeight="1">
      <c r="A16286" s="198"/>
    </row>
    <row r="16287" spans="1:1" s="199" customFormat="1" ht="12" hidden="1" customHeight="1">
      <c r="A16287" s="198"/>
    </row>
    <row r="16288" spans="1:1" s="199" customFormat="1" ht="12" hidden="1" customHeight="1">
      <c r="A16288" s="198"/>
    </row>
    <row r="16289" spans="1:1" s="199" customFormat="1" ht="12" hidden="1" customHeight="1">
      <c r="A16289" s="198"/>
    </row>
    <row r="16290" spans="1:1" s="199" customFormat="1" ht="12" hidden="1" customHeight="1">
      <c r="A16290" s="198"/>
    </row>
    <row r="16291" spans="1:1" s="199" customFormat="1" ht="12" hidden="1" customHeight="1">
      <c r="A16291" s="198"/>
    </row>
    <row r="16292" spans="1:1" s="199" customFormat="1" ht="12" hidden="1" customHeight="1">
      <c r="A16292" s="198"/>
    </row>
    <row r="16293" spans="1:1" s="199" customFormat="1" ht="12" hidden="1" customHeight="1">
      <c r="A16293" s="198"/>
    </row>
    <row r="16294" spans="1:1" s="199" customFormat="1" ht="12" hidden="1" customHeight="1">
      <c r="A16294" s="198"/>
    </row>
    <row r="16295" spans="1:1" s="199" customFormat="1" ht="12" hidden="1" customHeight="1">
      <c r="A16295" s="198"/>
    </row>
    <row r="16296" spans="1:1" s="199" customFormat="1" ht="12" hidden="1" customHeight="1">
      <c r="A16296" s="198"/>
    </row>
    <row r="16297" spans="1:1" s="199" customFormat="1" ht="12" hidden="1" customHeight="1">
      <c r="A16297" s="198"/>
    </row>
    <row r="16298" spans="1:1" s="199" customFormat="1" ht="12" hidden="1" customHeight="1">
      <c r="A16298" s="198"/>
    </row>
    <row r="16299" spans="1:1" s="199" customFormat="1" ht="12" hidden="1" customHeight="1">
      <c r="A16299" s="198"/>
    </row>
    <row r="16300" spans="1:1" s="199" customFormat="1" ht="12" hidden="1" customHeight="1">
      <c r="A16300" s="198"/>
    </row>
    <row r="16301" spans="1:1" s="199" customFormat="1" ht="12" hidden="1" customHeight="1">
      <c r="A16301" s="198"/>
    </row>
    <row r="16302" spans="1:1" s="199" customFormat="1" ht="12" hidden="1" customHeight="1">
      <c r="A16302" s="198"/>
    </row>
    <row r="16303" spans="1:1" s="199" customFormat="1" ht="12" hidden="1" customHeight="1">
      <c r="A16303" s="198"/>
    </row>
    <row r="16304" spans="1:1" s="199" customFormat="1" ht="12" hidden="1" customHeight="1">
      <c r="A16304" s="198"/>
    </row>
    <row r="16305" spans="1:1" s="199" customFormat="1" ht="12" hidden="1" customHeight="1">
      <c r="A16305" s="198"/>
    </row>
    <row r="16306" spans="1:1" s="199" customFormat="1" ht="12" hidden="1" customHeight="1">
      <c r="A16306" s="198"/>
    </row>
    <row r="16307" spans="1:1" s="199" customFormat="1" ht="12" hidden="1" customHeight="1">
      <c r="A16307" s="198"/>
    </row>
    <row r="16308" spans="1:1" s="199" customFormat="1" ht="12" hidden="1" customHeight="1">
      <c r="A16308" s="198"/>
    </row>
    <row r="16309" spans="1:1" s="199" customFormat="1" ht="12" hidden="1" customHeight="1">
      <c r="A16309" s="198"/>
    </row>
    <row r="16310" spans="1:1" s="199" customFormat="1" ht="12" hidden="1" customHeight="1">
      <c r="A16310" s="198"/>
    </row>
    <row r="16311" spans="1:1" s="199" customFormat="1" ht="12" hidden="1" customHeight="1">
      <c r="A16311" s="198"/>
    </row>
    <row r="16312" spans="1:1" s="199" customFormat="1" ht="12" hidden="1" customHeight="1">
      <c r="A16312" s="198"/>
    </row>
    <row r="16313" spans="1:1" s="199" customFormat="1" ht="12" hidden="1" customHeight="1">
      <c r="A16313" s="198"/>
    </row>
    <row r="16314" spans="1:1" s="199" customFormat="1" ht="12" hidden="1" customHeight="1">
      <c r="A16314" s="198"/>
    </row>
    <row r="16315" spans="1:1" s="199" customFormat="1" ht="12" hidden="1" customHeight="1">
      <c r="A16315" s="198"/>
    </row>
    <row r="16316" spans="1:1" s="199" customFormat="1" ht="12" hidden="1" customHeight="1">
      <c r="A16316" s="198"/>
    </row>
    <row r="16317" spans="1:1" s="199" customFormat="1" ht="12" hidden="1" customHeight="1">
      <c r="A16317" s="198"/>
    </row>
    <row r="16318" spans="1:1" s="199" customFormat="1" ht="12" hidden="1" customHeight="1">
      <c r="A16318" s="198"/>
    </row>
    <row r="16319" spans="1:1" s="199" customFormat="1" ht="12" hidden="1" customHeight="1">
      <c r="A16319" s="198"/>
    </row>
    <row r="16320" spans="1:1" s="199" customFormat="1" ht="12" hidden="1" customHeight="1">
      <c r="A16320" s="198"/>
    </row>
    <row r="16321" spans="1:1" s="199" customFormat="1" ht="12" hidden="1" customHeight="1">
      <c r="A16321" s="198"/>
    </row>
    <row r="16322" spans="1:1" s="199" customFormat="1" ht="12" hidden="1" customHeight="1">
      <c r="A16322" s="198"/>
    </row>
    <row r="16323" spans="1:1" s="199" customFormat="1" ht="12" hidden="1" customHeight="1">
      <c r="A16323" s="198"/>
    </row>
    <row r="16324" spans="1:1" s="199" customFormat="1" ht="12" hidden="1" customHeight="1">
      <c r="A16324" s="198"/>
    </row>
    <row r="16325" spans="1:1" s="199" customFormat="1" ht="12" hidden="1" customHeight="1">
      <c r="A16325" s="198"/>
    </row>
    <row r="16326" spans="1:1" s="199" customFormat="1" ht="12" hidden="1" customHeight="1">
      <c r="A16326" s="198"/>
    </row>
    <row r="16327" spans="1:1" s="199" customFormat="1" ht="12" hidden="1" customHeight="1">
      <c r="A16327" s="198"/>
    </row>
    <row r="16328" spans="1:1" s="199" customFormat="1" ht="12" hidden="1" customHeight="1">
      <c r="A16328" s="198"/>
    </row>
    <row r="16329" spans="1:1" s="199" customFormat="1" ht="12" hidden="1" customHeight="1">
      <c r="A16329" s="198"/>
    </row>
    <row r="16330" spans="1:1" s="199" customFormat="1" ht="12" hidden="1" customHeight="1">
      <c r="A16330" s="198"/>
    </row>
    <row r="16331" spans="1:1" s="199" customFormat="1" ht="12" hidden="1" customHeight="1">
      <c r="A16331" s="198"/>
    </row>
    <row r="16332" spans="1:1" s="199" customFormat="1" ht="12" hidden="1" customHeight="1">
      <c r="A16332" s="198"/>
    </row>
    <row r="16333" spans="1:1" s="199" customFormat="1" ht="12" hidden="1" customHeight="1">
      <c r="A16333" s="198"/>
    </row>
    <row r="16334" spans="1:1" s="199" customFormat="1" ht="12" hidden="1" customHeight="1">
      <c r="A16334" s="198"/>
    </row>
    <row r="16335" spans="1:1" s="199" customFormat="1" ht="12" hidden="1" customHeight="1">
      <c r="A16335" s="198"/>
    </row>
    <row r="16336" spans="1:1" s="199" customFormat="1" ht="12" hidden="1" customHeight="1">
      <c r="A16336" s="198"/>
    </row>
    <row r="16337" spans="1:1" s="199" customFormat="1" ht="12" hidden="1" customHeight="1">
      <c r="A16337" s="198"/>
    </row>
    <row r="16338" spans="1:1" s="199" customFormat="1" ht="12" hidden="1" customHeight="1">
      <c r="A16338" s="198"/>
    </row>
    <row r="16339" spans="1:1" s="199" customFormat="1" ht="12" hidden="1" customHeight="1">
      <c r="A16339" s="198"/>
    </row>
    <row r="16340" spans="1:1" s="199" customFormat="1" ht="12" hidden="1" customHeight="1">
      <c r="A16340" s="198"/>
    </row>
    <row r="16341" spans="1:1" s="199" customFormat="1" ht="12" hidden="1" customHeight="1">
      <c r="A16341" s="198"/>
    </row>
    <row r="16342" spans="1:1" s="199" customFormat="1" ht="12" hidden="1" customHeight="1">
      <c r="A16342" s="198"/>
    </row>
    <row r="16343" spans="1:1" s="199" customFormat="1" ht="12" hidden="1" customHeight="1">
      <c r="A16343" s="198"/>
    </row>
    <row r="16344" spans="1:1" s="199" customFormat="1" ht="12" hidden="1" customHeight="1">
      <c r="A16344" s="198"/>
    </row>
    <row r="16345" spans="1:1" s="199" customFormat="1" ht="12" hidden="1" customHeight="1">
      <c r="A16345" s="198"/>
    </row>
    <row r="16346" spans="1:1" s="199" customFormat="1" ht="12" hidden="1" customHeight="1">
      <c r="A16346" s="198"/>
    </row>
    <row r="16347" spans="1:1" s="199" customFormat="1" ht="12" hidden="1" customHeight="1">
      <c r="A16347" s="198"/>
    </row>
    <row r="16348" spans="1:1" s="199" customFormat="1" ht="12" hidden="1" customHeight="1">
      <c r="A16348" s="198"/>
    </row>
    <row r="16349" spans="1:1" s="199" customFormat="1" ht="12" hidden="1" customHeight="1">
      <c r="A16349" s="198"/>
    </row>
    <row r="16350" spans="1:1" s="199" customFormat="1" ht="12" hidden="1" customHeight="1">
      <c r="A16350" s="198"/>
    </row>
    <row r="16351" spans="1:1" s="199" customFormat="1" ht="12" hidden="1" customHeight="1">
      <c r="A16351" s="198"/>
    </row>
    <row r="16352" spans="1:1" s="199" customFormat="1" ht="12" hidden="1" customHeight="1">
      <c r="A16352" s="198"/>
    </row>
    <row r="16353" spans="1:1" s="199" customFormat="1" ht="12" hidden="1" customHeight="1">
      <c r="A16353" s="198"/>
    </row>
    <row r="16354" spans="1:1" s="199" customFormat="1" ht="12" hidden="1" customHeight="1">
      <c r="A16354" s="198"/>
    </row>
    <row r="16355" spans="1:1" s="199" customFormat="1" ht="12" hidden="1" customHeight="1">
      <c r="A16355" s="198"/>
    </row>
    <row r="16356" spans="1:1" s="199" customFormat="1" ht="12" hidden="1" customHeight="1">
      <c r="A16356" s="198"/>
    </row>
    <row r="16357" spans="1:1" s="199" customFormat="1" ht="12" hidden="1" customHeight="1">
      <c r="A16357" s="198"/>
    </row>
    <row r="16358" spans="1:1" s="199" customFormat="1" ht="12" hidden="1" customHeight="1">
      <c r="A16358" s="198"/>
    </row>
    <row r="16359" spans="1:1" s="199" customFormat="1" ht="12" hidden="1" customHeight="1">
      <c r="A16359" s="198"/>
    </row>
    <row r="16360" spans="1:1" s="199" customFormat="1" ht="12" hidden="1" customHeight="1">
      <c r="A16360" s="198"/>
    </row>
    <row r="16361" spans="1:1" s="199" customFormat="1" ht="12" hidden="1" customHeight="1">
      <c r="A16361" s="198"/>
    </row>
    <row r="16362" spans="1:1" s="199" customFormat="1" ht="12" hidden="1" customHeight="1">
      <c r="A16362" s="198"/>
    </row>
    <row r="16363" spans="1:1" s="199" customFormat="1" ht="12" hidden="1" customHeight="1">
      <c r="A16363" s="198"/>
    </row>
    <row r="16364" spans="1:1" s="199" customFormat="1" ht="12" hidden="1" customHeight="1">
      <c r="A16364" s="198"/>
    </row>
    <row r="16365" spans="1:1" s="199" customFormat="1" ht="12" hidden="1" customHeight="1">
      <c r="A16365" s="198"/>
    </row>
    <row r="16366" spans="1:1" s="199" customFormat="1" ht="12" hidden="1" customHeight="1">
      <c r="A16366" s="198"/>
    </row>
    <row r="16367" spans="1:1" s="199" customFormat="1" ht="12" hidden="1" customHeight="1">
      <c r="A16367" s="198"/>
    </row>
    <row r="16368" spans="1:1" s="199" customFormat="1" ht="12" hidden="1" customHeight="1">
      <c r="A16368" s="198"/>
    </row>
    <row r="16369" spans="1:1" s="199" customFormat="1" ht="12" hidden="1" customHeight="1">
      <c r="A16369" s="198"/>
    </row>
    <row r="16370" spans="1:1" s="199" customFormat="1" ht="12" hidden="1" customHeight="1">
      <c r="A16370" s="198"/>
    </row>
    <row r="16371" spans="1:1" s="199" customFormat="1" ht="12" hidden="1" customHeight="1">
      <c r="A16371" s="198"/>
    </row>
    <row r="16372" spans="1:1" s="199" customFormat="1" ht="12" hidden="1" customHeight="1">
      <c r="A16372" s="198"/>
    </row>
    <row r="16373" spans="1:1" s="199" customFormat="1" ht="12" hidden="1" customHeight="1">
      <c r="A16373" s="198"/>
    </row>
    <row r="16374" spans="1:1" s="199" customFormat="1" ht="12" hidden="1" customHeight="1">
      <c r="A16374" s="198"/>
    </row>
    <row r="16375" spans="1:1" s="199" customFormat="1" ht="12" hidden="1" customHeight="1">
      <c r="A16375" s="198"/>
    </row>
    <row r="16376" spans="1:1" s="199" customFormat="1" ht="12" hidden="1" customHeight="1">
      <c r="A16376" s="198"/>
    </row>
    <row r="16377" spans="1:1" s="199" customFormat="1" ht="12" hidden="1" customHeight="1">
      <c r="A16377" s="198"/>
    </row>
    <row r="16378" spans="1:1" s="199" customFormat="1" ht="12" hidden="1" customHeight="1">
      <c r="A16378" s="198"/>
    </row>
    <row r="16379" spans="1:1" s="199" customFormat="1" ht="12" hidden="1" customHeight="1">
      <c r="A16379" s="198"/>
    </row>
    <row r="16380" spans="1:1" s="199" customFormat="1" ht="12" hidden="1" customHeight="1">
      <c r="A16380" s="198"/>
    </row>
    <row r="16381" spans="1:1" s="199" customFormat="1" ht="12" hidden="1" customHeight="1">
      <c r="A16381" s="198"/>
    </row>
    <row r="16382" spans="1:1" s="199" customFormat="1" ht="12" hidden="1" customHeight="1">
      <c r="A16382" s="198"/>
    </row>
    <row r="16383" spans="1:1" s="199" customFormat="1" ht="12" hidden="1" customHeight="1">
      <c r="A16383" s="198"/>
    </row>
    <row r="16384" spans="1:1" s="199" customFormat="1" ht="12" hidden="1" customHeight="1">
      <c r="A16384" s="198"/>
    </row>
    <row r="16385" spans="1:1" s="199" customFormat="1" ht="12" hidden="1" customHeight="1">
      <c r="A16385" s="198"/>
    </row>
    <row r="16386" spans="1:1" s="199" customFormat="1" ht="12" hidden="1" customHeight="1">
      <c r="A16386" s="198"/>
    </row>
    <row r="16387" spans="1:1" s="199" customFormat="1" ht="12" hidden="1" customHeight="1">
      <c r="A16387" s="198"/>
    </row>
    <row r="16388" spans="1:1" s="199" customFormat="1" ht="12" hidden="1" customHeight="1">
      <c r="A16388" s="198"/>
    </row>
    <row r="16389" spans="1:1" s="199" customFormat="1" ht="12" hidden="1" customHeight="1">
      <c r="A16389" s="198"/>
    </row>
    <row r="16390" spans="1:1" s="199" customFormat="1" ht="12" hidden="1" customHeight="1">
      <c r="A16390" s="198"/>
    </row>
    <row r="16391" spans="1:1" s="199" customFormat="1" ht="12" hidden="1" customHeight="1">
      <c r="A16391" s="198"/>
    </row>
    <row r="16392" spans="1:1" s="199" customFormat="1" ht="12" hidden="1" customHeight="1">
      <c r="A16392" s="198"/>
    </row>
    <row r="16393" spans="1:1" s="199" customFormat="1" ht="12" hidden="1" customHeight="1">
      <c r="A16393" s="198"/>
    </row>
    <row r="16394" spans="1:1" s="199" customFormat="1" ht="12" hidden="1" customHeight="1">
      <c r="A16394" s="198"/>
    </row>
    <row r="16395" spans="1:1" s="199" customFormat="1" ht="12" hidden="1" customHeight="1">
      <c r="A16395" s="198"/>
    </row>
    <row r="16396" spans="1:1" s="199" customFormat="1" ht="12" hidden="1" customHeight="1">
      <c r="A16396" s="198"/>
    </row>
    <row r="16397" spans="1:1" s="199" customFormat="1" ht="12" hidden="1" customHeight="1">
      <c r="A16397" s="198"/>
    </row>
    <row r="16398" spans="1:1" s="199" customFormat="1" ht="12" hidden="1" customHeight="1">
      <c r="A16398" s="198"/>
    </row>
    <row r="16399" spans="1:1" s="199" customFormat="1" ht="12" hidden="1" customHeight="1">
      <c r="A16399" s="198"/>
    </row>
    <row r="16400" spans="1:1" s="199" customFormat="1" ht="12" hidden="1" customHeight="1">
      <c r="A16400" s="198"/>
    </row>
    <row r="16401" spans="1:1" s="199" customFormat="1" ht="12" hidden="1" customHeight="1">
      <c r="A16401" s="198"/>
    </row>
    <row r="16402" spans="1:1" s="199" customFormat="1" ht="12" hidden="1" customHeight="1">
      <c r="A16402" s="198"/>
    </row>
    <row r="16403" spans="1:1" s="199" customFormat="1" ht="12" hidden="1" customHeight="1">
      <c r="A16403" s="198"/>
    </row>
    <row r="16404" spans="1:1" s="199" customFormat="1" ht="12" hidden="1" customHeight="1">
      <c r="A16404" s="198"/>
    </row>
    <row r="16405" spans="1:1" s="199" customFormat="1" ht="12" hidden="1" customHeight="1">
      <c r="A16405" s="198"/>
    </row>
    <row r="16406" spans="1:1" s="199" customFormat="1" ht="12" hidden="1" customHeight="1">
      <c r="A16406" s="198"/>
    </row>
    <row r="16407" spans="1:1" s="199" customFormat="1" ht="12" hidden="1" customHeight="1">
      <c r="A16407" s="198"/>
    </row>
    <row r="16408" spans="1:1" s="199" customFormat="1" ht="12" hidden="1" customHeight="1">
      <c r="A16408" s="198"/>
    </row>
    <row r="16409" spans="1:1" s="199" customFormat="1" ht="12" hidden="1" customHeight="1">
      <c r="A16409" s="198"/>
    </row>
    <row r="16410" spans="1:1" s="199" customFormat="1" ht="12" hidden="1" customHeight="1">
      <c r="A16410" s="198"/>
    </row>
    <row r="16411" spans="1:1" s="199" customFormat="1" ht="12" hidden="1" customHeight="1">
      <c r="A16411" s="198"/>
    </row>
    <row r="16412" spans="1:1" s="199" customFormat="1" ht="12" hidden="1" customHeight="1">
      <c r="A16412" s="198"/>
    </row>
    <row r="16413" spans="1:1" s="199" customFormat="1" ht="12" hidden="1" customHeight="1">
      <c r="A16413" s="198"/>
    </row>
    <row r="16414" spans="1:1" s="199" customFormat="1" ht="12" hidden="1" customHeight="1">
      <c r="A16414" s="198"/>
    </row>
    <row r="16415" spans="1:1" s="199" customFormat="1" ht="12" hidden="1" customHeight="1">
      <c r="A16415" s="198"/>
    </row>
    <row r="16416" spans="1:1" s="199" customFormat="1" ht="12" hidden="1" customHeight="1">
      <c r="A16416" s="198"/>
    </row>
    <row r="16417" spans="1:1" s="199" customFormat="1" ht="12" hidden="1" customHeight="1">
      <c r="A16417" s="198"/>
    </row>
    <row r="16418" spans="1:1" s="199" customFormat="1" ht="12" hidden="1" customHeight="1">
      <c r="A16418" s="198"/>
    </row>
    <row r="16419" spans="1:1" s="199" customFormat="1" ht="12" hidden="1" customHeight="1">
      <c r="A16419" s="198"/>
    </row>
    <row r="16420" spans="1:1" s="199" customFormat="1" ht="12" hidden="1" customHeight="1">
      <c r="A16420" s="198"/>
    </row>
    <row r="16421" spans="1:1" s="199" customFormat="1" ht="12" hidden="1" customHeight="1">
      <c r="A16421" s="198"/>
    </row>
    <row r="16422" spans="1:1" s="199" customFormat="1" ht="12" hidden="1" customHeight="1">
      <c r="A16422" s="198"/>
    </row>
    <row r="16423" spans="1:1" s="199" customFormat="1" ht="12" hidden="1" customHeight="1">
      <c r="A16423" s="198"/>
    </row>
    <row r="16424" spans="1:1" s="199" customFormat="1" ht="12" hidden="1" customHeight="1">
      <c r="A16424" s="198"/>
    </row>
    <row r="16425" spans="1:1" s="199" customFormat="1" ht="12" hidden="1" customHeight="1">
      <c r="A16425" s="198"/>
    </row>
    <row r="16426" spans="1:1" s="199" customFormat="1" ht="12" hidden="1" customHeight="1">
      <c r="A16426" s="198"/>
    </row>
    <row r="16427" spans="1:1" s="199" customFormat="1" ht="12" hidden="1" customHeight="1">
      <c r="A16427" s="198"/>
    </row>
    <row r="16428" spans="1:1" s="199" customFormat="1" ht="12" hidden="1" customHeight="1">
      <c r="A16428" s="198"/>
    </row>
    <row r="16429" spans="1:1" s="199" customFormat="1" ht="12" hidden="1" customHeight="1">
      <c r="A16429" s="198"/>
    </row>
    <row r="16430" spans="1:1" s="199" customFormat="1" ht="12" hidden="1" customHeight="1">
      <c r="A16430" s="198"/>
    </row>
    <row r="16431" spans="1:1" s="199" customFormat="1" ht="12" hidden="1" customHeight="1">
      <c r="A16431" s="198"/>
    </row>
    <row r="16432" spans="1:1" s="199" customFormat="1" ht="12" hidden="1" customHeight="1">
      <c r="A16432" s="198"/>
    </row>
    <row r="16433" spans="1:1" s="199" customFormat="1" ht="12" hidden="1" customHeight="1">
      <c r="A16433" s="198"/>
    </row>
    <row r="16434" spans="1:1" s="199" customFormat="1" ht="12" hidden="1" customHeight="1">
      <c r="A16434" s="198"/>
    </row>
    <row r="16435" spans="1:1" s="199" customFormat="1" ht="12" hidden="1" customHeight="1">
      <c r="A16435" s="198"/>
    </row>
    <row r="16436" spans="1:1" s="199" customFormat="1" ht="12" hidden="1" customHeight="1">
      <c r="A16436" s="198"/>
    </row>
    <row r="16437" spans="1:1" s="199" customFormat="1" ht="12" hidden="1" customHeight="1">
      <c r="A16437" s="198"/>
    </row>
    <row r="16438" spans="1:1" s="199" customFormat="1" ht="12" hidden="1" customHeight="1">
      <c r="A16438" s="198"/>
    </row>
    <row r="16439" spans="1:1" s="199" customFormat="1" ht="12" hidden="1" customHeight="1">
      <c r="A16439" s="198"/>
    </row>
    <row r="16440" spans="1:1" s="199" customFormat="1" ht="12" hidden="1" customHeight="1">
      <c r="A16440" s="198"/>
    </row>
    <row r="16441" spans="1:1" s="199" customFormat="1" ht="12" hidden="1" customHeight="1">
      <c r="A16441" s="198"/>
    </row>
    <row r="16442" spans="1:1" s="199" customFormat="1" ht="12" hidden="1" customHeight="1">
      <c r="A16442" s="198"/>
    </row>
    <row r="16443" spans="1:1" s="199" customFormat="1" ht="12" hidden="1" customHeight="1">
      <c r="A16443" s="198"/>
    </row>
    <row r="16444" spans="1:1" s="199" customFormat="1" ht="12" hidden="1" customHeight="1">
      <c r="A16444" s="198"/>
    </row>
    <row r="16445" spans="1:1" s="199" customFormat="1" ht="12" hidden="1" customHeight="1">
      <c r="A16445" s="198"/>
    </row>
    <row r="16446" spans="1:1" s="199" customFormat="1" ht="12" hidden="1" customHeight="1">
      <c r="A16446" s="198"/>
    </row>
    <row r="16447" spans="1:1" s="199" customFormat="1" ht="12" hidden="1" customHeight="1">
      <c r="A16447" s="198"/>
    </row>
    <row r="16448" spans="1:1" s="199" customFormat="1" ht="12" hidden="1" customHeight="1">
      <c r="A16448" s="198"/>
    </row>
    <row r="16449" spans="1:1" s="199" customFormat="1" ht="12" hidden="1" customHeight="1">
      <c r="A16449" s="198"/>
    </row>
    <row r="16450" spans="1:1" s="199" customFormat="1" ht="12" hidden="1" customHeight="1">
      <c r="A16450" s="198"/>
    </row>
    <row r="16451" spans="1:1" s="199" customFormat="1" ht="12" hidden="1" customHeight="1">
      <c r="A16451" s="198"/>
    </row>
    <row r="16452" spans="1:1" s="199" customFormat="1" ht="12" hidden="1" customHeight="1">
      <c r="A16452" s="198"/>
    </row>
    <row r="16453" spans="1:1" s="199" customFormat="1" ht="12" hidden="1" customHeight="1">
      <c r="A16453" s="198"/>
    </row>
    <row r="16454" spans="1:1" s="199" customFormat="1" ht="12" hidden="1" customHeight="1">
      <c r="A16454" s="198"/>
    </row>
    <row r="16455" spans="1:1" s="199" customFormat="1" ht="12" hidden="1" customHeight="1">
      <c r="A16455" s="198"/>
    </row>
    <row r="16456" spans="1:1" s="199" customFormat="1" ht="12" hidden="1" customHeight="1">
      <c r="A16456" s="198"/>
    </row>
    <row r="16457" spans="1:1" s="199" customFormat="1" ht="12" hidden="1" customHeight="1">
      <c r="A16457" s="198"/>
    </row>
    <row r="16458" spans="1:1" s="199" customFormat="1" ht="12" hidden="1" customHeight="1">
      <c r="A16458" s="198"/>
    </row>
    <row r="16459" spans="1:1" s="199" customFormat="1" ht="12" hidden="1" customHeight="1">
      <c r="A16459" s="198"/>
    </row>
    <row r="16460" spans="1:1" s="199" customFormat="1" ht="12" hidden="1" customHeight="1">
      <c r="A16460" s="198"/>
    </row>
    <row r="16461" spans="1:1" s="199" customFormat="1" ht="12" hidden="1" customHeight="1">
      <c r="A16461" s="198"/>
    </row>
    <row r="16462" spans="1:1" s="199" customFormat="1" ht="12" hidden="1" customHeight="1">
      <c r="A16462" s="198"/>
    </row>
    <row r="16463" spans="1:1" s="199" customFormat="1" ht="12" hidden="1" customHeight="1">
      <c r="A16463" s="198"/>
    </row>
    <row r="16464" spans="1:1" s="199" customFormat="1" ht="12" hidden="1" customHeight="1">
      <c r="A16464" s="198"/>
    </row>
    <row r="16465" spans="1:1" s="199" customFormat="1" ht="12" hidden="1" customHeight="1">
      <c r="A16465" s="198"/>
    </row>
    <row r="16466" spans="1:1" s="199" customFormat="1" ht="12" hidden="1" customHeight="1">
      <c r="A16466" s="198"/>
    </row>
    <row r="16467" spans="1:1" s="199" customFormat="1" ht="12" hidden="1" customHeight="1">
      <c r="A16467" s="198"/>
    </row>
    <row r="16468" spans="1:1" s="199" customFormat="1" ht="12" hidden="1" customHeight="1">
      <c r="A16468" s="198"/>
    </row>
    <row r="16469" spans="1:1" s="199" customFormat="1" ht="12" hidden="1" customHeight="1">
      <c r="A16469" s="198"/>
    </row>
    <row r="16470" spans="1:1" s="199" customFormat="1" ht="12" hidden="1" customHeight="1">
      <c r="A16470" s="198"/>
    </row>
    <row r="16471" spans="1:1" s="199" customFormat="1" ht="12" hidden="1" customHeight="1">
      <c r="A16471" s="198"/>
    </row>
    <row r="16472" spans="1:1" s="199" customFormat="1" ht="12" hidden="1" customHeight="1">
      <c r="A16472" s="198"/>
    </row>
    <row r="16473" spans="1:1" s="199" customFormat="1" ht="12" hidden="1" customHeight="1">
      <c r="A16473" s="198"/>
    </row>
    <row r="16474" spans="1:1" s="199" customFormat="1" ht="12" hidden="1" customHeight="1">
      <c r="A16474" s="198"/>
    </row>
    <row r="16475" spans="1:1" s="199" customFormat="1" ht="12" hidden="1" customHeight="1">
      <c r="A16475" s="198"/>
    </row>
    <row r="16476" spans="1:1" s="199" customFormat="1" ht="12" hidden="1" customHeight="1">
      <c r="A16476" s="198"/>
    </row>
    <row r="16477" spans="1:1" s="199" customFormat="1" ht="12" hidden="1" customHeight="1">
      <c r="A16477" s="198"/>
    </row>
    <row r="16478" spans="1:1" s="199" customFormat="1" ht="12" hidden="1" customHeight="1">
      <c r="A16478" s="198"/>
    </row>
    <row r="16479" spans="1:1" s="199" customFormat="1" ht="12" hidden="1" customHeight="1">
      <c r="A16479" s="198"/>
    </row>
    <row r="16480" spans="1:1" s="199" customFormat="1" ht="12" hidden="1" customHeight="1">
      <c r="A16480" s="198"/>
    </row>
    <row r="16481" spans="1:1" s="199" customFormat="1" ht="12" hidden="1" customHeight="1">
      <c r="A16481" s="198"/>
    </row>
    <row r="16482" spans="1:1" s="199" customFormat="1" ht="12" hidden="1" customHeight="1">
      <c r="A16482" s="198"/>
    </row>
    <row r="16483" spans="1:1" s="199" customFormat="1" ht="12" hidden="1" customHeight="1">
      <c r="A16483" s="198"/>
    </row>
    <row r="16484" spans="1:1" s="199" customFormat="1" ht="12" hidden="1" customHeight="1">
      <c r="A16484" s="198"/>
    </row>
    <row r="16485" spans="1:1" s="199" customFormat="1" ht="12" hidden="1" customHeight="1">
      <c r="A16485" s="198"/>
    </row>
    <row r="16486" spans="1:1" s="199" customFormat="1" ht="12" hidden="1" customHeight="1">
      <c r="A16486" s="198"/>
    </row>
    <row r="16487" spans="1:1" s="199" customFormat="1" ht="12" hidden="1" customHeight="1">
      <c r="A16487" s="198"/>
    </row>
    <row r="16488" spans="1:1" s="199" customFormat="1" ht="12" hidden="1" customHeight="1">
      <c r="A16488" s="198"/>
    </row>
    <row r="16489" spans="1:1" s="199" customFormat="1" ht="12" hidden="1" customHeight="1">
      <c r="A16489" s="198"/>
    </row>
    <row r="16490" spans="1:1" s="199" customFormat="1" ht="12" hidden="1" customHeight="1">
      <c r="A16490" s="198"/>
    </row>
    <row r="16491" spans="1:1" s="199" customFormat="1" ht="12" hidden="1" customHeight="1">
      <c r="A16491" s="198"/>
    </row>
    <row r="16492" spans="1:1" s="199" customFormat="1" ht="12" hidden="1" customHeight="1">
      <c r="A16492" s="198"/>
    </row>
    <row r="16493" spans="1:1" s="199" customFormat="1" ht="12" hidden="1" customHeight="1">
      <c r="A16493" s="198"/>
    </row>
    <row r="16494" spans="1:1" s="199" customFormat="1" ht="12" hidden="1" customHeight="1">
      <c r="A16494" s="198"/>
    </row>
    <row r="16495" spans="1:1" s="199" customFormat="1" ht="12" hidden="1" customHeight="1">
      <c r="A16495" s="198"/>
    </row>
    <row r="16496" spans="1:1" s="199" customFormat="1" ht="12" hidden="1" customHeight="1">
      <c r="A16496" s="198"/>
    </row>
    <row r="16497" spans="1:1" s="199" customFormat="1" ht="12" hidden="1" customHeight="1">
      <c r="A16497" s="198"/>
    </row>
    <row r="16498" spans="1:1" s="199" customFormat="1" ht="12" hidden="1" customHeight="1">
      <c r="A16498" s="198"/>
    </row>
    <row r="16499" spans="1:1" s="199" customFormat="1" ht="12" hidden="1" customHeight="1">
      <c r="A16499" s="198"/>
    </row>
    <row r="16500" spans="1:1" s="199" customFormat="1" ht="12" hidden="1" customHeight="1">
      <c r="A16500" s="198"/>
    </row>
    <row r="16501" spans="1:1" s="199" customFormat="1" ht="12" hidden="1" customHeight="1">
      <c r="A16501" s="198"/>
    </row>
    <row r="16502" spans="1:1" s="199" customFormat="1" ht="12" hidden="1" customHeight="1">
      <c r="A16502" s="198"/>
    </row>
    <row r="16503" spans="1:1" s="199" customFormat="1" ht="12" hidden="1" customHeight="1">
      <c r="A16503" s="198"/>
    </row>
    <row r="16504" spans="1:1" s="199" customFormat="1" ht="12" hidden="1" customHeight="1">
      <c r="A16504" s="198"/>
    </row>
    <row r="16505" spans="1:1" s="199" customFormat="1" ht="12" hidden="1" customHeight="1">
      <c r="A16505" s="198"/>
    </row>
    <row r="16506" spans="1:1" s="199" customFormat="1" ht="12" hidden="1" customHeight="1">
      <c r="A16506" s="198"/>
    </row>
    <row r="16507" spans="1:1" s="199" customFormat="1" ht="12" hidden="1" customHeight="1">
      <c r="A16507" s="198"/>
    </row>
    <row r="16508" spans="1:1" s="199" customFormat="1" ht="12" hidden="1" customHeight="1">
      <c r="A16508" s="198"/>
    </row>
    <row r="16509" spans="1:1" s="199" customFormat="1" ht="12" hidden="1" customHeight="1">
      <c r="A16509" s="198"/>
    </row>
    <row r="16510" spans="1:1" s="199" customFormat="1" ht="12" hidden="1" customHeight="1">
      <c r="A16510" s="198"/>
    </row>
    <row r="16511" spans="1:1" s="199" customFormat="1" ht="12" hidden="1" customHeight="1">
      <c r="A16511" s="198"/>
    </row>
    <row r="16512" spans="1:1" s="199" customFormat="1" ht="12" hidden="1" customHeight="1">
      <c r="A16512" s="198"/>
    </row>
    <row r="16513" spans="1:1" s="199" customFormat="1" ht="12" hidden="1" customHeight="1">
      <c r="A16513" s="198"/>
    </row>
    <row r="16514" spans="1:1" s="199" customFormat="1" ht="12" hidden="1" customHeight="1">
      <c r="A16514" s="198"/>
    </row>
    <row r="16515" spans="1:1" s="199" customFormat="1" ht="12" hidden="1" customHeight="1">
      <c r="A16515" s="198"/>
    </row>
    <row r="16516" spans="1:1" s="199" customFormat="1" ht="12" hidden="1" customHeight="1">
      <c r="A16516" s="198"/>
    </row>
    <row r="16517" spans="1:1" s="199" customFormat="1" ht="12" hidden="1" customHeight="1">
      <c r="A16517" s="198"/>
    </row>
    <row r="16518" spans="1:1" s="199" customFormat="1" ht="12" hidden="1" customHeight="1">
      <c r="A16518" s="198"/>
    </row>
    <row r="16519" spans="1:1" s="199" customFormat="1" ht="12" hidden="1" customHeight="1">
      <c r="A16519" s="198"/>
    </row>
    <row r="16520" spans="1:1" s="199" customFormat="1" ht="12" hidden="1" customHeight="1">
      <c r="A16520" s="198"/>
    </row>
    <row r="16521" spans="1:1" s="199" customFormat="1" ht="12" hidden="1" customHeight="1">
      <c r="A16521" s="198"/>
    </row>
    <row r="16522" spans="1:1" s="199" customFormat="1" ht="12" hidden="1" customHeight="1">
      <c r="A16522" s="198"/>
    </row>
    <row r="16523" spans="1:1" s="199" customFormat="1" ht="12" hidden="1" customHeight="1">
      <c r="A16523" s="198"/>
    </row>
    <row r="16524" spans="1:1" s="199" customFormat="1" ht="12" hidden="1" customHeight="1">
      <c r="A16524" s="198"/>
    </row>
    <row r="16525" spans="1:1" s="199" customFormat="1" ht="12" hidden="1" customHeight="1">
      <c r="A16525" s="198"/>
    </row>
    <row r="16526" spans="1:1" s="199" customFormat="1" ht="12" hidden="1" customHeight="1">
      <c r="A16526" s="198"/>
    </row>
    <row r="16527" spans="1:1" s="199" customFormat="1" ht="12" hidden="1" customHeight="1">
      <c r="A16527" s="198"/>
    </row>
    <row r="16528" spans="1:1" s="199" customFormat="1" ht="12" hidden="1" customHeight="1">
      <c r="A16528" s="198"/>
    </row>
    <row r="16529" spans="1:1" s="199" customFormat="1" ht="12" hidden="1" customHeight="1">
      <c r="A16529" s="198"/>
    </row>
    <row r="16530" spans="1:1" s="199" customFormat="1" ht="12" hidden="1" customHeight="1">
      <c r="A16530" s="198"/>
    </row>
    <row r="16531" spans="1:1" s="199" customFormat="1" ht="12" hidden="1" customHeight="1">
      <c r="A16531" s="198"/>
    </row>
    <row r="16532" spans="1:1" s="199" customFormat="1" ht="12" hidden="1" customHeight="1">
      <c r="A16532" s="198"/>
    </row>
    <row r="16533" spans="1:1" s="199" customFormat="1" ht="12" hidden="1" customHeight="1">
      <c r="A16533" s="198"/>
    </row>
    <row r="16534" spans="1:1" s="199" customFormat="1" ht="12" hidden="1" customHeight="1">
      <c r="A16534" s="198"/>
    </row>
    <row r="16535" spans="1:1" s="199" customFormat="1" ht="12" hidden="1" customHeight="1">
      <c r="A16535" s="198"/>
    </row>
    <row r="16536" spans="1:1" s="199" customFormat="1" ht="12" hidden="1" customHeight="1">
      <c r="A16536" s="198"/>
    </row>
    <row r="16537" spans="1:1" s="199" customFormat="1" ht="12" hidden="1" customHeight="1">
      <c r="A16537" s="198"/>
    </row>
    <row r="16538" spans="1:1" s="199" customFormat="1" ht="12" hidden="1" customHeight="1">
      <c r="A16538" s="198"/>
    </row>
    <row r="16539" spans="1:1" s="199" customFormat="1" ht="12" hidden="1" customHeight="1">
      <c r="A16539" s="198"/>
    </row>
    <row r="16540" spans="1:1" s="199" customFormat="1" ht="12" hidden="1" customHeight="1">
      <c r="A16540" s="198"/>
    </row>
    <row r="16541" spans="1:1" s="199" customFormat="1" ht="12" hidden="1" customHeight="1">
      <c r="A16541" s="198"/>
    </row>
    <row r="16542" spans="1:1" s="199" customFormat="1" ht="12" hidden="1" customHeight="1">
      <c r="A16542" s="198"/>
    </row>
    <row r="16543" spans="1:1" s="199" customFormat="1" ht="12" hidden="1" customHeight="1">
      <c r="A16543" s="198"/>
    </row>
    <row r="16544" spans="1:1" s="199" customFormat="1" ht="12" hidden="1" customHeight="1">
      <c r="A16544" s="198"/>
    </row>
    <row r="16545" spans="1:1" s="199" customFormat="1" ht="12" hidden="1" customHeight="1">
      <c r="A16545" s="198"/>
    </row>
    <row r="16546" spans="1:1" s="199" customFormat="1" ht="12" hidden="1" customHeight="1">
      <c r="A16546" s="198"/>
    </row>
    <row r="16547" spans="1:1" s="199" customFormat="1" ht="12" hidden="1" customHeight="1">
      <c r="A16547" s="198"/>
    </row>
    <row r="16548" spans="1:1" s="199" customFormat="1" ht="12" hidden="1" customHeight="1">
      <c r="A16548" s="198"/>
    </row>
    <row r="16549" spans="1:1" s="199" customFormat="1" ht="12" hidden="1" customHeight="1">
      <c r="A16549" s="198"/>
    </row>
    <row r="16550" spans="1:1" s="199" customFormat="1" ht="12" hidden="1" customHeight="1">
      <c r="A16550" s="198"/>
    </row>
    <row r="16551" spans="1:1" s="199" customFormat="1" ht="12" hidden="1" customHeight="1">
      <c r="A16551" s="198"/>
    </row>
    <row r="16552" spans="1:1" s="199" customFormat="1" ht="12" hidden="1" customHeight="1">
      <c r="A16552" s="198"/>
    </row>
    <row r="16553" spans="1:1" s="199" customFormat="1" ht="12" hidden="1" customHeight="1">
      <c r="A16553" s="198"/>
    </row>
    <row r="16554" spans="1:1" s="199" customFormat="1" ht="12" hidden="1" customHeight="1">
      <c r="A16554" s="198"/>
    </row>
    <row r="16555" spans="1:1" s="199" customFormat="1" ht="12" hidden="1" customHeight="1">
      <c r="A16555" s="198"/>
    </row>
    <row r="16556" spans="1:1" s="199" customFormat="1" ht="12" hidden="1" customHeight="1">
      <c r="A16556" s="198"/>
    </row>
    <row r="16557" spans="1:1" s="199" customFormat="1" ht="12" hidden="1" customHeight="1">
      <c r="A16557" s="198"/>
    </row>
    <row r="16558" spans="1:1" s="199" customFormat="1" ht="12" hidden="1" customHeight="1">
      <c r="A16558" s="198"/>
    </row>
    <row r="16559" spans="1:1" s="199" customFormat="1" ht="12" hidden="1" customHeight="1">
      <c r="A16559" s="198"/>
    </row>
    <row r="16560" spans="1:1" s="199" customFormat="1" ht="12" hidden="1" customHeight="1">
      <c r="A16560" s="198"/>
    </row>
    <row r="16561" spans="1:1" s="199" customFormat="1" ht="12" hidden="1" customHeight="1">
      <c r="A16561" s="198"/>
    </row>
    <row r="16562" spans="1:1" s="199" customFormat="1" ht="12" hidden="1" customHeight="1">
      <c r="A16562" s="198"/>
    </row>
    <row r="16563" spans="1:1" s="199" customFormat="1" ht="12" hidden="1" customHeight="1">
      <c r="A16563" s="198"/>
    </row>
    <row r="16564" spans="1:1" s="199" customFormat="1" ht="12" hidden="1" customHeight="1">
      <c r="A16564" s="198"/>
    </row>
    <row r="16565" spans="1:1" s="199" customFormat="1" ht="12" hidden="1" customHeight="1">
      <c r="A16565" s="198"/>
    </row>
    <row r="16566" spans="1:1" s="199" customFormat="1" ht="12" hidden="1" customHeight="1">
      <c r="A16566" s="198"/>
    </row>
    <row r="16567" spans="1:1" s="199" customFormat="1" ht="12" hidden="1" customHeight="1">
      <c r="A16567" s="198"/>
    </row>
    <row r="16568" spans="1:1" s="199" customFormat="1" ht="12" hidden="1" customHeight="1">
      <c r="A16568" s="198"/>
    </row>
    <row r="16569" spans="1:1" s="199" customFormat="1" ht="12" hidden="1" customHeight="1">
      <c r="A16569" s="198"/>
    </row>
    <row r="16570" spans="1:1" s="199" customFormat="1" ht="12" hidden="1" customHeight="1">
      <c r="A16570" s="198"/>
    </row>
    <row r="16571" spans="1:1" s="199" customFormat="1" ht="12" hidden="1" customHeight="1">
      <c r="A16571" s="198"/>
    </row>
    <row r="16572" spans="1:1" s="199" customFormat="1" ht="12" hidden="1" customHeight="1">
      <c r="A16572" s="198"/>
    </row>
    <row r="16573" spans="1:1" s="199" customFormat="1" ht="12" hidden="1" customHeight="1">
      <c r="A16573" s="198"/>
    </row>
    <row r="16574" spans="1:1" s="199" customFormat="1" ht="12" hidden="1" customHeight="1">
      <c r="A16574" s="198"/>
    </row>
    <row r="16575" spans="1:1" s="199" customFormat="1" ht="12" hidden="1" customHeight="1">
      <c r="A16575" s="198"/>
    </row>
    <row r="16576" spans="1:1" s="199" customFormat="1" ht="12" hidden="1" customHeight="1">
      <c r="A16576" s="198"/>
    </row>
    <row r="16577" spans="1:1" s="199" customFormat="1" ht="12" hidden="1" customHeight="1">
      <c r="A16577" s="198"/>
    </row>
    <row r="16578" spans="1:1" s="199" customFormat="1" ht="12" hidden="1" customHeight="1">
      <c r="A16578" s="198"/>
    </row>
    <row r="16579" spans="1:1" s="199" customFormat="1" ht="12" hidden="1" customHeight="1">
      <c r="A16579" s="198"/>
    </row>
    <row r="16580" spans="1:1" s="199" customFormat="1" ht="12" hidden="1" customHeight="1">
      <c r="A16580" s="198"/>
    </row>
    <row r="16581" spans="1:1" s="199" customFormat="1" ht="12" hidden="1" customHeight="1">
      <c r="A16581" s="198"/>
    </row>
    <row r="16582" spans="1:1" s="199" customFormat="1" ht="12" hidden="1" customHeight="1">
      <c r="A16582" s="198"/>
    </row>
    <row r="16583" spans="1:1" s="199" customFormat="1" ht="12" hidden="1" customHeight="1">
      <c r="A16583" s="198"/>
    </row>
    <row r="16584" spans="1:1" s="199" customFormat="1" ht="12" hidden="1" customHeight="1">
      <c r="A16584" s="198"/>
    </row>
    <row r="16585" spans="1:1" s="199" customFormat="1" ht="12" hidden="1" customHeight="1">
      <c r="A16585" s="198"/>
    </row>
    <row r="16586" spans="1:1" s="199" customFormat="1" ht="12" hidden="1" customHeight="1">
      <c r="A16586" s="198"/>
    </row>
    <row r="16587" spans="1:1" s="199" customFormat="1" ht="12" hidden="1" customHeight="1">
      <c r="A16587" s="198"/>
    </row>
    <row r="16588" spans="1:1" s="199" customFormat="1" ht="12" hidden="1" customHeight="1">
      <c r="A16588" s="198"/>
    </row>
    <row r="16589" spans="1:1" s="199" customFormat="1" ht="12" hidden="1" customHeight="1">
      <c r="A16589" s="198"/>
    </row>
    <row r="16590" spans="1:1" s="199" customFormat="1" ht="12" hidden="1" customHeight="1">
      <c r="A16590" s="198"/>
    </row>
    <row r="16591" spans="1:1" s="199" customFormat="1" ht="12" hidden="1" customHeight="1">
      <c r="A16591" s="198"/>
    </row>
    <row r="16592" spans="1:1" s="199" customFormat="1" ht="12" hidden="1" customHeight="1">
      <c r="A16592" s="198"/>
    </row>
    <row r="16593" spans="1:1" s="199" customFormat="1" ht="12" hidden="1" customHeight="1">
      <c r="A16593" s="198"/>
    </row>
    <row r="16594" spans="1:1" s="199" customFormat="1" ht="12" hidden="1" customHeight="1">
      <c r="A16594" s="198"/>
    </row>
    <row r="16595" spans="1:1" s="199" customFormat="1" ht="12" hidden="1" customHeight="1">
      <c r="A16595" s="198"/>
    </row>
    <row r="16596" spans="1:1" s="199" customFormat="1" ht="12" hidden="1" customHeight="1">
      <c r="A16596" s="198"/>
    </row>
    <row r="16597" spans="1:1" s="199" customFormat="1" ht="12" hidden="1" customHeight="1">
      <c r="A16597" s="198"/>
    </row>
    <row r="16598" spans="1:1" s="199" customFormat="1" ht="12" hidden="1" customHeight="1">
      <c r="A16598" s="198"/>
    </row>
    <row r="16599" spans="1:1" s="199" customFormat="1" ht="12" hidden="1" customHeight="1">
      <c r="A16599" s="198"/>
    </row>
    <row r="16600" spans="1:1" s="199" customFormat="1" ht="12" hidden="1" customHeight="1">
      <c r="A16600" s="198"/>
    </row>
    <row r="16601" spans="1:1" s="199" customFormat="1" ht="12" hidden="1" customHeight="1">
      <c r="A16601" s="198"/>
    </row>
    <row r="16602" spans="1:1" s="199" customFormat="1" ht="12" hidden="1" customHeight="1">
      <c r="A16602" s="198"/>
    </row>
    <row r="16603" spans="1:1" s="199" customFormat="1" ht="12" hidden="1" customHeight="1">
      <c r="A16603" s="198"/>
    </row>
    <row r="16604" spans="1:1" s="199" customFormat="1" ht="12" hidden="1" customHeight="1">
      <c r="A16604" s="198"/>
    </row>
    <row r="16605" spans="1:1" s="199" customFormat="1" ht="12" hidden="1" customHeight="1">
      <c r="A16605" s="198"/>
    </row>
    <row r="16606" spans="1:1" s="199" customFormat="1" ht="12" hidden="1" customHeight="1">
      <c r="A16606" s="198"/>
    </row>
    <row r="16607" spans="1:1" s="199" customFormat="1" ht="12" hidden="1" customHeight="1">
      <c r="A16607" s="198"/>
    </row>
    <row r="16608" spans="1:1" s="199" customFormat="1" ht="12" hidden="1" customHeight="1">
      <c r="A16608" s="198"/>
    </row>
    <row r="16609" spans="1:1" s="199" customFormat="1" ht="12" hidden="1" customHeight="1">
      <c r="A16609" s="198"/>
    </row>
    <row r="16610" spans="1:1" s="199" customFormat="1" ht="12" hidden="1" customHeight="1">
      <c r="A16610" s="198"/>
    </row>
    <row r="16611" spans="1:1" s="199" customFormat="1" ht="12" hidden="1" customHeight="1">
      <c r="A16611" s="198"/>
    </row>
    <row r="16612" spans="1:1" s="199" customFormat="1" ht="12" hidden="1" customHeight="1">
      <c r="A16612" s="198"/>
    </row>
    <row r="16613" spans="1:1" s="199" customFormat="1" ht="12" hidden="1" customHeight="1">
      <c r="A16613" s="198"/>
    </row>
    <row r="16614" spans="1:1" s="199" customFormat="1" ht="12" hidden="1" customHeight="1">
      <c r="A16614" s="198"/>
    </row>
    <row r="16615" spans="1:1" s="199" customFormat="1" ht="12" hidden="1" customHeight="1">
      <c r="A16615" s="198"/>
    </row>
    <row r="16616" spans="1:1" s="199" customFormat="1" ht="12" hidden="1" customHeight="1">
      <c r="A16616" s="198"/>
    </row>
    <row r="16617" spans="1:1" s="199" customFormat="1" ht="12" hidden="1" customHeight="1">
      <c r="A16617" s="198"/>
    </row>
    <row r="16618" spans="1:1" s="199" customFormat="1" ht="12" hidden="1" customHeight="1">
      <c r="A16618" s="198"/>
    </row>
    <row r="16619" spans="1:1" s="199" customFormat="1" ht="12" hidden="1" customHeight="1">
      <c r="A16619" s="198"/>
    </row>
    <row r="16620" spans="1:1" s="199" customFormat="1" ht="12" hidden="1" customHeight="1">
      <c r="A16620" s="198"/>
    </row>
    <row r="16621" spans="1:1" s="199" customFormat="1" ht="12" hidden="1" customHeight="1">
      <c r="A16621" s="198"/>
    </row>
    <row r="16622" spans="1:1" s="199" customFormat="1" ht="12" hidden="1" customHeight="1">
      <c r="A16622" s="198"/>
    </row>
    <row r="16623" spans="1:1" s="199" customFormat="1" ht="12" hidden="1" customHeight="1">
      <c r="A16623" s="198"/>
    </row>
    <row r="16624" spans="1:1" s="199" customFormat="1" ht="12" hidden="1" customHeight="1">
      <c r="A16624" s="198"/>
    </row>
    <row r="16625" spans="1:1" s="199" customFormat="1" ht="12" hidden="1" customHeight="1">
      <c r="A16625" s="198"/>
    </row>
    <row r="16626" spans="1:1" s="199" customFormat="1" ht="12" hidden="1" customHeight="1">
      <c r="A16626" s="198"/>
    </row>
    <row r="16627" spans="1:1" s="199" customFormat="1" ht="12" hidden="1" customHeight="1">
      <c r="A16627" s="198"/>
    </row>
    <row r="16628" spans="1:1" s="199" customFormat="1" ht="12" hidden="1" customHeight="1">
      <c r="A16628" s="198"/>
    </row>
    <row r="16629" spans="1:1" s="199" customFormat="1" ht="12" hidden="1" customHeight="1">
      <c r="A16629" s="198"/>
    </row>
    <row r="16630" spans="1:1" s="199" customFormat="1" ht="12" hidden="1" customHeight="1">
      <c r="A16630" s="198"/>
    </row>
    <row r="16631" spans="1:1" s="199" customFormat="1" ht="12" hidden="1" customHeight="1">
      <c r="A16631" s="198"/>
    </row>
    <row r="16632" spans="1:1" s="199" customFormat="1" ht="12" hidden="1" customHeight="1">
      <c r="A16632" s="198"/>
    </row>
    <row r="16633" spans="1:1" s="199" customFormat="1" ht="12" hidden="1" customHeight="1">
      <c r="A16633" s="198"/>
    </row>
    <row r="16634" spans="1:1" s="199" customFormat="1" ht="12" hidden="1" customHeight="1">
      <c r="A16634" s="198"/>
    </row>
    <row r="16635" spans="1:1" s="199" customFormat="1" ht="12" hidden="1" customHeight="1">
      <c r="A16635" s="198"/>
    </row>
    <row r="16636" spans="1:1" s="199" customFormat="1" ht="12" hidden="1" customHeight="1">
      <c r="A16636" s="198"/>
    </row>
    <row r="16637" spans="1:1" s="199" customFormat="1" ht="12" hidden="1" customHeight="1">
      <c r="A16637" s="198"/>
    </row>
    <row r="16638" spans="1:1" s="199" customFormat="1" ht="12" hidden="1" customHeight="1">
      <c r="A16638" s="198"/>
    </row>
    <row r="16639" spans="1:1" s="199" customFormat="1" ht="12" hidden="1" customHeight="1">
      <c r="A16639" s="198"/>
    </row>
    <row r="16640" spans="1:1" s="199" customFormat="1" ht="12" hidden="1" customHeight="1">
      <c r="A16640" s="198"/>
    </row>
    <row r="16641" spans="1:1" s="199" customFormat="1" ht="12" hidden="1" customHeight="1">
      <c r="A16641" s="198"/>
    </row>
    <row r="16642" spans="1:1" s="199" customFormat="1" ht="12" hidden="1" customHeight="1">
      <c r="A16642" s="198"/>
    </row>
    <row r="16643" spans="1:1" s="199" customFormat="1" ht="12" hidden="1" customHeight="1">
      <c r="A16643" s="198"/>
    </row>
    <row r="16644" spans="1:1" s="199" customFormat="1" ht="12" hidden="1" customHeight="1">
      <c r="A16644" s="198"/>
    </row>
    <row r="16645" spans="1:1" s="199" customFormat="1" ht="12" hidden="1" customHeight="1">
      <c r="A16645" s="198"/>
    </row>
    <row r="16646" spans="1:1" s="199" customFormat="1" ht="12" hidden="1" customHeight="1">
      <c r="A16646" s="198"/>
    </row>
    <row r="16647" spans="1:1" s="199" customFormat="1" ht="12" hidden="1" customHeight="1">
      <c r="A16647" s="198"/>
    </row>
    <row r="16648" spans="1:1" s="199" customFormat="1" ht="12" hidden="1" customHeight="1">
      <c r="A16648" s="198"/>
    </row>
    <row r="16649" spans="1:1" s="199" customFormat="1" ht="12" hidden="1" customHeight="1">
      <c r="A16649" s="198"/>
    </row>
    <row r="16650" spans="1:1" s="199" customFormat="1" ht="12" hidden="1" customHeight="1">
      <c r="A16650" s="198"/>
    </row>
    <row r="16651" spans="1:1" s="199" customFormat="1" ht="12" hidden="1" customHeight="1">
      <c r="A16651" s="198"/>
    </row>
    <row r="16652" spans="1:1" s="199" customFormat="1" ht="12" hidden="1" customHeight="1">
      <c r="A16652" s="198"/>
    </row>
    <row r="16653" spans="1:1" s="199" customFormat="1" ht="12" hidden="1" customHeight="1">
      <c r="A16653" s="198"/>
    </row>
    <row r="16654" spans="1:1" s="199" customFormat="1" ht="12" hidden="1" customHeight="1">
      <c r="A16654" s="198"/>
    </row>
    <row r="16655" spans="1:1" s="199" customFormat="1" ht="12" hidden="1" customHeight="1">
      <c r="A16655" s="198"/>
    </row>
    <row r="16656" spans="1:1" s="199" customFormat="1" ht="12" hidden="1" customHeight="1">
      <c r="A16656" s="198"/>
    </row>
    <row r="16657" spans="1:1" s="199" customFormat="1" ht="12" hidden="1" customHeight="1">
      <c r="A16657" s="198"/>
    </row>
    <row r="16658" spans="1:1" s="199" customFormat="1" ht="12" hidden="1" customHeight="1">
      <c r="A16658" s="198"/>
    </row>
    <row r="16659" spans="1:1" s="199" customFormat="1" ht="12" hidden="1" customHeight="1">
      <c r="A16659" s="198"/>
    </row>
    <row r="16660" spans="1:1" s="199" customFormat="1" ht="12" hidden="1" customHeight="1">
      <c r="A16660" s="198"/>
    </row>
    <row r="16661" spans="1:1" s="199" customFormat="1" ht="12" hidden="1" customHeight="1">
      <c r="A16661" s="198"/>
    </row>
    <row r="16662" spans="1:1" s="199" customFormat="1" ht="12" hidden="1" customHeight="1">
      <c r="A16662" s="198"/>
    </row>
    <row r="16663" spans="1:1" s="199" customFormat="1" ht="12" hidden="1" customHeight="1">
      <c r="A16663" s="198"/>
    </row>
    <row r="16664" spans="1:1" s="199" customFormat="1" ht="12" hidden="1" customHeight="1">
      <c r="A16664" s="198"/>
    </row>
    <row r="16665" spans="1:1" s="199" customFormat="1" ht="12" hidden="1" customHeight="1">
      <c r="A16665" s="198"/>
    </row>
    <row r="16666" spans="1:1" s="199" customFormat="1" ht="12" hidden="1" customHeight="1">
      <c r="A16666" s="198"/>
    </row>
    <row r="16667" spans="1:1" s="199" customFormat="1" ht="12" hidden="1" customHeight="1">
      <c r="A16667" s="198"/>
    </row>
    <row r="16668" spans="1:1" s="199" customFormat="1" ht="12" hidden="1" customHeight="1">
      <c r="A16668" s="198"/>
    </row>
    <row r="16669" spans="1:1" s="199" customFormat="1" ht="12" hidden="1" customHeight="1">
      <c r="A16669" s="198"/>
    </row>
    <row r="16670" spans="1:1" s="199" customFormat="1" ht="12" hidden="1" customHeight="1">
      <c r="A16670" s="198"/>
    </row>
    <row r="16671" spans="1:1" s="199" customFormat="1" ht="12" hidden="1" customHeight="1">
      <c r="A16671" s="198"/>
    </row>
    <row r="16672" spans="1:1" s="199" customFormat="1" ht="12" hidden="1" customHeight="1">
      <c r="A16672" s="198"/>
    </row>
    <row r="16673" spans="1:1" s="199" customFormat="1" ht="12" hidden="1" customHeight="1">
      <c r="A16673" s="198"/>
    </row>
    <row r="16674" spans="1:1" s="199" customFormat="1" ht="12" hidden="1" customHeight="1">
      <c r="A16674" s="198"/>
    </row>
    <row r="16675" spans="1:1" s="199" customFormat="1" ht="12" hidden="1" customHeight="1">
      <c r="A16675" s="198"/>
    </row>
    <row r="16676" spans="1:1" s="199" customFormat="1" ht="12" hidden="1" customHeight="1">
      <c r="A16676" s="198"/>
    </row>
    <row r="16677" spans="1:1" s="199" customFormat="1" ht="12" hidden="1" customHeight="1">
      <c r="A16677" s="198"/>
    </row>
    <row r="16678" spans="1:1" s="199" customFormat="1" ht="12" hidden="1" customHeight="1">
      <c r="A16678" s="198"/>
    </row>
    <row r="16679" spans="1:1" s="199" customFormat="1" ht="12" hidden="1" customHeight="1">
      <c r="A16679" s="198"/>
    </row>
    <row r="16680" spans="1:1" s="199" customFormat="1" ht="12" hidden="1" customHeight="1">
      <c r="A16680" s="198"/>
    </row>
    <row r="16681" spans="1:1" s="199" customFormat="1" ht="12" hidden="1" customHeight="1">
      <c r="A16681" s="198"/>
    </row>
    <row r="16682" spans="1:1" s="199" customFormat="1" ht="12" hidden="1" customHeight="1">
      <c r="A16682" s="198"/>
    </row>
    <row r="16683" spans="1:1" s="199" customFormat="1" ht="12" hidden="1" customHeight="1">
      <c r="A16683" s="198"/>
    </row>
    <row r="16684" spans="1:1" s="199" customFormat="1" ht="12" hidden="1" customHeight="1">
      <c r="A16684" s="198"/>
    </row>
    <row r="16685" spans="1:1" s="199" customFormat="1" ht="12" hidden="1" customHeight="1">
      <c r="A16685" s="198"/>
    </row>
    <row r="16686" spans="1:1" s="199" customFormat="1" ht="12" hidden="1" customHeight="1">
      <c r="A16686" s="198"/>
    </row>
    <row r="16687" spans="1:1" s="199" customFormat="1" ht="12" hidden="1" customHeight="1">
      <c r="A16687" s="198"/>
    </row>
    <row r="16688" spans="1:1" s="199" customFormat="1" ht="12" hidden="1" customHeight="1">
      <c r="A16688" s="198"/>
    </row>
    <row r="16689" spans="1:1" s="199" customFormat="1" ht="12" hidden="1" customHeight="1">
      <c r="A16689" s="198"/>
    </row>
    <row r="16690" spans="1:1" s="199" customFormat="1" ht="12" hidden="1" customHeight="1">
      <c r="A16690" s="198"/>
    </row>
    <row r="16691" spans="1:1" s="199" customFormat="1" ht="12" hidden="1" customHeight="1">
      <c r="A16691" s="198"/>
    </row>
    <row r="16692" spans="1:1" s="199" customFormat="1" ht="12" hidden="1" customHeight="1">
      <c r="A16692" s="198"/>
    </row>
    <row r="16693" spans="1:1" s="199" customFormat="1" ht="12" hidden="1" customHeight="1">
      <c r="A16693" s="198"/>
    </row>
    <row r="16694" spans="1:1" s="199" customFormat="1" ht="12" hidden="1" customHeight="1">
      <c r="A16694" s="198"/>
    </row>
    <row r="16695" spans="1:1" s="199" customFormat="1" ht="12" hidden="1" customHeight="1">
      <c r="A16695" s="198"/>
    </row>
    <row r="16696" spans="1:1" s="199" customFormat="1" ht="12" hidden="1" customHeight="1">
      <c r="A16696" s="198"/>
    </row>
    <row r="16697" spans="1:1" s="199" customFormat="1" ht="12" hidden="1" customHeight="1">
      <c r="A16697" s="198"/>
    </row>
    <row r="16698" spans="1:1" s="199" customFormat="1" ht="12" hidden="1" customHeight="1">
      <c r="A16698" s="198"/>
    </row>
    <row r="16699" spans="1:1" s="199" customFormat="1" ht="12" hidden="1" customHeight="1">
      <c r="A16699" s="198"/>
    </row>
    <row r="16700" spans="1:1" s="199" customFormat="1" ht="12" hidden="1" customHeight="1">
      <c r="A16700" s="198"/>
    </row>
    <row r="16701" spans="1:1" s="199" customFormat="1" ht="12" hidden="1" customHeight="1">
      <c r="A16701" s="198"/>
    </row>
    <row r="16702" spans="1:1" s="199" customFormat="1" ht="12" hidden="1" customHeight="1">
      <c r="A16702" s="198"/>
    </row>
    <row r="16703" spans="1:1" s="199" customFormat="1" ht="12" hidden="1" customHeight="1">
      <c r="A16703" s="198"/>
    </row>
    <row r="16704" spans="1:1" s="199" customFormat="1" ht="12" hidden="1" customHeight="1">
      <c r="A16704" s="198"/>
    </row>
    <row r="16705" spans="1:1" s="199" customFormat="1" ht="12" hidden="1" customHeight="1">
      <c r="A16705" s="198"/>
    </row>
    <row r="16706" spans="1:1" s="199" customFormat="1" ht="12" hidden="1" customHeight="1">
      <c r="A16706" s="198"/>
    </row>
    <row r="16707" spans="1:1" s="199" customFormat="1" ht="12" hidden="1" customHeight="1">
      <c r="A16707" s="198"/>
    </row>
    <row r="16708" spans="1:1" s="199" customFormat="1" ht="12" hidden="1" customHeight="1">
      <c r="A16708" s="198"/>
    </row>
    <row r="16709" spans="1:1" s="199" customFormat="1" ht="12" hidden="1" customHeight="1">
      <c r="A16709" s="198"/>
    </row>
    <row r="16710" spans="1:1" s="199" customFormat="1" ht="12" hidden="1" customHeight="1">
      <c r="A16710" s="198"/>
    </row>
    <row r="16711" spans="1:1" s="199" customFormat="1" ht="12" hidden="1" customHeight="1">
      <c r="A16711" s="198"/>
    </row>
    <row r="16712" spans="1:1" s="199" customFormat="1" ht="12" hidden="1" customHeight="1">
      <c r="A16712" s="198"/>
    </row>
    <row r="16713" spans="1:1" s="199" customFormat="1" ht="12" hidden="1" customHeight="1">
      <c r="A16713" s="198"/>
    </row>
    <row r="16714" spans="1:1" s="199" customFormat="1" ht="12" hidden="1" customHeight="1">
      <c r="A16714" s="198"/>
    </row>
    <row r="16715" spans="1:1" s="199" customFormat="1" ht="12" hidden="1" customHeight="1">
      <c r="A16715" s="198"/>
    </row>
    <row r="16716" spans="1:1" s="199" customFormat="1" ht="12" hidden="1" customHeight="1">
      <c r="A16716" s="198"/>
    </row>
    <row r="16717" spans="1:1" s="199" customFormat="1" ht="12" hidden="1" customHeight="1">
      <c r="A16717" s="198"/>
    </row>
    <row r="16718" spans="1:1" s="199" customFormat="1" ht="12" hidden="1" customHeight="1">
      <c r="A16718" s="198"/>
    </row>
    <row r="16719" spans="1:1" s="199" customFormat="1" ht="12" hidden="1" customHeight="1">
      <c r="A16719" s="198"/>
    </row>
    <row r="16720" spans="1:1" s="199" customFormat="1" ht="12" hidden="1" customHeight="1">
      <c r="A16720" s="198"/>
    </row>
    <row r="16721" spans="1:1" s="199" customFormat="1" ht="12" hidden="1" customHeight="1">
      <c r="A16721" s="198"/>
    </row>
    <row r="16722" spans="1:1" s="199" customFormat="1" ht="12" hidden="1" customHeight="1">
      <c r="A16722" s="198"/>
    </row>
    <row r="16723" spans="1:1" s="199" customFormat="1" ht="12" hidden="1" customHeight="1">
      <c r="A16723" s="198"/>
    </row>
    <row r="16724" spans="1:1" s="199" customFormat="1" ht="12" hidden="1" customHeight="1">
      <c r="A16724" s="198"/>
    </row>
    <row r="16725" spans="1:1" s="199" customFormat="1" ht="12" hidden="1" customHeight="1">
      <c r="A16725" s="198"/>
    </row>
    <row r="16726" spans="1:1" s="199" customFormat="1" ht="12" hidden="1" customHeight="1">
      <c r="A16726" s="198"/>
    </row>
    <row r="16727" spans="1:1" s="199" customFormat="1" ht="12" hidden="1" customHeight="1">
      <c r="A16727" s="198"/>
    </row>
    <row r="16728" spans="1:1" s="199" customFormat="1" ht="12" hidden="1" customHeight="1">
      <c r="A16728" s="198"/>
    </row>
    <row r="16729" spans="1:1" s="199" customFormat="1" ht="12" hidden="1" customHeight="1">
      <c r="A16729" s="198"/>
    </row>
    <row r="16730" spans="1:1" s="199" customFormat="1" ht="12" hidden="1" customHeight="1">
      <c r="A16730" s="198"/>
    </row>
    <row r="16731" spans="1:1" s="199" customFormat="1" ht="12" hidden="1" customHeight="1">
      <c r="A16731" s="198"/>
    </row>
    <row r="16732" spans="1:1" s="199" customFormat="1" ht="12" hidden="1" customHeight="1">
      <c r="A16732" s="198"/>
    </row>
    <row r="16733" spans="1:1" s="199" customFormat="1" ht="12" hidden="1" customHeight="1">
      <c r="A16733" s="198"/>
    </row>
    <row r="16734" spans="1:1" s="199" customFormat="1" ht="12" hidden="1" customHeight="1">
      <c r="A16734" s="198"/>
    </row>
    <row r="16735" spans="1:1" s="199" customFormat="1" ht="12" hidden="1" customHeight="1">
      <c r="A16735" s="198"/>
    </row>
    <row r="16736" spans="1:1" s="199" customFormat="1" ht="12" hidden="1" customHeight="1">
      <c r="A16736" s="198"/>
    </row>
    <row r="16737" spans="1:1" s="199" customFormat="1" ht="12" hidden="1" customHeight="1">
      <c r="A16737" s="198"/>
    </row>
    <row r="16738" spans="1:1" s="199" customFormat="1" ht="12" hidden="1" customHeight="1">
      <c r="A16738" s="198"/>
    </row>
    <row r="16739" spans="1:1" s="199" customFormat="1" ht="12" hidden="1" customHeight="1">
      <c r="A16739" s="198"/>
    </row>
    <row r="16740" spans="1:1" s="199" customFormat="1" ht="12" hidden="1" customHeight="1">
      <c r="A16740" s="198"/>
    </row>
    <row r="16741" spans="1:1" s="199" customFormat="1" ht="12" hidden="1" customHeight="1">
      <c r="A16741" s="198"/>
    </row>
    <row r="16742" spans="1:1" s="199" customFormat="1" ht="12" hidden="1" customHeight="1">
      <c r="A16742" s="198"/>
    </row>
    <row r="16743" spans="1:1" s="199" customFormat="1" ht="12" hidden="1" customHeight="1">
      <c r="A16743" s="198"/>
    </row>
    <row r="16744" spans="1:1" s="199" customFormat="1" ht="12" hidden="1" customHeight="1">
      <c r="A16744" s="198"/>
    </row>
    <row r="16745" spans="1:1" s="199" customFormat="1" ht="12" hidden="1" customHeight="1">
      <c r="A16745" s="198"/>
    </row>
    <row r="16746" spans="1:1" s="199" customFormat="1" ht="12" hidden="1" customHeight="1">
      <c r="A16746" s="198"/>
    </row>
    <row r="16747" spans="1:1" s="199" customFormat="1" ht="12" hidden="1" customHeight="1">
      <c r="A16747" s="198"/>
    </row>
    <row r="16748" spans="1:1" s="199" customFormat="1" ht="12" hidden="1" customHeight="1">
      <c r="A16748" s="198"/>
    </row>
    <row r="16749" spans="1:1" s="199" customFormat="1" ht="12" hidden="1" customHeight="1">
      <c r="A16749" s="198"/>
    </row>
    <row r="16750" spans="1:1" s="199" customFormat="1" ht="12" hidden="1" customHeight="1">
      <c r="A16750" s="198"/>
    </row>
    <row r="16751" spans="1:1" s="199" customFormat="1" ht="12" hidden="1" customHeight="1">
      <c r="A16751" s="198"/>
    </row>
    <row r="16752" spans="1:1" s="199" customFormat="1" ht="12" hidden="1" customHeight="1">
      <c r="A16752" s="198"/>
    </row>
    <row r="16753" spans="1:1" s="199" customFormat="1" ht="12" hidden="1" customHeight="1">
      <c r="A16753" s="198"/>
    </row>
    <row r="16754" spans="1:1" s="199" customFormat="1" ht="12" hidden="1" customHeight="1">
      <c r="A16754" s="198"/>
    </row>
    <row r="16755" spans="1:1" s="199" customFormat="1" ht="12" hidden="1" customHeight="1">
      <c r="A16755" s="198"/>
    </row>
    <row r="16756" spans="1:1" s="199" customFormat="1" ht="12" hidden="1" customHeight="1">
      <c r="A16756" s="198"/>
    </row>
    <row r="16757" spans="1:1" s="199" customFormat="1" ht="12" hidden="1" customHeight="1">
      <c r="A16757" s="198"/>
    </row>
    <row r="16758" spans="1:1" s="199" customFormat="1" ht="12" hidden="1" customHeight="1">
      <c r="A16758" s="198"/>
    </row>
    <row r="16759" spans="1:1" s="199" customFormat="1" ht="12" hidden="1" customHeight="1">
      <c r="A16759" s="198"/>
    </row>
    <row r="16760" spans="1:1" s="199" customFormat="1" ht="12" hidden="1" customHeight="1">
      <c r="A16760" s="198"/>
    </row>
    <row r="16761" spans="1:1" s="199" customFormat="1" ht="12" hidden="1" customHeight="1">
      <c r="A16761" s="198"/>
    </row>
    <row r="16762" spans="1:1" s="199" customFormat="1" ht="12" hidden="1" customHeight="1">
      <c r="A16762" s="198"/>
    </row>
    <row r="16763" spans="1:1" s="199" customFormat="1" ht="12" hidden="1" customHeight="1">
      <c r="A16763" s="198"/>
    </row>
    <row r="16764" spans="1:1" s="199" customFormat="1" ht="12" hidden="1" customHeight="1">
      <c r="A16764" s="198"/>
    </row>
    <row r="16765" spans="1:1" s="199" customFormat="1" ht="12" hidden="1" customHeight="1">
      <c r="A16765" s="198"/>
    </row>
    <row r="16766" spans="1:1" s="199" customFormat="1" ht="12" hidden="1" customHeight="1">
      <c r="A16766" s="198"/>
    </row>
    <row r="16767" spans="1:1" s="199" customFormat="1" ht="12" hidden="1" customHeight="1">
      <c r="A16767" s="198"/>
    </row>
    <row r="16768" spans="1:1" s="199" customFormat="1" ht="12" hidden="1" customHeight="1">
      <c r="A16768" s="198"/>
    </row>
    <row r="16769" spans="1:1" s="199" customFormat="1" ht="12" hidden="1" customHeight="1">
      <c r="A16769" s="198"/>
    </row>
    <row r="16770" spans="1:1" s="199" customFormat="1" ht="12" hidden="1" customHeight="1">
      <c r="A16770" s="198"/>
    </row>
    <row r="16771" spans="1:1" s="199" customFormat="1" ht="12" hidden="1" customHeight="1">
      <c r="A16771" s="198"/>
    </row>
    <row r="16772" spans="1:1" s="199" customFormat="1" ht="12" hidden="1" customHeight="1">
      <c r="A16772" s="198"/>
    </row>
    <row r="16773" spans="1:1" s="199" customFormat="1" ht="12" hidden="1" customHeight="1">
      <c r="A16773" s="198"/>
    </row>
    <row r="16774" spans="1:1" s="199" customFormat="1" ht="12" hidden="1" customHeight="1">
      <c r="A16774" s="198"/>
    </row>
    <row r="16775" spans="1:1" s="199" customFormat="1" ht="12" hidden="1" customHeight="1">
      <c r="A16775" s="198"/>
    </row>
    <row r="16776" spans="1:1" s="199" customFormat="1" ht="12" hidden="1" customHeight="1">
      <c r="A16776" s="198"/>
    </row>
    <row r="16777" spans="1:1" s="199" customFormat="1" ht="12" hidden="1" customHeight="1">
      <c r="A16777" s="198"/>
    </row>
    <row r="16778" spans="1:1" s="199" customFormat="1" ht="12" hidden="1" customHeight="1">
      <c r="A16778" s="198"/>
    </row>
    <row r="16779" spans="1:1" s="199" customFormat="1" ht="12" hidden="1" customHeight="1">
      <c r="A16779" s="198"/>
    </row>
    <row r="16780" spans="1:1" s="199" customFormat="1" ht="12" hidden="1" customHeight="1">
      <c r="A16780" s="198"/>
    </row>
    <row r="16781" spans="1:1" s="199" customFormat="1" ht="12" hidden="1" customHeight="1">
      <c r="A16781" s="198"/>
    </row>
    <row r="16782" spans="1:1" s="199" customFormat="1" ht="12" hidden="1" customHeight="1">
      <c r="A16782" s="198"/>
    </row>
    <row r="16783" spans="1:1" s="199" customFormat="1" ht="12" hidden="1" customHeight="1">
      <c r="A16783" s="198"/>
    </row>
    <row r="16784" spans="1:1" s="199" customFormat="1" ht="12" hidden="1" customHeight="1">
      <c r="A16784" s="198"/>
    </row>
    <row r="16785" spans="1:1" s="199" customFormat="1" ht="12" hidden="1" customHeight="1">
      <c r="A16785" s="198"/>
    </row>
    <row r="16786" spans="1:1" s="199" customFormat="1" ht="12" hidden="1" customHeight="1">
      <c r="A16786" s="198"/>
    </row>
    <row r="16787" spans="1:1" s="199" customFormat="1" ht="12" hidden="1" customHeight="1">
      <c r="A16787" s="198"/>
    </row>
    <row r="16788" spans="1:1" s="199" customFormat="1" ht="12" hidden="1" customHeight="1">
      <c r="A16788" s="198"/>
    </row>
    <row r="16789" spans="1:1" s="199" customFormat="1" ht="12" hidden="1" customHeight="1">
      <c r="A16789" s="198"/>
    </row>
    <row r="16790" spans="1:1" s="199" customFormat="1" ht="12" hidden="1" customHeight="1">
      <c r="A16790" s="198"/>
    </row>
    <row r="16791" spans="1:1" s="199" customFormat="1" ht="12" hidden="1" customHeight="1">
      <c r="A16791" s="198"/>
    </row>
    <row r="16792" spans="1:1" s="199" customFormat="1" ht="12" hidden="1" customHeight="1">
      <c r="A16792" s="198"/>
    </row>
    <row r="16793" spans="1:1" s="199" customFormat="1" ht="12" hidden="1" customHeight="1">
      <c r="A16793" s="198"/>
    </row>
    <row r="16794" spans="1:1" s="199" customFormat="1" ht="12" hidden="1" customHeight="1">
      <c r="A16794" s="198"/>
    </row>
    <row r="16795" spans="1:1" s="199" customFormat="1" ht="12" hidden="1" customHeight="1">
      <c r="A16795" s="198"/>
    </row>
    <row r="16796" spans="1:1" s="199" customFormat="1" ht="12" hidden="1" customHeight="1">
      <c r="A16796" s="198"/>
    </row>
    <row r="16797" spans="1:1" s="199" customFormat="1" ht="12" hidden="1" customHeight="1">
      <c r="A16797" s="198"/>
    </row>
    <row r="16798" spans="1:1" s="199" customFormat="1" ht="12" hidden="1" customHeight="1">
      <c r="A16798" s="198"/>
    </row>
    <row r="16799" spans="1:1" s="199" customFormat="1" ht="12" hidden="1" customHeight="1">
      <c r="A16799" s="198"/>
    </row>
    <row r="16800" spans="1:1" s="199" customFormat="1" ht="12" hidden="1" customHeight="1">
      <c r="A16800" s="198"/>
    </row>
    <row r="16801" spans="1:1" s="199" customFormat="1" ht="12" hidden="1" customHeight="1">
      <c r="A16801" s="198"/>
    </row>
    <row r="16802" spans="1:1" s="199" customFormat="1" ht="12" hidden="1" customHeight="1">
      <c r="A16802" s="198"/>
    </row>
    <row r="16803" spans="1:1" s="199" customFormat="1" ht="12" hidden="1" customHeight="1">
      <c r="A16803" s="198"/>
    </row>
    <row r="16804" spans="1:1" s="199" customFormat="1" ht="12" hidden="1" customHeight="1">
      <c r="A16804" s="198"/>
    </row>
    <row r="16805" spans="1:1" s="199" customFormat="1" ht="12" hidden="1" customHeight="1">
      <c r="A16805" s="198"/>
    </row>
    <row r="16806" spans="1:1" s="199" customFormat="1" ht="12" hidden="1" customHeight="1">
      <c r="A16806" s="198"/>
    </row>
    <row r="16807" spans="1:1" s="199" customFormat="1" ht="12" hidden="1" customHeight="1">
      <c r="A16807" s="198"/>
    </row>
    <row r="16808" spans="1:1" s="199" customFormat="1" ht="12" hidden="1" customHeight="1">
      <c r="A16808" s="198"/>
    </row>
    <row r="16809" spans="1:1" s="199" customFormat="1" ht="12" hidden="1" customHeight="1">
      <c r="A16809" s="198"/>
    </row>
    <row r="16810" spans="1:1" s="199" customFormat="1" ht="12" hidden="1" customHeight="1">
      <c r="A16810" s="198"/>
    </row>
    <row r="16811" spans="1:1" s="199" customFormat="1" ht="12" hidden="1" customHeight="1">
      <c r="A16811" s="198"/>
    </row>
    <row r="16812" spans="1:1" s="199" customFormat="1" ht="12" hidden="1" customHeight="1">
      <c r="A16812" s="198"/>
    </row>
    <row r="16813" spans="1:1" s="199" customFormat="1" ht="12" hidden="1" customHeight="1">
      <c r="A16813" s="198"/>
    </row>
    <row r="16814" spans="1:1" s="199" customFormat="1" ht="12" hidden="1" customHeight="1">
      <c r="A16814" s="198"/>
    </row>
    <row r="16815" spans="1:1" s="199" customFormat="1" ht="12" hidden="1" customHeight="1">
      <c r="A16815" s="198"/>
    </row>
    <row r="16816" spans="1:1" s="199" customFormat="1" ht="12" hidden="1" customHeight="1">
      <c r="A16816" s="198"/>
    </row>
    <row r="16817" spans="1:1" s="199" customFormat="1" ht="12" hidden="1" customHeight="1">
      <c r="A16817" s="198"/>
    </row>
    <row r="16818" spans="1:1" s="199" customFormat="1" ht="12" hidden="1" customHeight="1">
      <c r="A16818" s="198"/>
    </row>
    <row r="16819" spans="1:1" s="199" customFormat="1" ht="12" hidden="1" customHeight="1">
      <c r="A16819" s="198"/>
    </row>
    <row r="16820" spans="1:1" s="199" customFormat="1" ht="12" hidden="1" customHeight="1">
      <c r="A16820" s="198"/>
    </row>
    <row r="16821" spans="1:1" s="199" customFormat="1" ht="12" hidden="1" customHeight="1">
      <c r="A16821" s="198"/>
    </row>
    <row r="16822" spans="1:1" s="199" customFormat="1" ht="12" hidden="1" customHeight="1">
      <c r="A16822" s="198"/>
    </row>
    <row r="16823" spans="1:1" s="199" customFormat="1" ht="12" hidden="1" customHeight="1">
      <c r="A16823" s="198"/>
    </row>
    <row r="16824" spans="1:1" s="199" customFormat="1" ht="12" hidden="1" customHeight="1">
      <c r="A16824" s="198"/>
    </row>
    <row r="16825" spans="1:1" s="199" customFormat="1" ht="12" hidden="1" customHeight="1">
      <c r="A16825" s="198"/>
    </row>
    <row r="16826" spans="1:1" s="199" customFormat="1" ht="12" hidden="1" customHeight="1">
      <c r="A16826" s="198"/>
    </row>
    <row r="16827" spans="1:1" s="199" customFormat="1" ht="12" hidden="1" customHeight="1">
      <c r="A16827" s="198"/>
    </row>
    <row r="16828" spans="1:1" s="199" customFormat="1" ht="12" hidden="1" customHeight="1">
      <c r="A16828" s="198"/>
    </row>
    <row r="16829" spans="1:1" s="199" customFormat="1" ht="12" hidden="1" customHeight="1">
      <c r="A16829" s="198"/>
    </row>
    <row r="16830" spans="1:1" s="199" customFormat="1" ht="12" hidden="1" customHeight="1">
      <c r="A16830" s="198"/>
    </row>
    <row r="16831" spans="1:1" s="199" customFormat="1" ht="12" hidden="1" customHeight="1">
      <c r="A16831" s="198"/>
    </row>
    <row r="16832" spans="1:1" s="199" customFormat="1" ht="12" hidden="1" customHeight="1">
      <c r="A16832" s="198"/>
    </row>
    <row r="16833" spans="1:1" s="199" customFormat="1" ht="12" hidden="1" customHeight="1">
      <c r="A16833" s="198"/>
    </row>
    <row r="16834" spans="1:1" s="199" customFormat="1" ht="12" hidden="1" customHeight="1">
      <c r="A16834" s="198"/>
    </row>
    <row r="16835" spans="1:1" s="199" customFormat="1" ht="12" hidden="1" customHeight="1">
      <c r="A16835" s="198"/>
    </row>
    <row r="16836" spans="1:1" s="199" customFormat="1" ht="12" hidden="1" customHeight="1">
      <c r="A16836" s="198"/>
    </row>
    <row r="16837" spans="1:1" s="199" customFormat="1" ht="12" hidden="1" customHeight="1">
      <c r="A16837" s="198"/>
    </row>
    <row r="16838" spans="1:1" s="199" customFormat="1" ht="12" hidden="1" customHeight="1">
      <c r="A16838" s="198"/>
    </row>
    <row r="16839" spans="1:1" s="199" customFormat="1" ht="12" hidden="1" customHeight="1">
      <c r="A16839" s="198"/>
    </row>
    <row r="16840" spans="1:1" s="199" customFormat="1" ht="12" hidden="1" customHeight="1">
      <c r="A16840" s="198"/>
    </row>
    <row r="16841" spans="1:1" s="199" customFormat="1" ht="12" hidden="1" customHeight="1">
      <c r="A16841" s="198"/>
    </row>
    <row r="16842" spans="1:1" s="199" customFormat="1" ht="12" hidden="1" customHeight="1">
      <c r="A16842" s="198"/>
    </row>
    <row r="16843" spans="1:1" s="199" customFormat="1" ht="12" hidden="1" customHeight="1">
      <c r="A16843" s="198"/>
    </row>
    <row r="16844" spans="1:1" s="199" customFormat="1" ht="12" hidden="1" customHeight="1">
      <c r="A16844" s="198"/>
    </row>
    <row r="16845" spans="1:1" s="199" customFormat="1" ht="12" hidden="1" customHeight="1">
      <c r="A16845" s="198"/>
    </row>
    <row r="16846" spans="1:1" s="199" customFormat="1" ht="12" hidden="1" customHeight="1">
      <c r="A16846" s="198"/>
    </row>
    <row r="16847" spans="1:1" s="199" customFormat="1" ht="12" hidden="1" customHeight="1">
      <c r="A16847" s="198"/>
    </row>
    <row r="16848" spans="1:1" s="199" customFormat="1" ht="12" hidden="1" customHeight="1">
      <c r="A16848" s="198"/>
    </row>
    <row r="16849" spans="1:1" s="199" customFormat="1" ht="12" hidden="1" customHeight="1">
      <c r="A16849" s="198"/>
    </row>
    <row r="16850" spans="1:1" s="199" customFormat="1" ht="12" hidden="1" customHeight="1">
      <c r="A16850" s="198"/>
    </row>
    <row r="16851" spans="1:1" s="199" customFormat="1" ht="12" hidden="1" customHeight="1">
      <c r="A16851" s="198"/>
    </row>
    <row r="16852" spans="1:1" s="199" customFormat="1" ht="12" hidden="1" customHeight="1">
      <c r="A16852" s="198"/>
    </row>
    <row r="16853" spans="1:1" s="199" customFormat="1" ht="12" hidden="1" customHeight="1">
      <c r="A16853" s="198"/>
    </row>
    <row r="16854" spans="1:1" s="199" customFormat="1" ht="12" hidden="1" customHeight="1">
      <c r="A16854" s="198"/>
    </row>
    <row r="16855" spans="1:1" s="199" customFormat="1" ht="12" hidden="1" customHeight="1">
      <c r="A16855" s="198"/>
    </row>
    <row r="16856" spans="1:1" s="199" customFormat="1" ht="12" hidden="1" customHeight="1">
      <c r="A16856" s="198"/>
    </row>
    <row r="16857" spans="1:1" s="199" customFormat="1" ht="12" hidden="1" customHeight="1">
      <c r="A16857" s="198"/>
    </row>
    <row r="16858" spans="1:1" s="199" customFormat="1" ht="12" hidden="1" customHeight="1">
      <c r="A16858" s="198"/>
    </row>
    <row r="16859" spans="1:1" s="199" customFormat="1" ht="12" hidden="1" customHeight="1">
      <c r="A16859" s="198"/>
    </row>
    <row r="16860" spans="1:1" s="199" customFormat="1" ht="12" hidden="1" customHeight="1">
      <c r="A16860" s="198"/>
    </row>
    <row r="16861" spans="1:1" s="199" customFormat="1" ht="12" hidden="1" customHeight="1">
      <c r="A16861" s="198"/>
    </row>
    <row r="16862" spans="1:1" s="199" customFormat="1" ht="12" hidden="1" customHeight="1">
      <c r="A16862" s="198"/>
    </row>
    <row r="16863" spans="1:1" s="199" customFormat="1" ht="12" hidden="1" customHeight="1">
      <c r="A16863" s="198"/>
    </row>
    <row r="16864" spans="1:1" s="199" customFormat="1" ht="12" hidden="1" customHeight="1">
      <c r="A16864" s="198"/>
    </row>
    <row r="16865" spans="1:1" s="199" customFormat="1" ht="12" hidden="1" customHeight="1">
      <c r="A16865" s="198"/>
    </row>
    <row r="16866" spans="1:1" s="199" customFormat="1" ht="12" hidden="1" customHeight="1">
      <c r="A16866" s="198"/>
    </row>
    <row r="16867" spans="1:1" s="199" customFormat="1" ht="12" hidden="1" customHeight="1">
      <c r="A16867" s="198"/>
    </row>
    <row r="16868" spans="1:1" s="199" customFormat="1" ht="12" hidden="1" customHeight="1">
      <c r="A16868" s="198"/>
    </row>
    <row r="16869" spans="1:1" s="199" customFormat="1" ht="12" hidden="1" customHeight="1">
      <c r="A16869" s="198"/>
    </row>
    <row r="16870" spans="1:1" s="199" customFormat="1" ht="12" hidden="1" customHeight="1">
      <c r="A16870" s="198"/>
    </row>
    <row r="16871" spans="1:1" s="199" customFormat="1" ht="12" hidden="1" customHeight="1">
      <c r="A16871" s="198"/>
    </row>
    <row r="16872" spans="1:1" s="199" customFormat="1" ht="12" hidden="1" customHeight="1">
      <c r="A16872" s="198"/>
    </row>
    <row r="16873" spans="1:1" s="199" customFormat="1" ht="12" hidden="1" customHeight="1">
      <c r="A16873" s="198"/>
    </row>
    <row r="16874" spans="1:1" s="199" customFormat="1" ht="12" hidden="1" customHeight="1">
      <c r="A16874" s="198"/>
    </row>
    <row r="16875" spans="1:1" s="199" customFormat="1" ht="12" hidden="1" customHeight="1">
      <c r="A16875" s="198"/>
    </row>
    <row r="16876" spans="1:1" s="199" customFormat="1" ht="12" hidden="1" customHeight="1">
      <c r="A16876" s="198"/>
    </row>
    <row r="16877" spans="1:1" s="199" customFormat="1" ht="12" hidden="1" customHeight="1">
      <c r="A16877" s="198"/>
    </row>
    <row r="16878" spans="1:1" s="199" customFormat="1" ht="12" hidden="1" customHeight="1">
      <c r="A16878" s="198"/>
    </row>
    <row r="16879" spans="1:1" s="199" customFormat="1" ht="12" hidden="1" customHeight="1">
      <c r="A16879" s="198"/>
    </row>
    <row r="16880" spans="1:1" s="199" customFormat="1" ht="12" hidden="1" customHeight="1">
      <c r="A16880" s="198"/>
    </row>
    <row r="16881" spans="1:1" s="199" customFormat="1" ht="12" hidden="1" customHeight="1">
      <c r="A16881" s="198"/>
    </row>
    <row r="16882" spans="1:1" s="199" customFormat="1" ht="12" hidden="1" customHeight="1">
      <c r="A16882" s="198"/>
    </row>
    <row r="16883" spans="1:1" s="199" customFormat="1" ht="12" hidden="1" customHeight="1">
      <c r="A16883" s="198"/>
    </row>
    <row r="16884" spans="1:1" s="199" customFormat="1" ht="12" hidden="1" customHeight="1">
      <c r="A16884" s="198"/>
    </row>
    <row r="16885" spans="1:1" s="199" customFormat="1" ht="12" hidden="1" customHeight="1">
      <c r="A16885" s="198"/>
    </row>
    <row r="16886" spans="1:1" s="199" customFormat="1" ht="12" hidden="1" customHeight="1">
      <c r="A16886" s="198"/>
    </row>
    <row r="16887" spans="1:1" s="199" customFormat="1" ht="12" hidden="1" customHeight="1">
      <c r="A16887" s="198"/>
    </row>
    <row r="16888" spans="1:1" s="199" customFormat="1" ht="12" hidden="1" customHeight="1">
      <c r="A16888" s="198"/>
    </row>
    <row r="16889" spans="1:1" s="199" customFormat="1" ht="12" hidden="1" customHeight="1">
      <c r="A16889" s="198"/>
    </row>
    <row r="16890" spans="1:1" s="199" customFormat="1" ht="12" hidden="1" customHeight="1">
      <c r="A16890" s="198"/>
    </row>
    <row r="16891" spans="1:1" s="199" customFormat="1" ht="12" hidden="1" customHeight="1">
      <c r="A16891" s="198"/>
    </row>
    <row r="16892" spans="1:1" s="199" customFormat="1" ht="12" hidden="1" customHeight="1">
      <c r="A16892" s="198"/>
    </row>
    <row r="16893" spans="1:1" s="199" customFormat="1" ht="12" hidden="1" customHeight="1">
      <c r="A16893" s="198"/>
    </row>
    <row r="16894" spans="1:1" s="199" customFormat="1" ht="12" hidden="1" customHeight="1">
      <c r="A16894" s="198"/>
    </row>
    <row r="16895" spans="1:1" s="199" customFormat="1" ht="12" hidden="1" customHeight="1">
      <c r="A16895" s="198"/>
    </row>
    <row r="16896" spans="1:1" s="199" customFormat="1" ht="12" hidden="1" customHeight="1">
      <c r="A16896" s="198"/>
    </row>
    <row r="16897" spans="1:1" s="199" customFormat="1" ht="12" hidden="1" customHeight="1">
      <c r="A16897" s="198"/>
    </row>
    <row r="16898" spans="1:1" s="199" customFormat="1" ht="12" hidden="1" customHeight="1">
      <c r="A16898" s="198"/>
    </row>
    <row r="16899" spans="1:1" s="199" customFormat="1" ht="12" hidden="1" customHeight="1">
      <c r="A16899" s="198"/>
    </row>
    <row r="16900" spans="1:1" s="199" customFormat="1" ht="12" hidden="1" customHeight="1">
      <c r="A16900" s="198"/>
    </row>
    <row r="16901" spans="1:1" s="199" customFormat="1" ht="12" hidden="1" customHeight="1">
      <c r="A16901" s="198"/>
    </row>
    <row r="16902" spans="1:1" s="199" customFormat="1" ht="12" hidden="1" customHeight="1">
      <c r="A16902" s="198"/>
    </row>
    <row r="16903" spans="1:1" s="199" customFormat="1" ht="12" hidden="1" customHeight="1">
      <c r="A16903" s="198"/>
    </row>
    <row r="16904" spans="1:1" s="199" customFormat="1" ht="12" hidden="1" customHeight="1">
      <c r="A16904" s="198"/>
    </row>
    <row r="16905" spans="1:1" s="199" customFormat="1" ht="12" hidden="1" customHeight="1">
      <c r="A16905" s="198"/>
    </row>
    <row r="16906" spans="1:1" s="199" customFormat="1" ht="12" hidden="1" customHeight="1">
      <c r="A16906" s="198"/>
    </row>
    <row r="16907" spans="1:1" s="199" customFormat="1" ht="12" hidden="1" customHeight="1">
      <c r="A16907" s="198"/>
    </row>
    <row r="16908" spans="1:1" s="199" customFormat="1" ht="12" hidden="1" customHeight="1">
      <c r="A16908" s="198"/>
    </row>
    <row r="16909" spans="1:1" s="199" customFormat="1" ht="12" hidden="1" customHeight="1">
      <c r="A16909" s="198"/>
    </row>
    <row r="16910" spans="1:1" s="199" customFormat="1" ht="12" hidden="1" customHeight="1">
      <c r="A16910" s="198"/>
    </row>
    <row r="16911" spans="1:1" s="199" customFormat="1" ht="12" hidden="1" customHeight="1">
      <c r="A16911" s="198"/>
    </row>
    <row r="16912" spans="1:1" s="199" customFormat="1" ht="12" hidden="1" customHeight="1">
      <c r="A16912" s="198"/>
    </row>
    <row r="16913" spans="1:1" s="199" customFormat="1" ht="12" hidden="1" customHeight="1">
      <c r="A16913" s="198"/>
    </row>
    <row r="16914" spans="1:1" s="199" customFormat="1" ht="12" hidden="1" customHeight="1">
      <c r="A16914" s="198"/>
    </row>
    <row r="16915" spans="1:1" s="199" customFormat="1" ht="12" hidden="1" customHeight="1">
      <c r="A16915" s="198"/>
    </row>
    <row r="16916" spans="1:1" s="199" customFormat="1" ht="12" hidden="1" customHeight="1">
      <c r="A16916" s="198"/>
    </row>
    <row r="16917" spans="1:1" s="199" customFormat="1" ht="12" hidden="1" customHeight="1">
      <c r="A16917" s="198"/>
    </row>
    <row r="16918" spans="1:1" s="199" customFormat="1" ht="12" hidden="1" customHeight="1">
      <c r="A16918" s="198"/>
    </row>
    <row r="16919" spans="1:1" s="199" customFormat="1" ht="12" hidden="1" customHeight="1">
      <c r="A16919" s="198"/>
    </row>
    <row r="16920" spans="1:1" s="199" customFormat="1" ht="12" hidden="1" customHeight="1">
      <c r="A16920" s="198"/>
    </row>
    <row r="16921" spans="1:1" s="199" customFormat="1" ht="12" hidden="1" customHeight="1">
      <c r="A16921" s="198"/>
    </row>
    <row r="16922" spans="1:1" s="199" customFormat="1" ht="12" hidden="1" customHeight="1">
      <c r="A16922" s="198"/>
    </row>
    <row r="16923" spans="1:1" s="199" customFormat="1" ht="12" hidden="1" customHeight="1">
      <c r="A16923" s="198"/>
    </row>
    <row r="16924" spans="1:1" s="199" customFormat="1" ht="12" hidden="1" customHeight="1">
      <c r="A16924" s="198"/>
    </row>
    <row r="16925" spans="1:1" s="199" customFormat="1" ht="12" hidden="1" customHeight="1">
      <c r="A16925" s="198"/>
    </row>
    <row r="16926" spans="1:1" s="199" customFormat="1" ht="12" hidden="1" customHeight="1">
      <c r="A16926" s="198"/>
    </row>
    <row r="16927" spans="1:1" s="199" customFormat="1" ht="12" hidden="1" customHeight="1">
      <c r="A16927" s="198"/>
    </row>
    <row r="16928" spans="1:1" s="199" customFormat="1" ht="12" hidden="1" customHeight="1">
      <c r="A16928" s="198"/>
    </row>
    <row r="16929" spans="1:1" s="199" customFormat="1" ht="12" hidden="1" customHeight="1">
      <c r="A16929" s="198"/>
    </row>
    <row r="16930" spans="1:1" s="199" customFormat="1" ht="12" hidden="1" customHeight="1">
      <c r="A16930" s="198"/>
    </row>
    <row r="16931" spans="1:1" s="199" customFormat="1" ht="12" hidden="1" customHeight="1">
      <c r="A16931" s="198"/>
    </row>
    <row r="16932" spans="1:1" s="199" customFormat="1" ht="12" hidden="1" customHeight="1">
      <c r="A16932" s="198"/>
    </row>
    <row r="16933" spans="1:1" s="199" customFormat="1" ht="12" hidden="1" customHeight="1">
      <c r="A16933" s="198"/>
    </row>
    <row r="16934" spans="1:1" s="199" customFormat="1" ht="12" hidden="1" customHeight="1">
      <c r="A16934" s="198"/>
    </row>
    <row r="16935" spans="1:1" s="199" customFormat="1" ht="12" hidden="1" customHeight="1">
      <c r="A16935" s="198"/>
    </row>
    <row r="16936" spans="1:1" s="199" customFormat="1" ht="12" hidden="1" customHeight="1">
      <c r="A16936" s="198"/>
    </row>
    <row r="16937" spans="1:1" s="199" customFormat="1" ht="12" hidden="1" customHeight="1">
      <c r="A16937" s="198"/>
    </row>
    <row r="16938" spans="1:1" s="199" customFormat="1" ht="12" hidden="1" customHeight="1">
      <c r="A16938" s="198"/>
    </row>
    <row r="16939" spans="1:1" s="199" customFormat="1" ht="12" hidden="1" customHeight="1">
      <c r="A16939" s="198"/>
    </row>
    <row r="16940" spans="1:1" s="199" customFormat="1" ht="12" hidden="1" customHeight="1">
      <c r="A16940" s="198"/>
    </row>
    <row r="16941" spans="1:1" s="199" customFormat="1" ht="12" hidden="1" customHeight="1">
      <c r="A16941" s="198"/>
    </row>
    <row r="16942" spans="1:1" s="199" customFormat="1" ht="12" hidden="1" customHeight="1">
      <c r="A16942" s="198"/>
    </row>
    <row r="16943" spans="1:1" s="199" customFormat="1" ht="12" hidden="1" customHeight="1">
      <c r="A16943" s="198"/>
    </row>
    <row r="16944" spans="1:1" s="199" customFormat="1" ht="12" hidden="1" customHeight="1">
      <c r="A16944" s="198"/>
    </row>
    <row r="16945" spans="1:1" s="199" customFormat="1" ht="12" hidden="1" customHeight="1">
      <c r="A16945" s="198"/>
    </row>
    <row r="16946" spans="1:1" s="199" customFormat="1" ht="12" hidden="1" customHeight="1">
      <c r="A16946" s="198"/>
    </row>
    <row r="16947" spans="1:1" s="199" customFormat="1" ht="12" hidden="1" customHeight="1">
      <c r="A16947" s="198"/>
    </row>
    <row r="16948" spans="1:1" s="199" customFormat="1" ht="12" hidden="1" customHeight="1">
      <c r="A16948" s="198"/>
    </row>
    <row r="16949" spans="1:1" s="199" customFormat="1" ht="12" hidden="1" customHeight="1">
      <c r="A16949" s="198"/>
    </row>
    <row r="16950" spans="1:1" s="199" customFormat="1" ht="12" hidden="1" customHeight="1">
      <c r="A16950" s="198"/>
    </row>
    <row r="16951" spans="1:1" s="199" customFormat="1" ht="12" hidden="1" customHeight="1">
      <c r="A16951" s="198"/>
    </row>
    <row r="16952" spans="1:1" s="199" customFormat="1" ht="12" hidden="1" customHeight="1">
      <c r="A16952" s="198"/>
    </row>
    <row r="16953" spans="1:1" s="199" customFormat="1" ht="12" hidden="1" customHeight="1">
      <c r="A16953" s="198"/>
    </row>
    <row r="16954" spans="1:1" s="199" customFormat="1" ht="12" hidden="1" customHeight="1">
      <c r="A16954" s="198"/>
    </row>
    <row r="16955" spans="1:1" s="199" customFormat="1" ht="12" hidden="1" customHeight="1">
      <c r="A16955" s="198"/>
    </row>
    <row r="16956" spans="1:1" s="199" customFormat="1" ht="12" hidden="1" customHeight="1">
      <c r="A16956" s="198"/>
    </row>
    <row r="16957" spans="1:1" s="199" customFormat="1" ht="12" hidden="1" customHeight="1">
      <c r="A16957" s="198"/>
    </row>
    <row r="16958" spans="1:1" s="199" customFormat="1" ht="12" hidden="1" customHeight="1">
      <c r="A16958" s="198"/>
    </row>
    <row r="16959" spans="1:1" s="199" customFormat="1" ht="12" hidden="1" customHeight="1">
      <c r="A16959" s="198"/>
    </row>
    <row r="16960" spans="1:1" s="199" customFormat="1" ht="12" hidden="1" customHeight="1">
      <c r="A16960" s="198"/>
    </row>
    <row r="16961" spans="1:1" s="199" customFormat="1" ht="12" hidden="1" customHeight="1">
      <c r="A16961" s="198"/>
    </row>
    <row r="16962" spans="1:1" s="199" customFormat="1" ht="12" hidden="1" customHeight="1">
      <c r="A16962" s="198"/>
    </row>
    <row r="16963" spans="1:1" s="199" customFormat="1" ht="12" hidden="1" customHeight="1">
      <c r="A16963" s="198"/>
    </row>
    <row r="16964" spans="1:1" s="199" customFormat="1" ht="12" hidden="1" customHeight="1">
      <c r="A16964" s="198"/>
    </row>
    <row r="16965" spans="1:1" s="199" customFormat="1" ht="12" hidden="1" customHeight="1">
      <c r="A16965" s="198"/>
    </row>
    <row r="16966" spans="1:1" s="199" customFormat="1" ht="12" hidden="1" customHeight="1">
      <c r="A16966" s="198"/>
    </row>
    <row r="16967" spans="1:1" s="199" customFormat="1" ht="12" hidden="1" customHeight="1">
      <c r="A16967" s="198"/>
    </row>
    <row r="16968" spans="1:1" s="199" customFormat="1" ht="12" hidden="1" customHeight="1">
      <c r="A16968" s="198"/>
    </row>
    <row r="16969" spans="1:1" s="199" customFormat="1" ht="12" hidden="1" customHeight="1">
      <c r="A16969" s="198"/>
    </row>
    <row r="16970" spans="1:1" s="199" customFormat="1" ht="12" hidden="1" customHeight="1">
      <c r="A16970" s="198"/>
    </row>
    <row r="16971" spans="1:1" s="199" customFormat="1" ht="12" hidden="1" customHeight="1">
      <c r="A16971" s="198"/>
    </row>
    <row r="16972" spans="1:1" s="199" customFormat="1" ht="12" hidden="1" customHeight="1">
      <c r="A16972" s="198"/>
    </row>
    <row r="16973" spans="1:1" s="199" customFormat="1" ht="12" hidden="1" customHeight="1">
      <c r="A16973" s="198"/>
    </row>
    <row r="16974" spans="1:1" s="199" customFormat="1" ht="12" hidden="1" customHeight="1">
      <c r="A16974" s="198"/>
    </row>
    <row r="16975" spans="1:1" s="199" customFormat="1" ht="12" hidden="1" customHeight="1">
      <c r="A16975" s="198"/>
    </row>
    <row r="16976" spans="1:1" s="199" customFormat="1" ht="12" hidden="1" customHeight="1">
      <c r="A16976" s="198"/>
    </row>
    <row r="16977" spans="1:1" s="199" customFormat="1" ht="12" hidden="1" customHeight="1">
      <c r="A16977" s="198"/>
    </row>
    <row r="16978" spans="1:1" s="199" customFormat="1" ht="12" hidden="1" customHeight="1">
      <c r="A16978" s="198"/>
    </row>
    <row r="16979" spans="1:1" s="199" customFormat="1" ht="12" hidden="1" customHeight="1">
      <c r="A16979" s="198"/>
    </row>
    <row r="16980" spans="1:1" s="199" customFormat="1" ht="12" hidden="1" customHeight="1">
      <c r="A16980" s="198"/>
    </row>
    <row r="16981" spans="1:1" s="199" customFormat="1" ht="12" hidden="1" customHeight="1">
      <c r="A16981" s="198"/>
    </row>
    <row r="16982" spans="1:1" s="199" customFormat="1" ht="12" hidden="1" customHeight="1">
      <c r="A16982" s="198"/>
    </row>
    <row r="16983" spans="1:1" s="199" customFormat="1" ht="12" hidden="1" customHeight="1">
      <c r="A16983" s="198"/>
    </row>
    <row r="16984" spans="1:1" s="199" customFormat="1" ht="12" hidden="1" customHeight="1">
      <c r="A16984" s="198"/>
    </row>
    <row r="16985" spans="1:1" s="199" customFormat="1" ht="12" hidden="1" customHeight="1">
      <c r="A16985" s="198"/>
    </row>
    <row r="16986" spans="1:1" s="199" customFormat="1" ht="12" hidden="1" customHeight="1">
      <c r="A16986" s="198"/>
    </row>
    <row r="16987" spans="1:1" s="199" customFormat="1" ht="12" hidden="1" customHeight="1">
      <c r="A16987" s="198"/>
    </row>
    <row r="16988" spans="1:1" s="199" customFormat="1" ht="12" hidden="1" customHeight="1">
      <c r="A16988" s="198"/>
    </row>
    <row r="16989" spans="1:1" s="199" customFormat="1" ht="12" hidden="1" customHeight="1">
      <c r="A16989" s="198"/>
    </row>
    <row r="16990" spans="1:1" s="199" customFormat="1" ht="12" hidden="1" customHeight="1">
      <c r="A16990" s="198"/>
    </row>
    <row r="16991" spans="1:1" s="199" customFormat="1" ht="12" hidden="1" customHeight="1">
      <c r="A16991" s="198"/>
    </row>
    <row r="16992" spans="1:1" s="199" customFormat="1" ht="12" hidden="1" customHeight="1">
      <c r="A16992" s="198"/>
    </row>
    <row r="16993" spans="1:1" s="199" customFormat="1" ht="12" hidden="1" customHeight="1">
      <c r="A16993" s="198"/>
    </row>
    <row r="16994" spans="1:1" s="199" customFormat="1" ht="12" hidden="1" customHeight="1">
      <c r="A16994" s="198"/>
    </row>
    <row r="16995" spans="1:1" s="199" customFormat="1" ht="12" hidden="1" customHeight="1">
      <c r="A16995" s="198"/>
    </row>
    <row r="16996" spans="1:1" s="199" customFormat="1" ht="12" hidden="1" customHeight="1">
      <c r="A16996" s="198"/>
    </row>
    <row r="16997" spans="1:1" s="199" customFormat="1" ht="12" hidden="1" customHeight="1">
      <c r="A16997" s="198"/>
    </row>
    <row r="16998" spans="1:1" s="199" customFormat="1" ht="12" hidden="1" customHeight="1">
      <c r="A16998" s="198"/>
    </row>
    <row r="16999" spans="1:1" s="199" customFormat="1" ht="12" hidden="1" customHeight="1">
      <c r="A16999" s="198"/>
    </row>
    <row r="17000" spans="1:1" s="199" customFormat="1" ht="12" hidden="1" customHeight="1">
      <c r="A17000" s="198"/>
    </row>
    <row r="17001" spans="1:1" s="199" customFormat="1" ht="12" hidden="1" customHeight="1">
      <c r="A17001" s="198"/>
    </row>
    <row r="17002" spans="1:1" s="199" customFormat="1" ht="12" hidden="1" customHeight="1">
      <c r="A17002" s="198"/>
    </row>
    <row r="17003" spans="1:1" s="199" customFormat="1" ht="12" hidden="1" customHeight="1">
      <c r="A17003" s="198"/>
    </row>
    <row r="17004" spans="1:1" s="199" customFormat="1" ht="12" hidden="1" customHeight="1">
      <c r="A17004" s="198"/>
    </row>
    <row r="17005" spans="1:1" s="199" customFormat="1" ht="12" hidden="1" customHeight="1">
      <c r="A17005" s="198"/>
    </row>
    <row r="17006" spans="1:1" s="199" customFormat="1" ht="12" hidden="1" customHeight="1">
      <c r="A17006" s="198"/>
    </row>
    <row r="17007" spans="1:1" s="199" customFormat="1" ht="12" hidden="1" customHeight="1">
      <c r="A17007" s="198"/>
    </row>
    <row r="17008" spans="1:1" s="199" customFormat="1" ht="12" hidden="1" customHeight="1">
      <c r="A17008" s="198"/>
    </row>
    <row r="17009" spans="1:1" s="199" customFormat="1" ht="12" hidden="1" customHeight="1">
      <c r="A17009" s="198"/>
    </row>
    <row r="17010" spans="1:1" s="199" customFormat="1" ht="12" hidden="1" customHeight="1">
      <c r="A17010" s="198"/>
    </row>
    <row r="17011" spans="1:1" s="199" customFormat="1" ht="12" hidden="1" customHeight="1">
      <c r="A17011" s="198"/>
    </row>
    <row r="17012" spans="1:1" s="199" customFormat="1" ht="12" hidden="1" customHeight="1">
      <c r="A17012" s="198"/>
    </row>
    <row r="17013" spans="1:1" s="199" customFormat="1" ht="12" hidden="1" customHeight="1">
      <c r="A17013" s="198"/>
    </row>
    <row r="17014" spans="1:1" s="199" customFormat="1" ht="12" hidden="1" customHeight="1">
      <c r="A17014" s="198"/>
    </row>
    <row r="17015" spans="1:1" s="199" customFormat="1" ht="12" hidden="1" customHeight="1">
      <c r="A17015" s="198"/>
    </row>
    <row r="17016" spans="1:1" s="199" customFormat="1" ht="12" hidden="1" customHeight="1">
      <c r="A17016" s="198"/>
    </row>
    <row r="17017" spans="1:1" s="199" customFormat="1" ht="12" hidden="1" customHeight="1">
      <c r="A17017" s="198"/>
    </row>
    <row r="17018" spans="1:1" s="199" customFormat="1" ht="12" hidden="1" customHeight="1">
      <c r="A17018" s="198"/>
    </row>
    <row r="17019" spans="1:1" s="199" customFormat="1" ht="12" hidden="1" customHeight="1">
      <c r="A17019" s="198"/>
    </row>
    <row r="17020" spans="1:1" s="199" customFormat="1" ht="12" hidden="1" customHeight="1">
      <c r="A17020" s="198"/>
    </row>
    <row r="17021" spans="1:1" s="199" customFormat="1" ht="12" hidden="1" customHeight="1">
      <c r="A17021" s="198"/>
    </row>
    <row r="17022" spans="1:1" s="199" customFormat="1" ht="12" hidden="1" customHeight="1">
      <c r="A17022" s="198"/>
    </row>
    <row r="17023" spans="1:1" s="199" customFormat="1" ht="12" hidden="1" customHeight="1">
      <c r="A17023" s="198"/>
    </row>
    <row r="17024" spans="1:1" s="199" customFormat="1" ht="12" hidden="1" customHeight="1">
      <c r="A17024" s="198"/>
    </row>
    <row r="17025" spans="1:1" s="199" customFormat="1" ht="12" hidden="1" customHeight="1">
      <c r="A17025" s="198"/>
    </row>
    <row r="17026" spans="1:1" s="199" customFormat="1" ht="12" hidden="1" customHeight="1">
      <c r="A17026" s="198"/>
    </row>
    <row r="17027" spans="1:1" s="199" customFormat="1" ht="12" hidden="1" customHeight="1">
      <c r="A17027" s="198"/>
    </row>
    <row r="17028" spans="1:1" s="199" customFormat="1" ht="12" hidden="1" customHeight="1">
      <c r="A17028" s="198"/>
    </row>
    <row r="17029" spans="1:1" s="199" customFormat="1" ht="12" hidden="1" customHeight="1">
      <c r="A17029" s="198"/>
    </row>
    <row r="17030" spans="1:1" s="199" customFormat="1" ht="12" hidden="1" customHeight="1">
      <c r="A17030" s="198"/>
    </row>
    <row r="17031" spans="1:1" s="199" customFormat="1" ht="12" hidden="1" customHeight="1">
      <c r="A17031" s="198"/>
    </row>
    <row r="17032" spans="1:1" s="199" customFormat="1" ht="12" hidden="1" customHeight="1">
      <c r="A17032" s="198"/>
    </row>
    <row r="17033" spans="1:1" s="199" customFormat="1" ht="12" hidden="1" customHeight="1">
      <c r="A17033" s="198"/>
    </row>
    <row r="17034" spans="1:1" s="199" customFormat="1" ht="12" hidden="1" customHeight="1">
      <c r="A17034" s="198"/>
    </row>
    <row r="17035" spans="1:1" s="199" customFormat="1" ht="12" hidden="1" customHeight="1">
      <c r="A17035" s="198"/>
    </row>
    <row r="17036" spans="1:1" s="199" customFormat="1" ht="12" hidden="1" customHeight="1">
      <c r="A17036" s="198"/>
    </row>
    <row r="17037" spans="1:1" s="199" customFormat="1" ht="12" hidden="1" customHeight="1">
      <c r="A17037" s="198"/>
    </row>
    <row r="17038" spans="1:1" s="199" customFormat="1" ht="12" hidden="1" customHeight="1">
      <c r="A17038" s="198"/>
    </row>
    <row r="17039" spans="1:1" s="199" customFormat="1" ht="12" hidden="1" customHeight="1">
      <c r="A17039" s="198"/>
    </row>
    <row r="17040" spans="1:1" s="199" customFormat="1" ht="12" hidden="1" customHeight="1">
      <c r="A17040" s="198"/>
    </row>
    <row r="17041" spans="1:1" s="199" customFormat="1" ht="12" hidden="1" customHeight="1">
      <c r="A17041" s="198"/>
    </row>
    <row r="17042" spans="1:1" s="199" customFormat="1" ht="12" hidden="1" customHeight="1">
      <c r="A17042" s="198"/>
    </row>
    <row r="17043" spans="1:1" s="199" customFormat="1" ht="12" hidden="1" customHeight="1">
      <c r="A17043" s="198"/>
    </row>
    <row r="17044" spans="1:1" s="199" customFormat="1" ht="12" hidden="1" customHeight="1">
      <c r="A17044" s="198"/>
    </row>
    <row r="17045" spans="1:1" s="199" customFormat="1" ht="12" hidden="1" customHeight="1">
      <c r="A17045" s="198"/>
    </row>
    <row r="17046" spans="1:1" s="199" customFormat="1" ht="12" hidden="1" customHeight="1">
      <c r="A17046" s="198"/>
    </row>
    <row r="17047" spans="1:1" s="199" customFormat="1" ht="12" hidden="1" customHeight="1">
      <c r="A17047" s="198"/>
    </row>
    <row r="17048" spans="1:1" s="199" customFormat="1" ht="12" hidden="1" customHeight="1">
      <c r="A17048" s="198"/>
    </row>
    <row r="17049" spans="1:1" s="199" customFormat="1" ht="12" hidden="1" customHeight="1">
      <c r="A17049" s="198"/>
    </row>
    <row r="17050" spans="1:1" s="199" customFormat="1" ht="12" hidden="1" customHeight="1">
      <c r="A17050" s="198"/>
    </row>
    <row r="17051" spans="1:1" s="199" customFormat="1" ht="12" hidden="1" customHeight="1">
      <c r="A17051" s="198"/>
    </row>
    <row r="17052" spans="1:1" s="199" customFormat="1" ht="12" hidden="1" customHeight="1">
      <c r="A17052" s="198"/>
    </row>
    <row r="17053" spans="1:1" s="199" customFormat="1" ht="12" hidden="1" customHeight="1">
      <c r="A17053" s="198"/>
    </row>
    <row r="17054" spans="1:1" s="199" customFormat="1" ht="12" hidden="1" customHeight="1">
      <c r="A17054" s="198"/>
    </row>
    <row r="17055" spans="1:1" s="199" customFormat="1" ht="12" hidden="1" customHeight="1">
      <c r="A17055" s="198"/>
    </row>
    <row r="17056" spans="1:1" s="199" customFormat="1" ht="12" hidden="1" customHeight="1">
      <c r="A17056" s="198"/>
    </row>
    <row r="17057" spans="1:1" s="199" customFormat="1" ht="12" hidden="1" customHeight="1">
      <c r="A17057" s="198"/>
    </row>
    <row r="17058" spans="1:1" s="199" customFormat="1" ht="12" hidden="1" customHeight="1">
      <c r="A17058" s="198"/>
    </row>
    <row r="17059" spans="1:1" s="199" customFormat="1" ht="12" hidden="1" customHeight="1">
      <c r="A17059" s="198"/>
    </row>
    <row r="17060" spans="1:1" s="199" customFormat="1" ht="12" hidden="1" customHeight="1">
      <c r="A17060" s="198"/>
    </row>
    <row r="17061" spans="1:1" s="199" customFormat="1" ht="12" hidden="1" customHeight="1">
      <c r="A17061" s="198"/>
    </row>
    <row r="17062" spans="1:1" s="199" customFormat="1" ht="12" hidden="1" customHeight="1">
      <c r="A17062" s="198"/>
    </row>
    <row r="17063" spans="1:1" s="199" customFormat="1" ht="12" hidden="1" customHeight="1">
      <c r="A17063" s="198"/>
    </row>
    <row r="17064" spans="1:1" s="199" customFormat="1" ht="12" hidden="1" customHeight="1">
      <c r="A17064" s="198"/>
    </row>
    <row r="17065" spans="1:1" s="199" customFormat="1" ht="12" hidden="1" customHeight="1">
      <c r="A17065" s="198"/>
    </row>
    <row r="17066" spans="1:1" s="199" customFormat="1" ht="12" hidden="1" customHeight="1">
      <c r="A17066" s="198"/>
    </row>
    <row r="17067" spans="1:1" s="199" customFormat="1" ht="12" hidden="1" customHeight="1">
      <c r="A17067" s="198"/>
    </row>
    <row r="17068" spans="1:1" s="199" customFormat="1" ht="12" hidden="1" customHeight="1">
      <c r="A17068" s="198"/>
    </row>
    <row r="17069" spans="1:1" s="199" customFormat="1" ht="12" hidden="1" customHeight="1">
      <c r="A17069" s="198"/>
    </row>
    <row r="17070" spans="1:1" s="199" customFormat="1" ht="12" hidden="1" customHeight="1">
      <c r="A17070" s="198"/>
    </row>
    <row r="17071" spans="1:1" s="199" customFormat="1" ht="12" hidden="1" customHeight="1">
      <c r="A17071" s="198"/>
    </row>
    <row r="17072" spans="1:1" s="199" customFormat="1" ht="12" hidden="1" customHeight="1">
      <c r="A17072" s="198"/>
    </row>
    <row r="17073" spans="1:1" s="199" customFormat="1" ht="12" hidden="1" customHeight="1">
      <c r="A17073" s="198"/>
    </row>
    <row r="17074" spans="1:1" s="199" customFormat="1" ht="12" hidden="1" customHeight="1">
      <c r="A17074" s="198"/>
    </row>
    <row r="17075" spans="1:1" s="199" customFormat="1" ht="12" hidden="1" customHeight="1">
      <c r="A17075" s="198"/>
    </row>
    <row r="17076" spans="1:1" s="199" customFormat="1" ht="12" hidden="1" customHeight="1">
      <c r="A17076" s="198"/>
    </row>
    <row r="17077" spans="1:1" s="199" customFormat="1" ht="12" hidden="1" customHeight="1">
      <c r="A17077" s="198"/>
    </row>
    <row r="17078" spans="1:1" s="199" customFormat="1" ht="12" hidden="1" customHeight="1">
      <c r="A17078" s="198"/>
    </row>
    <row r="17079" spans="1:1" s="199" customFormat="1" ht="12" hidden="1" customHeight="1">
      <c r="A17079" s="198"/>
    </row>
    <row r="17080" spans="1:1" s="199" customFormat="1" ht="12" hidden="1" customHeight="1">
      <c r="A17080" s="198"/>
    </row>
    <row r="17081" spans="1:1" s="199" customFormat="1" ht="12" hidden="1" customHeight="1">
      <c r="A17081" s="198"/>
    </row>
    <row r="17082" spans="1:1" s="199" customFormat="1" ht="12" hidden="1" customHeight="1">
      <c r="A17082" s="198"/>
    </row>
    <row r="17083" spans="1:1" s="199" customFormat="1" ht="12" hidden="1" customHeight="1">
      <c r="A17083" s="198"/>
    </row>
    <row r="17084" spans="1:1" s="199" customFormat="1" ht="12" hidden="1" customHeight="1">
      <c r="A17084" s="198"/>
    </row>
    <row r="17085" spans="1:1" s="199" customFormat="1" ht="12" hidden="1" customHeight="1">
      <c r="A17085" s="198"/>
    </row>
    <row r="17086" spans="1:1" s="199" customFormat="1" ht="12" hidden="1" customHeight="1">
      <c r="A17086" s="198"/>
    </row>
    <row r="17087" spans="1:1" s="199" customFormat="1" ht="12" hidden="1" customHeight="1">
      <c r="A17087" s="198"/>
    </row>
    <row r="17088" spans="1:1" s="199" customFormat="1" ht="12" hidden="1" customHeight="1">
      <c r="A17088" s="198"/>
    </row>
    <row r="17089" spans="1:1" s="199" customFormat="1" ht="12" hidden="1" customHeight="1">
      <c r="A17089" s="198"/>
    </row>
    <row r="17090" spans="1:1" s="199" customFormat="1" ht="12" hidden="1" customHeight="1">
      <c r="A17090" s="198"/>
    </row>
    <row r="17091" spans="1:1" s="199" customFormat="1" ht="12" hidden="1" customHeight="1">
      <c r="A17091" s="198"/>
    </row>
    <row r="17092" spans="1:1" s="199" customFormat="1" ht="12" hidden="1" customHeight="1">
      <c r="A17092" s="198"/>
    </row>
    <row r="17093" spans="1:1" s="199" customFormat="1" ht="12" hidden="1" customHeight="1">
      <c r="A17093" s="198"/>
    </row>
    <row r="17094" spans="1:1" s="199" customFormat="1" ht="12" hidden="1" customHeight="1">
      <c r="A17094" s="198"/>
    </row>
    <row r="17095" spans="1:1" s="199" customFormat="1" ht="12" hidden="1" customHeight="1">
      <c r="A17095" s="198"/>
    </row>
    <row r="17096" spans="1:1" s="199" customFormat="1" ht="12" hidden="1" customHeight="1">
      <c r="A17096" s="198"/>
    </row>
    <row r="17097" spans="1:1" s="199" customFormat="1" ht="12" hidden="1" customHeight="1">
      <c r="A17097" s="198"/>
    </row>
    <row r="17098" spans="1:1" s="199" customFormat="1" ht="12" hidden="1" customHeight="1">
      <c r="A17098" s="198"/>
    </row>
    <row r="17099" spans="1:1" s="199" customFormat="1" ht="12" hidden="1" customHeight="1">
      <c r="A17099" s="198"/>
    </row>
    <row r="17100" spans="1:1" s="199" customFormat="1" ht="12" hidden="1" customHeight="1">
      <c r="A17100" s="198"/>
    </row>
    <row r="17101" spans="1:1" s="199" customFormat="1" ht="12" hidden="1" customHeight="1">
      <c r="A17101" s="198"/>
    </row>
    <row r="17102" spans="1:1" s="199" customFormat="1" ht="12" hidden="1" customHeight="1">
      <c r="A17102" s="198"/>
    </row>
    <row r="17103" spans="1:1" s="199" customFormat="1" ht="12" hidden="1" customHeight="1">
      <c r="A17103" s="198"/>
    </row>
    <row r="17104" spans="1:1" s="199" customFormat="1" ht="12" hidden="1" customHeight="1">
      <c r="A17104" s="198"/>
    </row>
    <row r="17105" spans="1:1" s="199" customFormat="1" ht="12" hidden="1" customHeight="1">
      <c r="A17105" s="198"/>
    </row>
    <row r="17106" spans="1:1" s="199" customFormat="1" ht="12" hidden="1" customHeight="1">
      <c r="A17106" s="198"/>
    </row>
    <row r="17107" spans="1:1" s="199" customFormat="1" ht="12" hidden="1" customHeight="1">
      <c r="A17107" s="198"/>
    </row>
    <row r="17108" spans="1:1" s="199" customFormat="1" ht="12" hidden="1" customHeight="1">
      <c r="A17108" s="198"/>
    </row>
    <row r="17109" spans="1:1" s="199" customFormat="1" ht="12" hidden="1" customHeight="1">
      <c r="A17109" s="198"/>
    </row>
    <row r="17110" spans="1:1" s="199" customFormat="1" ht="12" hidden="1" customHeight="1">
      <c r="A17110" s="198"/>
    </row>
    <row r="17111" spans="1:1" s="199" customFormat="1" ht="12" hidden="1" customHeight="1">
      <c r="A17111" s="198"/>
    </row>
    <row r="17112" spans="1:1" s="199" customFormat="1" ht="12" hidden="1" customHeight="1">
      <c r="A17112" s="198"/>
    </row>
    <row r="17113" spans="1:1" s="199" customFormat="1" ht="12" hidden="1" customHeight="1">
      <c r="A17113" s="198"/>
    </row>
    <row r="17114" spans="1:1" s="199" customFormat="1" ht="12" hidden="1" customHeight="1">
      <c r="A17114" s="198"/>
    </row>
    <row r="17115" spans="1:1" s="199" customFormat="1" ht="12" hidden="1" customHeight="1">
      <c r="A17115" s="198"/>
    </row>
    <row r="17116" spans="1:1" s="199" customFormat="1" ht="12" hidden="1" customHeight="1">
      <c r="A17116" s="198"/>
    </row>
    <row r="17117" spans="1:1" s="199" customFormat="1" ht="12" hidden="1" customHeight="1">
      <c r="A17117" s="198"/>
    </row>
    <row r="17118" spans="1:1" s="199" customFormat="1" ht="12" hidden="1" customHeight="1">
      <c r="A17118" s="198"/>
    </row>
    <row r="17119" spans="1:1" s="199" customFormat="1" ht="12" hidden="1" customHeight="1">
      <c r="A17119" s="198"/>
    </row>
    <row r="17120" spans="1:1" s="199" customFormat="1" ht="12" hidden="1" customHeight="1">
      <c r="A17120" s="198"/>
    </row>
    <row r="17121" spans="1:1" s="199" customFormat="1" ht="12" hidden="1" customHeight="1">
      <c r="A17121" s="198"/>
    </row>
    <row r="17122" spans="1:1" s="199" customFormat="1" ht="12" hidden="1" customHeight="1">
      <c r="A17122" s="198"/>
    </row>
    <row r="17123" spans="1:1" s="199" customFormat="1" ht="12" hidden="1" customHeight="1">
      <c r="A17123" s="198"/>
    </row>
    <row r="17124" spans="1:1" s="199" customFormat="1" ht="12" hidden="1" customHeight="1">
      <c r="A17124" s="198"/>
    </row>
    <row r="17125" spans="1:1" s="199" customFormat="1" ht="12" hidden="1" customHeight="1">
      <c r="A17125" s="198"/>
    </row>
    <row r="17126" spans="1:1" s="199" customFormat="1" ht="12" hidden="1" customHeight="1">
      <c r="A17126" s="198"/>
    </row>
    <row r="17127" spans="1:1" s="199" customFormat="1" ht="12" hidden="1" customHeight="1">
      <c r="A17127" s="198"/>
    </row>
    <row r="17128" spans="1:1" s="199" customFormat="1" ht="12" hidden="1" customHeight="1">
      <c r="A17128" s="198"/>
    </row>
    <row r="17129" spans="1:1" s="199" customFormat="1" ht="12" hidden="1" customHeight="1">
      <c r="A17129" s="198"/>
    </row>
    <row r="17130" spans="1:1" s="199" customFormat="1" ht="12" hidden="1" customHeight="1">
      <c r="A17130" s="198"/>
    </row>
    <row r="17131" spans="1:1" s="199" customFormat="1" ht="12" hidden="1" customHeight="1">
      <c r="A17131" s="198"/>
    </row>
    <row r="17132" spans="1:1" s="199" customFormat="1" ht="12" hidden="1" customHeight="1">
      <c r="A17132" s="198"/>
    </row>
    <row r="17133" spans="1:1" s="199" customFormat="1" ht="12" hidden="1" customHeight="1">
      <c r="A17133" s="198"/>
    </row>
    <row r="17134" spans="1:1" s="199" customFormat="1" ht="12" hidden="1" customHeight="1">
      <c r="A17134" s="198"/>
    </row>
    <row r="17135" spans="1:1" s="199" customFormat="1" ht="12" hidden="1" customHeight="1">
      <c r="A17135" s="198"/>
    </row>
    <row r="17136" spans="1:1" s="199" customFormat="1" ht="12" hidden="1" customHeight="1">
      <c r="A17136" s="198"/>
    </row>
    <row r="17137" spans="1:1" s="199" customFormat="1" ht="12" hidden="1" customHeight="1">
      <c r="A17137" s="198"/>
    </row>
    <row r="17138" spans="1:1" s="199" customFormat="1" ht="12" hidden="1" customHeight="1">
      <c r="A17138" s="198"/>
    </row>
    <row r="17139" spans="1:1" s="199" customFormat="1" ht="12" hidden="1" customHeight="1">
      <c r="A17139" s="198"/>
    </row>
    <row r="17140" spans="1:1" s="199" customFormat="1" ht="12" hidden="1" customHeight="1">
      <c r="A17140" s="198"/>
    </row>
    <row r="17141" spans="1:1" s="199" customFormat="1" ht="12" hidden="1" customHeight="1">
      <c r="A17141" s="198"/>
    </row>
    <row r="17142" spans="1:1" s="199" customFormat="1" ht="12" hidden="1" customHeight="1">
      <c r="A17142" s="198"/>
    </row>
    <row r="17143" spans="1:1" s="199" customFormat="1" ht="12" hidden="1" customHeight="1">
      <c r="A17143" s="198"/>
    </row>
    <row r="17144" spans="1:1" s="199" customFormat="1" ht="12" hidden="1" customHeight="1">
      <c r="A17144" s="198"/>
    </row>
    <row r="17145" spans="1:1" s="199" customFormat="1" ht="12" hidden="1" customHeight="1">
      <c r="A17145" s="198"/>
    </row>
    <row r="17146" spans="1:1" s="199" customFormat="1" ht="12" hidden="1" customHeight="1">
      <c r="A17146" s="198"/>
    </row>
    <row r="17147" spans="1:1" s="199" customFormat="1" ht="12" hidden="1" customHeight="1">
      <c r="A17147" s="198"/>
    </row>
    <row r="17148" spans="1:1" s="199" customFormat="1" ht="12" hidden="1" customHeight="1">
      <c r="A17148" s="198"/>
    </row>
    <row r="17149" spans="1:1" s="199" customFormat="1" ht="12" hidden="1" customHeight="1">
      <c r="A17149" s="198"/>
    </row>
    <row r="17150" spans="1:1" s="199" customFormat="1" ht="12" hidden="1" customHeight="1">
      <c r="A17150" s="198"/>
    </row>
    <row r="17151" spans="1:1" s="199" customFormat="1" ht="12" hidden="1" customHeight="1">
      <c r="A17151" s="198"/>
    </row>
    <row r="17152" spans="1:1" s="199" customFormat="1" ht="12" hidden="1" customHeight="1">
      <c r="A17152" s="198"/>
    </row>
    <row r="17153" spans="1:1" s="199" customFormat="1" ht="12" hidden="1" customHeight="1">
      <c r="A17153" s="198"/>
    </row>
    <row r="17154" spans="1:1" s="199" customFormat="1" ht="12" hidden="1" customHeight="1">
      <c r="A17154" s="198"/>
    </row>
    <row r="17155" spans="1:1" s="199" customFormat="1" ht="12" hidden="1" customHeight="1">
      <c r="A17155" s="198"/>
    </row>
    <row r="17156" spans="1:1" s="199" customFormat="1" ht="12" hidden="1" customHeight="1">
      <c r="A17156" s="198"/>
    </row>
    <row r="17157" spans="1:1" s="199" customFormat="1" ht="12" hidden="1" customHeight="1">
      <c r="A17157" s="198"/>
    </row>
    <row r="17158" spans="1:1" s="199" customFormat="1" ht="12" hidden="1" customHeight="1">
      <c r="A17158" s="198"/>
    </row>
    <row r="17159" spans="1:1" s="199" customFormat="1" ht="12" hidden="1" customHeight="1">
      <c r="A17159" s="198"/>
    </row>
    <row r="17160" spans="1:1" s="199" customFormat="1" ht="12" hidden="1" customHeight="1">
      <c r="A17160" s="198"/>
    </row>
    <row r="17161" spans="1:1" s="199" customFormat="1" ht="12" hidden="1" customHeight="1">
      <c r="A17161" s="198"/>
    </row>
    <row r="17162" spans="1:1" s="199" customFormat="1" ht="12" hidden="1" customHeight="1">
      <c r="A17162" s="198"/>
    </row>
    <row r="17163" spans="1:1" s="199" customFormat="1" ht="12" hidden="1" customHeight="1">
      <c r="A17163" s="198"/>
    </row>
    <row r="17164" spans="1:1" s="199" customFormat="1" ht="12" hidden="1" customHeight="1">
      <c r="A17164" s="198"/>
    </row>
    <row r="17165" spans="1:1" s="199" customFormat="1" ht="12" hidden="1" customHeight="1">
      <c r="A17165" s="198"/>
    </row>
    <row r="17166" spans="1:1" s="199" customFormat="1" ht="12" hidden="1" customHeight="1">
      <c r="A17166" s="198"/>
    </row>
    <row r="17167" spans="1:1" s="199" customFormat="1" ht="12" hidden="1" customHeight="1">
      <c r="A17167" s="198"/>
    </row>
    <row r="17168" spans="1:1" s="199" customFormat="1" ht="12" hidden="1" customHeight="1">
      <c r="A17168" s="198"/>
    </row>
    <row r="17169" spans="1:1" s="199" customFormat="1" ht="12" hidden="1" customHeight="1">
      <c r="A17169" s="198"/>
    </row>
    <row r="17170" spans="1:1" s="199" customFormat="1" ht="12" hidden="1" customHeight="1">
      <c r="A17170" s="198"/>
    </row>
    <row r="17171" spans="1:1" s="199" customFormat="1" ht="12" hidden="1" customHeight="1">
      <c r="A17171" s="198"/>
    </row>
    <row r="17172" spans="1:1" s="199" customFormat="1" ht="12" hidden="1" customHeight="1">
      <c r="A17172" s="198"/>
    </row>
    <row r="17173" spans="1:1" s="199" customFormat="1" ht="12" hidden="1" customHeight="1">
      <c r="A17173" s="198"/>
    </row>
    <row r="17174" spans="1:1" s="199" customFormat="1" ht="12" hidden="1" customHeight="1">
      <c r="A17174" s="198"/>
    </row>
    <row r="17175" spans="1:1" s="199" customFormat="1" ht="12" hidden="1" customHeight="1">
      <c r="A17175" s="198"/>
    </row>
    <row r="17176" spans="1:1" s="199" customFormat="1" ht="12" hidden="1" customHeight="1">
      <c r="A17176" s="198"/>
    </row>
    <row r="17177" spans="1:1" s="199" customFormat="1" ht="12" hidden="1" customHeight="1">
      <c r="A17177" s="198"/>
    </row>
    <row r="17178" spans="1:1" s="199" customFormat="1" ht="12" hidden="1" customHeight="1">
      <c r="A17178" s="198"/>
    </row>
    <row r="17179" spans="1:1" s="199" customFormat="1" ht="12" hidden="1" customHeight="1">
      <c r="A17179" s="198"/>
    </row>
    <row r="17180" spans="1:1" s="199" customFormat="1" ht="12" hidden="1" customHeight="1">
      <c r="A17180" s="198"/>
    </row>
    <row r="17181" spans="1:1" s="199" customFormat="1" ht="12" hidden="1" customHeight="1">
      <c r="A17181" s="198"/>
    </row>
    <row r="17182" spans="1:1" s="199" customFormat="1" ht="12" hidden="1" customHeight="1">
      <c r="A17182" s="198"/>
    </row>
    <row r="17183" spans="1:1" s="199" customFormat="1" ht="12" hidden="1" customHeight="1">
      <c r="A17183" s="198"/>
    </row>
    <row r="17184" spans="1:1" s="199" customFormat="1" ht="12" hidden="1" customHeight="1">
      <c r="A17184" s="198"/>
    </row>
    <row r="17185" spans="1:1" s="199" customFormat="1" ht="12" hidden="1" customHeight="1">
      <c r="A17185" s="198"/>
    </row>
    <row r="17186" spans="1:1" s="199" customFormat="1" ht="12" hidden="1" customHeight="1">
      <c r="A17186" s="198"/>
    </row>
    <row r="17187" spans="1:1" s="199" customFormat="1" ht="12" hidden="1" customHeight="1">
      <c r="A17187" s="198"/>
    </row>
    <row r="17188" spans="1:1" s="199" customFormat="1" ht="12" hidden="1" customHeight="1">
      <c r="A17188" s="198"/>
    </row>
    <row r="17189" spans="1:1" s="199" customFormat="1" ht="12" hidden="1" customHeight="1">
      <c r="A17189" s="198"/>
    </row>
    <row r="17190" spans="1:1" s="199" customFormat="1" ht="12" hidden="1" customHeight="1">
      <c r="A17190" s="198"/>
    </row>
    <row r="17191" spans="1:1" s="199" customFormat="1" ht="12" hidden="1" customHeight="1">
      <c r="A17191" s="198"/>
    </row>
    <row r="17192" spans="1:1" s="199" customFormat="1" ht="12" hidden="1" customHeight="1">
      <c r="A17192" s="198"/>
    </row>
    <row r="17193" spans="1:1" s="199" customFormat="1" ht="12" hidden="1" customHeight="1">
      <c r="A17193" s="198"/>
    </row>
    <row r="17194" spans="1:1" s="199" customFormat="1" ht="12" hidden="1" customHeight="1">
      <c r="A17194" s="198"/>
    </row>
    <row r="17195" spans="1:1" s="199" customFormat="1" ht="12" hidden="1" customHeight="1">
      <c r="A17195" s="198"/>
    </row>
    <row r="17196" spans="1:1" s="199" customFormat="1" ht="12" hidden="1" customHeight="1">
      <c r="A17196" s="198"/>
    </row>
    <row r="17197" spans="1:1" s="199" customFormat="1" ht="12" hidden="1" customHeight="1">
      <c r="A17197" s="198"/>
    </row>
    <row r="17198" spans="1:1" s="199" customFormat="1" ht="12" hidden="1" customHeight="1">
      <c r="A17198" s="198"/>
    </row>
    <row r="17199" spans="1:1" s="199" customFormat="1" ht="12" hidden="1" customHeight="1">
      <c r="A17199" s="198"/>
    </row>
    <row r="17200" spans="1:1" s="199" customFormat="1" ht="12" hidden="1" customHeight="1">
      <c r="A17200" s="198"/>
    </row>
    <row r="17201" spans="1:1" s="199" customFormat="1" ht="12" hidden="1" customHeight="1">
      <c r="A17201" s="198"/>
    </row>
    <row r="17202" spans="1:1" s="199" customFormat="1" ht="12" hidden="1" customHeight="1">
      <c r="A17202" s="198"/>
    </row>
    <row r="17203" spans="1:1" s="199" customFormat="1" ht="12" hidden="1" customHeight="1">
      <c r="A17203" s="198"/>
    </row>
    <row r="17204" spans="1:1" s="199" customFormat="1" ht="12" hidden="1" customHeight="1">
      <c r="A17204" s="198"/>
    </row>
    <row r="17205" spans="1:1" s="199" customFormat="1" ht="12" hidden="1" customHeight="1">
      <c r="A17205" s="198"/>
    </row>
    <row r="17206" spans="1:1" s="199" customFormat="1" ht="12" hidden="1" customHeight="1">
      <c r="A17206" s="198"/>
    </row>
    <row r="17207" spans="1:1" s="199" customFormat="1" ht="12" hidden="1" customHeight="1">
      <c r="A17207" s="198"/>
    </row>
    <row r="17208" spans="1:1" s="199" customFormat="1" ht="12" hidden="1" customHeight="1">
      <c r="A17208" s="198"/>
    </row>
    <row r="17209" spans="1:1" s="199" customFormat="1" ht="12" hidden="1" customHeight="1">
      <c r="A17209" s="198"/>
    </row>
    <row r="17210" spans="1:1" s="199" customFormat="1" ht="12" hidden="1" customHeight="1">
      <c r="A17210" s="198"/>
    </row>
    <row r="17211" spans="1:1" s="199" customFormat="1" ht="12" hidden="1" customHeight="1">
      <c r="A17211" s="198"/>
    </row>
    <row r="17212" spans="1:1" s="199" customFormat="1" ht="12" hidden="1" customHeight="1">
      <c r="A17212" s="198"/>
    </row>
    <row r="17213" spans="1:1" s="199" customFormat="1" ht="12" hidden="1" customHeight="1">
      <c r="A17213" s="198"/>
    </row>
    <row r="17214" spans="1:1" s="199" customFormat="1" ht="12" hidden="1" customHeight="1">
      <c r="A17214" s="198"/>
    </row>
    <row r="17215" spans="1:1" s="199" customFormat="1" ht="12" hidden="1" customHeight="1">
      <c r="A17215" s="198"/>
    </row>
    <row r="17216" spans="1:1" s="199" customFormat="1" ht="12" hidden="1" customHeight="1">
      <c r="A17216" s="198"/>
    </row>
    <row r="17217" spans="1:1" s="199" customFormat="1" ht="12" hidden="1" customHeight="1">
      <c r="A17217" s="198"/>
    </row>
    <row r="17218" spans="1:1" s="199" customFormat="1" ht="12" hidden="1" customHeight="1">
      <c r="A17218" s="198"/>
    </row>
    <row r="17219" spans="1:1" s="199" customFormat="1" ht="12" hidden="1" customHeight="1">
      <c r="A17219" s="198"/>
    </row>
    <row r="17220" spans="1:1" s="199" customFormat="1" ht="12" hidden="1" customHeight="1">
      <c r="A17220" s="198"/>
    </row>
    <row r="17221" spans="1:1" s="199" customFormat="1" ht="12" hidden="1" customHeight="1">
      <c r="A17221" s="198"/>
    </row>
    <row r="17222" spans="1:1" s="199" customFormat="1" ht="12" hidden="1" customHeight="1">
      <c r="A17222" s="198"/>
    </row>
    <row r="17223" spans="1:1" s="199" customFormat="1" ht="12" hidden="1" customHeight="1">
      <c r="A17223" s="198"/>
    </row>
    <row r="17224" spans="1:1" s="199" customFormat="1" ht="12" hidden="1" customHeight="1">
      <c r="A17224" s="198"/>
    </row>
    <row r="17225" spans="1:1" s="199" customFormat="1" ht="12" hidden="1" customHeight="1">
      <c r="A17225" s="198"/>
    </row>
    <row r="17226" spans="1:1" s="199" customFormat="1" ht="12" hidden="1" customHeight="1">
      <c r="A17226" s="198"/>
    </row>
    <row r="17227" spans="1:1" s="199" customFormat="1" ht="12" hidden="1" customHeight="1">
      <c r="A17227" s="198"/>
    </row>
    <row r="17228" spans="1:1" s="199" customFormat="1" ht="12" hidden="1" customHeight="1">
      <c r="A17228" s="198"/>
    </row>
    <row r="17229" spans="1:1" s="199" customFormat="1" ht="12" hidden="1" customHeight="1">
      <c r="A17229" s="198"/>
    </row>
    <row r="17230" spans="1:1" s="199" customFormat="1" ht="12" hidden="1" customHeight="1">
      <c r="A17230" s="198"/>
    </row>
    <row r="17231" spans="1:1" s="199" customFormat="1" ht="12" hidden="1" customHeight="1">
      <c r="A17231" s="198"/>
    </row>
    <row r="17232" spans="1:1" s="199" customFormat="1" ht="12" hidden="1" customHeight="1">
      <c r="A17232" s="198"/>
    </row>
    <row r="17233" spans="1:1" s="199" customFormat="1" ht="12" hidden="1" customHeight="1">
      <c r="A17233" s="198"/>
    </row>
    <row r="17234" spans="1:1" s="199" customFormat="1" ht="12" hidden="1" customHeight="1">
      <c r="A17234" s="198"/>
    </row>
    <row r="17235" spans="1:1" s="199" customFormat="1" ht="12" hidden="1" customHeight="1">
      <c r="A17235" s="198"/>
    </row>
    <row r="17236" spans="1:1" s="199" customFormat="1" ht="12" hidden="1" customHeight="1">
      <c r="A17236" s="198"/>
    </row>
    <row r="17237" spans="1:1" s="199" customFormat="1" ht="12" hidden="1" customHeight="1">
      <c r="A17237" s="198"/>
    </row>
    <row r="17238" spans="1:1" s="199" customFormat="1" ht="12" hidden="1" customHeight="1">
      <c r="A17238" s="198"/>
    </row>
    <row r="17239" spans="1:1" s="199" customFormat="1" ht="12" hidden="1" customHeight="1">
      <c r="A17239" s="198"/>
    </row>
    <row r="17240" spans="1:1" s="199" customFormat="1" ht="12" hidden="1" customHeight="1">
      <c r="A17240" s="198"/>
    </row>
    <row r="17241" spans="1:1" s="199" customFormat="1" ht="12" hidden="1" customHeight="1">
      <c r="A17241" s="198"/>
    </row>
    <row r="17242" spans="1:1" s="199" customFormat="1" ht="12" hidden="1" customHeight="1">
      <c r="A17242" s="198"/>
    </row>
    <row r="17243" spans="1:1" s="199" customFormat="1" ht="12" hidden="1" customHeight="1">
      <c r="A17243" s="198"/>
    </row>
    <row r="17244" spans="1:1" s="199" customFormat="1" ht="12" hidden="1" customHeight="1">
      <c r="A17244" s="198"/>
    </row>
    <row r="17245" spans="1:1" s="199" customFormat="1" ht="12" hidden="1" customHeight="1">
      <c r="A17245" s="198"/>
    </row>
    <row r="17246" spans="1:1" s="199" customFormat="1" ht="12" hidden="1" customHeight="1">
      <c r="A17246" s="198"/>
    </row>
    <row r="17247" spans="1:1" s="199" customFormat="1" ht="12" hidden="1" customHeight="1">
      <c r="A17247" s="198"/>
    </row>
    <row r="17248" spans="1:1" s="199" customFormat="1" ht="12" hidden="1" customHeight="1">
      <c r="A17248" s="198"/>
    </row>
    <row r="17249" spans="1:1" s="199" customFormat="1" ht="12" hidden="1" customHeight="1">
      <c r="A17249" s="198"/>
    </row>
    <row r="17250" spans="1:1" s="199" customFormat="1" ht="12" hidden="1" customHeight="1">
      <c r="A17250" s="198"/>
    </row>
    <row r="17251" spans="1:1" s="199" customFormat="1" ht="12" hidden="1" customHeight="1">
      <c r="A17251" s="198"/>
    </row>
    <row r="17252" spans="1:1" s="199" customFormat="1" ht="12" hidden="1" customHeight="1">
      <c r="A17252" s="198"/>
    </row>
    <row r="17253" spans="1:1" s="199" customFormat="1" ht="12" hidden="1" customHeight="1">
      <c r="A17253" s="198"/>
    </row>
    <row r="17254" spans="1:1" s="199" customFormat="1" ht="12" hidden="1" customHeight="1">
      <c r="A17254" s="198"/>
    </row>
    <row r="17255" spans="1:1" s="199" customFormat="1" ht="12" hidden="1" customHeight="1">
      <c r="A17255" s="198"/>
    </row>
    <row r="17256" spans="1:1" s="199" customFormat="1" ht="12" hidden="1" customHeight="1">
      <c r="A17256" s="198"/>
    </row>
    <row r="17257" spans="1:1" s="199" customFormat="1" ht="12" hidden="1" customHeight="1">
      <c r="A17257" s="198"/>
    </row>
    <row r="17258" spans="1:1" s="199" customFormat="1" ht="12" hidden="1" customHeight="1">
      <c r="A17258" s="198"/>
    </row>
    <row r="17259" spans="1:1" s="199" customFormat="1" ht="12" hidden="1" customHeight="1">
      <c r="A17259" s="198"/>
    </row>
    <row r="17260" spans="1:1" s="199" customFormat="1" ht="12" hidden="1" customHeight="1">
      <c r="A17260" s="198"/>
    </row>
    <row r="17261" spans="1:1" s="199" customFormat="1" ht="12" hidden="1" customHeight="1">
      <c r="A17261" s="198"/>
    </row>
    <row r="17262" spans="1:1" s="199" customFormat="1" ht="12" hidden="1" customHeight="1">
      <c r="A17262" s="198"/>
    </row>
    <row r="17263" spans="1:1" s="199" customFormat="1" ht="12" hidden="1" customHeight="1">
      <c r="A17263" s="198"/>
    </row>
    <row r="17264" spans="1:1" s="199" customFormat="1" ht="12" hidden="1" customHeight="1">
      <c r="A17264" s="198"/>
    </row>
    <row r="17265" spans="1:1" s="199" customFormat="1" ht="12" hidden="1" customHeight="1">
      <c r="A17265" s="198"/>
    </row>
    <row r="17266" spans="1:1" s="199" customFormat="1" ht="12" hidden="1" customHeight="1">
      <c r="A17266" s="198"/>
    </row>
    <row r="17267" spans="1:1" s="199" customFormat="1" ht="12" hidden="1" customHeight="1">
      <c r="A17267" s="198"/>
    </row>
    <row r="17268" spans="1:1" s="199" customFormat="1" ht="12" hidden="1" customHeight="1">
      <c r="A17268" s="198"/>
    </row>
    <row r="17269" spans="1:1" s="199" customFormat="1" ht="12" hidden="1" customHeight="1">
      <c r="A17269" s="198"/>
    </row>
    <row r="17270" spans="1:1" s="199" customFormat="1" ht="12" hidden="1" customHeight="1">
      <c r="A17270" s="198"/>
    </row>
    <row r="17271" spans="1:1" s="199" customFormat="1" ht="12" hidden="1" customHeight="1">
      <c r="A17271" s="198"/>
    </row>
    <row r="17272" spans="1:1" s="199" customFormat="1" ht="12" hidden="1" customHeight="1">
      <c r="A17272" s="198"/>
    </row>
    <row r="17273" spans="1:1" s="199" customFormat="1" ht="12" hidden="1" customHeight="1">
      <c r="A17273" s="198"/>
    </row>
    <row r="17274" spans="1:1" s="199" customFormat="1" ht="12" hidden="1" customHeight="1">
      <c r="A17274" s="198"/>
    </row>
    <row r="17275" spans="1:1" s="199" customFormat="1" ht="12" hidden="1" customHeight="1">
      <c r="A17275" s="198"/>
    </row>
    <row r="17276" spans="1:1" s="199" customFormat="1" ht="12" hidden="1" customHeight="1">
      <c r="A17276" s="198"/>
    </row>
    <row r="17277" spans="1:1" s="199" customFormat="1" ht="12" hidden="1" customHeight="1">
      <c r="A17277" s="198"/>
    </row>
    <row r="17278" spans="1:1" s="199" customFormat="1" ht="12" hidden="1" customHeight="1">
      <c r="A17278" s="198"/>
    </row>
    <row r="17279" spans="1:1" s="199" customFormat="1" ht="12" hidden="1" customHeight="1">
      <c r="A17279" s="198"/>
    </row>
    <row r="17280" spans="1:1" s="199" customFormat="1" ht="12" hidden="1" customHeight="1">
      <c r="A17280" s="198"/>
    </row>
    <row r="17281" spans="1:1" s="199" customFormat="1" ht="12" hidden="1" customHeight="1">
      <c r="A17281" s="198"/>
    </row>
    <row r="17282" spans="1:1" s="199" customFormat="1" ht="12" hidden="1" customHeight="1">
      <c r="A17282" s="198"/>
    </row>
    <row r="17283" spans="1:1" s="199" customFormat="1" ht="12" hidden="1" customHeight="1">
      <c r="A17283" s="198"/>
    </row>
    <row r="17284" spans="1:1" s="199" customFormat="1" ht="12" hidden="1" customHeight="1">
      <c r="A17284" s="198"/>
    </row>
    <row r="17285" spans="1:1" s="199" customFormat="1" ht="12" hidden="1" customHeight="1">
      <c r="A17285" s="198"/>
    </row>
    <row r="17286" spans="1:1" s="199" customFormat="1" ht="12" hidden="1" customHeight="1">
      <c r="A17286" s="198"/>
    </row>
    <row r="17287" spans="1:1" s="199" customFormat="1" ht="12" hidden="1" customHeight="1">
      <c r="A17287" s="198"/>
    </row>
    <row r="17288" spans="1:1" s="199" customFormat="1" ht="12" hidden="1" customHeight="1">
      <c r="A17288" s="198"/>
    </row>
    <row r="17289" spans="1:1" s="199" customFormat="1" ht="12" hidden="1" customHeight="1">
      <c r="A17289" s="198"/>
    </row>
    <row r="17290" spans="1:1" s="199" customFormat="1" ht="12" hidden="1" customHeight="1">
      <c r="A17290" s="198"/>
    </row>
    <row r="17291" spans="1:1" s="199" customFormat="1" ht="12" hidden="1" customHeight="1">
      <c r="A17291" s="198"/>
    </row>
    <row r="17292" spans="1:1" s="199" customFormat="1" ht="12" hidden="1" customHeight="1">
      <c r="A17292" s="198"/>
    </row>
    <row r="17293" spans="1:1" s="199" customFormat="1" ht="12" hidden="1" customHeight="1">
      <c r="A17293" s="198"/>
    </row>
    <row r="17294" spans="1:1" s="199" customFormat="1" ht="12" hidden="1" customHeight="1">
      <c r="A17294" s="198"/>
    </row>
    <row r="17295" spans="1:1" s="199" customFormat="1" ht="12" hidden="1" customHeight="1">
      <c r="A17295" s="198"/>
    </row>
    <row r="17296" spans="1:1" s="199" customFormat="1" ht="12" hidden="1" customHeight="1">
      <c r="A17296" s="198"/>
    </row>
    <row r="17297" spans="1:1" s="199" customFormat="1" ht="12" hidden="1" customHeight="1">
      <c r="A17297" s="198"/>
    </row>
    <row r="17298" spans="1:1" s="199" customFormat="1" ht="12" hidden="1" customHeight="1">
      <c r="A17298" s="198"/>
    </row>
    <row r="17299" spans="1:1" s="199" customFormat="1" ht="12" hidden="1" customHeight="1">
      <c r="A17299" s="198"/>
    </row>
    <row r="17300" spans="1:1" s="199" customFormat="1" ht="12" hidden="1" customHeight="1">
      <c r="A17300" s="198"/>
    </row>
    <row r="17301" spans="1:1" s="199" customFormat="1" ht="12" hidden="1" customHeight="1">
      <c r="A17301" s="198"/>
    </row>
    <row r="17302" spans="1:1" s="199" customFormat="1" ht="12" hidden="1" customHeight="1">
      <c r="A17302" s="198"/>
    </row>
    <row r="17303" spans="1:1" s="199" customFormat="1" ht="12" hidden="1" customHeight="1">
      <c r="A17303" s="198"/>
    </row>
    <row r="17304" spans="1:1" s="199" customFormat="1" ht="12" hidden="1" customHeight="1">
      <c r="A17304" s="198"/>
    </row>
    <row r="17305" spans="1:1" s="199" customFormat="1" ht="12" hidden="1" customHeight="1">
      <c r="A17305" s="198"/>
    </row>
    <row r="17306" spans="1:1" s="199" customFormat="1" ht="12" hidden="1" customHeight="1">
      <c r="A17306" s="198"/>
    </row>
    <row r="17307" spans="1:1" s="199" customFormat="1" ht="12" hidden="1" customHeight="1">
      <c r="A17307" s="198"/>
    </row>
    <row r="17308" spans="1:1" s="199" customFormat="1" ht="12" hidden="1" customHeight="1">
      <c r="A17308" s="198"/>
    </row>
    <row r="17309" spans="1:1" s="199" customFormat="1" ht="12" hidden="1" customHeight="1">
      <c r="A17309" s="198"/>
    </row>
    <row r="17310" spans="1:1" s="199" customFormat="1" ht="12" hidden="1" customHeight="1">
      <c r="A17310" s="198"/>
    </row>
    <row r="17311" spans="1:1" s="199" customFormat="1" ht="12" hidden="1" customHeight="1">
      <c r="A17311" s="198"/>
    </row>
    <row r="17312" spans="1:1" s="199" customFormat="1" ht="12" hidden="1" customHeight="1">
      <c r="A17312" s="198"/>
    </row>
    <row r="17313" spans="1:1" s="199" customFormat="1" ht="12" hidden="1" customHeight="1">
      <c r="A17313" s="198"/>
    </row>
    <row r="17314" spans="1:1" s="199" customFormat="1" ht="12" hidden="1" customHeight="1">
      <c r="A17314" s="198"/>
    </row>
    <row r="17315" spans="1:1" s="199" customFormat="1" ht="12" hidden="1" customHeight="1">
      <c r="A17315" s="198"/>
    </row>
    <row r="17316" spans="1:1" s="199" customFormat="1" ht="12" hidden="1" customHeight="1">
      <c r="A17316" s="198"/>
    </row>
    <row r="17317" spans="1:1" s="199" customFormat="1" ht="12" hidden="1" customHeight="1">
      <c r="A17317" s="198"/>
    </row>
    <row r="17318" spans="1:1" s="199" customFormat="1" ht="12" hidden="1" customHeight="1">
      <c r="A17318" s="198"/>
    </row>
    <row r="17319" spans="1:1" s="199" customFormat="1" ht="12" hidden="1" customHeight="1">
      <c r="A17319" s="198"/>
    </row>
    <row r="17320" spans="1:1" s="199" customFormat="1" ht="12" hidden="1" customHeight="1">
      <c r="A17320" s="198"/>
    </row>
    <row r="17321" spans="1:1" s="199" customFormat="1" ht="12" hidden="1" customHeight="1">
      <c r="A17321" s="198"/>
    </row>
    <row r="17322" spans="1:1" s="199" customFormat="1" ht="12" hidden="1" customHeight="1">
      <c r="A17322" s="198"/>
    </row>
    <row r="17323" spans="1:1" s="199" customFormat="1" ht="12" hidden="1" customHeight="1">
      <c r="A17323" s="198"/>
    </row>
    <row r="17324" spans="1:1" s="199" customFormat="1" ht="12" hidden="1" customHeight="1">
      <c r="A17324" s="198"/>
    </row>
    <row r="17325" spans="1:1" s="199" customFormat="1" ht="12" hidden="1" customHeight="1">
      <c r="A17325" s="198"/>
    </row>
    <row r="17326" spans="1:1" s="199" customFormat="1" ht="12" hidden="1" customHeight="1">
      <c r="A17326" s="198"/>
    </row>
    <row r="17327" spans="1:1" s="199" customFormat="1" ht="12" hidden="1" customHeight="1">
      <c r="A17327" s="198"/>
    </row>
    <row r="17328" spans="1:1" s="199" customFormat="1" ht="12" hidden="1" customHeight="1">
      <c r="A17328" s="198"/>
    </row>
    <row r="17329" spans="1:1" s="199" customFormat="1" ht="12" hidden="1" customHeight="1">
      <c r="A17329" s="198"/>
    </row>
    <row r="17330" spans="1:1" s="199" customFormat="1" ht="12" hidden="1" customHeight="1">
      <c r="A17330" s="198"/>
    </row>
    <row r="17331" spans="1:1" s="199" customFormat="1" ht="12" hidden="1" customHeight="1">
      <c r="A17331" s="198"/>
    </row>
    <row r="17332" spans="1:1" s="199" customFormat="1" ht="12" hidden="1" customHeight="1">
      <c r="A17332" s="198"/>
    </row>
    <row r="17333" spans="1:1" s="199" customFormat="1" ht="12" hidden="1" customHeight="1">
      <c r="A17333" s="198"/>
    </row>
    <row r="17334" spans="1:1" s="199" customFormat="1" ht="12" hidden="1" customHeight="1">
      <c r="A17334" s="198"/>
    </row>
    <row r="17335" spans="1:1" s="199" customFormat="1" ht="12" hidden="1" customHeight="1">
      <c r="A17335" s="198"/>
    </row>
    <row r="17336" spans="1:1" s="199" customFormat="1" ht="12" hidden="1" customHeight="1">
      <c r="A17336" s="198"/>
    </row>
    <row r="17337" spans="1:1" s="199" customFormat="1" ht="12" hidden="1" customHeight="1">
      <c r="A17337" s="198"/>
    </row>
    <row r="17338" spans="1:1" s="199" customFormat="1" ht="12" hidden="1" customHeight="1">
      <c r="A17338" s="198"/>
    </row>
    <row r="17339" spans="1:1" s="199" customFormat="1" ht="12" hidden="1" customHeight="1">
      <c r="A17339" s="198"/>
    </row>
    <row r="17340" spans="1:1" s="199" customFormat="1" ht="12" hidden="1" customHeight="1">
      <c r="A17340" s="198"/>
    </row>
    <row r="17341" spans="1:1" s="199" customFormat="1" ht="12" hidden="1" customHeight="1">
      <c r="A17341" s="198"/>
    </row>
    <row r="17342" spans="1:1" s="199" customFormat="1" ht="12" hidden="1" customHeight="1">
      <c r="A17342" s="198"/>
    </row>
    <row r="17343" spans="1:1" s="199" customFormat="1" ht="12" hidden="1" customHeight="1">
      <c r="A17343" s="198"/>
    </row>
    <row r="17344" spans="1:1" s="199" customFormat="1" ht="12" hidden="1" customHeight="1">
      <c r="A17344" s="198"/>
    </row>
    <row r="17345" spans="1:1" s="199" customFormat="1" ht="12" hidden="1" customHeight="1">
      <c r="A17345" s="198"/>
    </row>
    <row r="17346" spans="1:1" s="199" customFormat="1" ht="12" hidden="1" customHeight="1">
      <c r="A17346" s="198"/>
    </row>
    <row r="17347" spans="1:1" s="199" customFormat="1" ht="12" hidden="1" customHeight="1">
      <c r="A17347" s="198"/>
    </row>
    <row r="17348" spans="1:1" s="199" customFormat="1" ht="12" hidden="1" customHeight="1">
      <c r="A17348" s="198"/>
    </row>
    <row r="17349" spans="1:1" s="199" customFormat="1" ht="12" hidden="1" customHeight="1">
      <c r="A17349" s="198"/>
    </row>
    <row r="17350" spans="1:1" s="199" customFormat="1" ht="12" hidden="1" customHeight="1">
      <c r="A17350" s="198"/>
    </row>
    <row r="17351" spans="1:1" s="199" customFormat="1" ht="12" hidden="1" customHeight="1">
      <c r="A17351" s="198"/>
    </row>
    <row r="17352" spans="1:1" s="199" customFormat="1" ht="12" hidden="1" customHeight="1">
      <c r="A17352" s="198"/>
    </row>
    <row r="17353" spans="1:1" s="199" customFormat="1" ht="12" hidden="1" customHeight="1">
      <c r="A17353" s="198"/>
    </row>
    <row r="17354" spans="1:1" s="199" customFormat="1" ht="12" hidden="1" customHeight="1">
      <c r="A17354" s="198"/>
    </row>
    <row r="17355" spans="1:1" s="199" customFormat="1" ht="12" hidden="1" customHeight="1">
      <c r="A17355" s="198"/>
    </row>
    <row r="17356" spans="1:1" s="199" customFormat="1" ht="12" hidden="1" customHeight="1">
      <c r="A17356" s="198"/>
    </row>
    <row r="17357" spans="1:1" s="199" customFormat="1" ht="12" hidden="1" customHeight="1">
      <c r="A17357" s="198"/>
    </row>
    <row r="17358" spans="1:1" s="199" customFormat="1" ht="12" hidden="1" customHeight="1">
      <c r="A17358" s="198"/>
    </row>
    <row r="17359" spans="1:1" s="199" customFormat="1" ht="12" hidden="1" customHeight="1">
      <c r="A17359" s="198"/>
    </row>
    <row r="17360" spans="1:1" s="199" customFormat="1" ht="12" hidden="1" customHeight="1">
      <c r="A17360" s="198"/>
    </row>
    <row r="17361" spans="1:1" s="199" customFormat="1" ht="12" hidden="1" customHeight="1">
      <c r="A17361" s="198"/>
    </row>
    <row r="17362" spans="1:1" s="199" customFormat="1" ht="12" hidden="1" customHeight="1">
      <c r="A17362" s="198"/>
    </row>
    <row r="17363" spans="1:1" s="199" customFormat="1" ht="12" hidden="1" customHeight="1">
      <c r="A17363" s="198"/>
    </row>
    <row r="17364" spans="1:1" s="199" customFormat="1" ht="12" hidden="1" customHeight="1">
      <c r="A17364" s="198"/>
    </row>
    <row r="17365" spans="1:1" s="199" customFormat="1" ht="12" hidden="1" customHeight="1">
      <c r="A17365" s="198"/>
    </row>
    <row r="17366" spans="1:1" s="199" customFormat="1" ht="12" hidden="1" customHeight="1">
      <c r="A17366" s="198"/>
    </row>
    <row r="17367" spans="1:1" s="199" customFormat="1" ht="12" hidden="1" customHeight="1">
      <c r="A17367" s="198"/>
    </row>
    <row r="17368" spans="1:1" s="199" customFormat="1" ht="12" hidden="1" customHeight="1">
      <c r="A17368" s="198"/>
    </row>
    <row r="17369" spans="1:1" s="199" customFormat="1" ht="12" hidden="1" customHeight="1">
      <c r="A17369" s="198"/>
    </row>
    <row r="17370" spans="1:1" s="199" customFormat="1" ht="12" hidden="1" customHeight="1">
      <c r="A17370" s="198"/>
    </row>
    <row r="17371" spans="1:1" s="199" customFormat="1" ht="12" hidden="1" customHeight="1">
      <c r="A17371" s="198"/>
    </row>
    <row r="17372" spans="1:1" s="199" customFormat="1" ht="12" hidden="1" customHeight="1">
      <c r="A17372" s="198"/>
    </row>
    <row r="17373" spans="1:1" s="199" customFormat="1" ht="12" hidden="1" customHeight="1">
      <c r="A17373" s="198"/>
    </row>
    <row r="17374" spans="1:1" s="199" customFormat="1" ht="12" hidden="1" customHeight="1">
      <c r="A17374" s="198"/>
    </row>
    <row r="17375" spans="1:1" s="199" customFormat="1" ht="12" hidden="1" customHeight="1">
      <c r="A17375" s="198"/>
    </row>
    <row r="17376" spans="1:1" s="199" customFormat="1" ht="12" hidden="1" customHeight="1">
      <c r="A17376" s="198"/>
    </row>
    <row r="17377" spans="1:1" s="199" customFormat="1" ht="12" hidden="1" customHeight="1">
      <c r="A17377" s="198"/>
    </row>
    <row r="17378" spans="1:1" s="199" customFormat="1" ht="12" hidden="1" customHeight="1">
      <c r="A17378" s="198"/>
    </row>
    <row r="17379" spans="1:1" s="199" customFormat="1" ht="12" hidden="1" customHeight="1">
      <c r="A17379" s="198"/>
    </row>
    <row r="17380" spans="1:1" s="199" customFormat="1" ht="12" hidden="1" customHeight="1">
      <c r="A17380" s="198"/>
    </row>
    <row r="17381" spans="1:1" s="199" customFormat="1" ht="12" hidden="1" customHeight="1">
      <c r="A17381" s="198"/>
    </row>
    <row r="17382" spans="1:1" s="199" customFormat="1" ht="12" hidden="1" customHeight="1">
      <c r="A17382" s="198"/>
    </row>
    <row r="17383" spans="1:1" s="199" customFormat="1" ht="12" hidden="1" customHeight="1">
      <c r="A17383" s="198"/>
    </row>
    <row r="17384" spans="1:1" s="199" customFormat="1" ht="12" hidden="1" customHeight="1">
      <c r="A17384" s="198"/>
    </row>
    <row r="17385" spans="1:1" s="199" customFormat="1" ht="12" hidden="1" customHeight="1">
      <c r="A17385" s="198"/>
    </row>
    <row r="17386" spans="1:1" s="199" customFormat="1" ht="12" hidden="1" customHeight="1">
      <c r="A17386" s="198"/>
    </row>
    <row r="17387" spans="1:1" s="199" customFormat="1" ht="12" hidden="1" customHeight="1">
      <c r="A17387" s="198"/>
    </row>
    <row r="17388" spans="1:1" s="199" customFormat="1" ht="12" hidden="1" customHeight="1">
      <c r="A17388" s="198"/>
    </row>
    <row r="17389" spans="1:1" s="199" customFormat="1" ht="12" hidden="1" customHeight="1">
      <c r="A17389" s="198"/>
    </row>
    <row r="17390" spans="1:1" s="199" customFormat="1" ht="12" hidden="1" customHeight="1">
      <c r="A17390" s="198"/>
    </row>
    <row r="17391" spans="1:1" s="199" customFormat="1" ht="12" hidden="1" customHeight="1">
      <c r="A17391" s="198"/>
    </row>
    <row r="17392" spans="1:1" s="199" customFormat="1" ht="12" hidden="1" customHeight="1">
      <c r="A17392" s="198"/>
    </row>
    <row r="17393" spans="1:1" s="199" customFormat="1" ht="12" hidden="1" customHeight="1">
      <c r="A17393" s="198"/>
    </row>
    <row r="17394" spans="1:1" s="199" customFormat="1" ht="12" hidden="1" customHeight="1">
      <c r="A17394" s="198"/>
    </row>
    <row r="17395" spans="1:1" s="199" customFormat="1" ht="12" hidden="1" customHeight="1">
      <c r="A17395" s="198"/>
    </row>
    <row r="17396" spans="1:1" s="199" customFormat="1" ht="12" hidden="1" customHeight="1">
      <c r="A17396" s="198"/>
    </row>
    <row r="17397" spans="1:1" s="199" customFormat="1" ht="12" hidden="1" customHeight="1">
      <c r="A17397" s="198"/>
    </row>
    <row r="17398" spans="1:1" s="199" customFormat="1" ht="12" hidden="1" customHeight="1">
      <c r="A17398" s="198"/>
    </row>
    <row r="17399" spans="1:1" s="199" customFormat="1" ht="12" hidden="1" customHeight="1">
      <c r="A17399" s="198"/>
    </row>
    <row r="17400" spans="1:1" s="199" customFormat="1" ht="12" hidden="1" customHeight="1">
      <c r="A17400" s="198"/>
    </row>
    <row r="17401" spans="1:1" s="199" customFormat="1" ht="12" hidden="1" customHeight="1">
      <c r="A17401" s="198"/>
    </row>
    <row r="17402" spans="1:1" s="199" customFormat="1" ht="12" hidden="1" customHeight="1">
      <c r="A17402" s="198"/>
    </row>
    <row r="17403" spans="1:1" s="199" customFormat="1" ht="12" hidden="1" customHeight="1">
      <c r="A17403" s="198"/>
    </row>
    <row r="17404" spans="1:1" s="199" customFormat="1" ht="12" hidden="1" customHeight="1">
      <c r="A17404" s="198"/>
    </row>
    <row r="17405" spans="1:1" s="199" customFormat="1" ht="12" hidden="1" customHeight="1">
      <c r="A17405" s="198"/>
    </row>
    <row r="17406" spans="1:1" s="199" customFormat="1" ht="12" hidden="1" customHeight="1">
      <c r="A17406" s="198"/>
    </row>
    <row r="17407" spans="1:1" s="199" customFormat="1" ht="12" hidden="1" customHeight="1">
      <c r="A17407" s="198"/>
    </row>
    <row r="17408" spans="1:1" s="199" customFormat="1" ht="12" hidden="1" customHeight="1">
      <c r="A17408" s="198"/>
    </row>
    <row r="17409" spans="1:1" s="199" customFormat="1" ht="12" hidden="1" customHeight="1">
      <c r="A17409" s="198"/>
    </row>
    <row r="17410" spans="1:1" s="199" customFormat="1" ht="12" hidden="1" customHeight="1">
      <c r="A17410" s="198"/>
    </row>
    <row r="17411" spans="1:1" s="199" customFormat="1" ht="12" hidden="1" customHeight="1">
      <c r="A17411" s="198"/>
    </row>
    <row r="17412" spans="1:1" s="199" customFormat="1" ht="12" hidden="1" customHeight="1">
      <c r="A17412" s="198"/>
    </row>
    <row r="17413" spans="1:1" s="199" customFormat="1" ht="12" hidden="1" customHeight="1">
      <c r="A17413" s="198"/>
    </row>
    <row r="17414" spans="1:1" s="199" customFormat="1" ht="12" hidden="1" customHeight="1">
      <c r="A17414" s="198"/>
    </row>
    <row r="17415" spans="1:1" s="199" customFormat="1" ht="12" hidden="1" customHeight="1">
      <c r="A17415" s="198"/>
    </row>
    <row r="17416" spans="1:1" s="199" customFormat="1" ht="12" hidden="1" customHeight="1">
      <c r="A17416" s="198"/>
    </row>
    <row r="17417" spans="1:1" s="199" customFormat="1" ht="12" hidden="1" customHeight="1">
      <c r="A17417" s="198"/>
    </row>
    <row r="17418" spans="1:1" s="199" customFormat="1" ht="12" hidden="1" customHeight="1">
      <c r="A17418" s="198"/>
    </row>
    <row r="17419" spans="1:1" s="199" customFormat="1" ht="12" hidden="1" customHeight="1">
      <c r="A17419" s="198"/>
    </row>
    <row r="17420" spans="1:1" s="199" customFormat="1" ht="12" hidden="1" customHeight="1">
      <c r="A17420" s="198"/>
    </row>
    <row r="17421" spans="1:1" s="199" customFormat="1" ht="12" hidden="1" customHeight="1">
      <c r="A17421" s="198"/>
    </row>
    <row r="17422" spans="1:1" s="199" customFormat="1" ht="12" hidden="1" customHeight="1">
      <c r="A17422" s="198"/>
    </row>
    <row r="17423" spans="1:1" s="199" customFormat="1" ht="12" hidden="1" customHeight="1">
      <c r="A17423" s="198"/>
    </row>
    <row r="17424" spans="1:1" s="199" customFormat="1" ht="12" hidden="1" customHeight="1">
      <c r="A17424" s="198"/>
    </row>
    <row r="17425" spans="1:1" s="199" customFormat="1" ht="12" hidden="1" customHeight="1">
      <c r="A17425" s="198"/>
    </row>
    <row r="17426" spans="1:1" s="199" customFormat="1" ht="12" hidden="1" customHeight="1">
      <c r="A17426" s="198"/>
    </row>
    <row r="17427" spans="1:1" s="199" customFormat="1" ht="12" hidden="1" customHeight="1">
      <c r="A17427" s="198"/>
    </row>
    <row r="17428" spans="1:1" s="199" customFormat="1" ht="12" hidden="1" customHeight="1">
      <c r="A17428" s="198"/>
    </row>
    <row r="17429" spans="1:1" s="199" customFormat="1" ht="12" hidden="1" customHeight="1">
      <c r="A17429" s="198"/>
    </row>
    <row r="17430" spans="1:1" s="199" customFormat="1" ht="12" hidden="1" customHeight="1">
      <c r="A17430" s="198"/>
    </row>
    <row r="17431" spans="1:1" s="199" customFormat="1" ht="12" hidden="1" customHeight="1">
      <c r="A17431" s="198"/>
    </row>
    <row r="17432" spans="1:1" s="199" customFormat="1" ht="12" hidden="1" customHeight="1">
      <c r="A17432" s="198"/>
    </row>
    <row r="17433" spans="1:1" s="199" customFormat="1" ht="12" hidden="1" customHeight="1">
      <c r="A17433" s="198"/>
    </row>
    <row r="17434" spans="1:1" s="199" customFormat="1" ht="12" hidden="1" customHeight="1">
      <c r="A17434" s="198"/>
    </row>
    <row r="17435" spans="1:1" s="199" customFormat="1" ht="12" hidden="1" customHeight="1">
      <c r="A17435" s="198"/>
    </row>
    <row r="17436" spans="1:1" s="199" customFormat="1" ht="12" hidden="1" customHeight="1">
      <c r="A17436" s="198"/>
    </row>
    <row r="17437" spans="1:1" s="199" customFormat="1" ht="12" hidden="1" customHeight="1">
      <c r="A17437" s="198"/>
    </row>
    <row r="17438" spans="1:1" s="199" customFormat="1" ht="12" hidden="1" customHeight="1">
      <c r="A17438" s="198"/>
    </row>
    <row r="17439" spans="1:1" s="199" customFormat="1" ht="12" hidden="1" customHeight="1">
      <c r="A17439" s="198"/>
    </row>
    <row r="17440" spans="1:1" s="199" customFormat="1" ht="12" hidden="1" customHeight="1">
      <c r="A17440" s="198"/>
    </row>
    <row r="17441" spans="1:1" s="199" customFormat="1" ht="12" hidden="1" customHeight="1">
      <c r="A17441" s="198"/>
    </row>
    <row r="17442" spans="1:1" s="199" customFormat="1" ht="12" hidden="1" customHeight="1">
      <c r="A17442" s="198"/>
    </row>
    <row r="17443" spans="1:1" s="199" customFormat="1" ht="12" hidden="1" customHeight="1">
      <c r="A17443" s="198"/>
    </row>
    <row r="17444" spans="1:1" s="199" customFormat="1" ht="12" hidden="1" customHeight="1">
      <c r="A17444" s="198"/>
    </row>
    <row r="17445" spans="1:1" s="199" customFormat="1" ht="12" hidden="1" customHeight="1">
      <c r="A17445" s="198"/>
    </row>
    <row r="17446" spans="1:1" s="199" customFormat="1" ht="12" hidden="1" customHeight="1">
      <c r="A17446" s="198"/>
    </row>
    <row r="17447" spans="1:1" s="199" customFormat="1" ht="12" hidden="1" customHeight="1">
      <c r="A17447" s="198"/>
    </row>
    <row r="17448" spans="1:1" s="199" customFormat="1" ht="12" hidden="1" customHeight="1">
      <c r="A17448" s="198"/>
    </row>
    <row r="17449" spans="1:1" s="199" customFormat="1" ht="12" hidden="1" customHeight="1">
      <c r="A17449" s="198"/>
    </row>
    <row r="17450" spans="1:1" s="199" customFormat="1" ht="12" hidden="1" customHeight="1">
      <c r="A17450" s="198"/>
    </row>
    <row r="17451" spans="1:1" s="199" customFormat="1" ht="12" hidden="1" customHeight="1">
      <c r="A17451" s="198"/>
    </row>
    <row r="17452" spans="1:1" s="199" customFormat="1" ht="12" hidden="1" customHeight="1">
      <c r="A17452" s="198"/>
    </row>
    <row r="17453" spans="1:1" s="199" customFormat="1" ht="12" hidden="1" customHeight="1">
      <c r="A17453" s="198"/>
    </row>
    <row r="17454" spans="1:1" s="199" customFormat="1" ht="12" hidden="1" customHeight="1">
      <c r="A17454" s="198"/>
    </row>
    <row r="17455" spans="1:1" s="199" customFormat="1" ht="12" hidden="1" customHeight="1">
      <c r="A17455" s="198"/>
    </row>
    <row r="17456" spans="1:1" s="199" customFormat="1" ht="12" hidden="1" customHeight="1">
      <c r="A17456" s="198"/>
    </row>
    <row r="17457" spans="1:1" s="199" customFormat="1" ht="12" hidden="1" customHeight="1">
      <c r="A17457" s="198"/>
    </row>
    <row r="17458" spans="1:1" s="199" customFormat="1" ht="12" hidden="1" customHeight="1">
      <c r="A17458" s="198"/>
    </row>
    <row r="17459" spans="1:1" s="199" customFormat="1" ht="12" hidden="1" customHeight="1">
      <c r="A17459" s="198"/>
    </row>
    <row r="17460" spans="1:1" s="199" customFormat="1" ht="12" hidden="1" customHeight="1">
      <c r="A17460" s="198"/>
    </row>
    <row r="17461" spans="1:1" s="199" customFormat="1" ht="12" hidden="1" customHeight="1">
      <c r="A17461" s="198"/>
    </row>
    <row r="17462" spans="1:1" s="199" customFormat="1" ht="12" hidden="1" customHeight="1">
      <c r="A17462" s="198"/>
    </row>
    <row r="17463" spans="1:1" s="199" customFormat="1" ht="12" hidden="1" customHeight="1">
      <c r="A17463" s="198"/>
    </row>
    <row r="17464" spans="1:1" s="199" customFormat="1" ht="12" hidden="1" customHeight="1">
      <c r="A17464" s="198"/>
    </row>
    <row r="17465" spans="1:1" s="199" customFormat="1" ht="12" hidden="1" customHeight="1">
      <c r="A17465" s="198"/>
    </row>
    <row r="17466" spans="1:1" s="199" customFormat="1" ht="12" hidden="1" customHeight="1">
      <c r="A17466" s="198"/>
    </row>
    <row r="17467" spans="1:1" s="199" customFormat="1" ht="12" hidden="1" customHeight="1">
      <c r="A17467" s="198"/>
    </row>
    <row r="17468" spans="1:1" s="199" customFormat="1" ht="12" hidden="1" customHeight="1">
      <c r="A17468" s="198"/>
    </row>
    <row r="17469" spans="1:1" s="199" customFormat="1" ht="12" hidden="1" customHeight="1">
      <c r="A17469" s="198"/>
    </row>
    <row r="17470" spans="1:1" s="199" customFormat="1" ht="12" hidden="1" customHeight="1">
      <c r="A17470" s="198"/>
    </row>
    <row r="17471" spans="1:1" s="199" customFormat="1" ht="12" hidden="1" customHeight="1">
      <c r="A17471" s="198"/>
    </row>
    <row r="17472" spans="1:1" s="199" customFormat="1" ht="12" hidden="1" customHeight="1">
      <c r="A17472" s="198"/>
    </row>
    <row r="17473" spans="1:1" s="199" customFormat="1" ht="12" hidden="1" customHeight="1">
      <c r="A17473" s="198"/>
    </row>
    <row r="17474" spans="1:1" s="199" customFormat="1" ht="12" hidden="1" customHeight="1">
      <c r="A17474" s="198"/>
    </row>
    <row r="17475" spans="1:1" s="199" customFormat="1" ht="12" hidden="1" customHeight="1">
      <c r="A17475" s="198"/>
    </row>
    <row r="17476" spans="1:1" s="199" customFormat="1" ht="12" hidden="1" customHeight="1">
      <c r="A17476" s="198"/>
    </row>
    <row r="17477" spans="1:1" s="199" customFormat="1" ht="12" hidden="1" customHeight="1">
      <c r="A17477" s="198"/>
    </row>
    <row r="17478" spans="1:1" s="199" customFormat="1" ht="12" hidden="1" customHeight="1">
      <c r="A17478" s="198"/>
    </row>
    <row r="17479" spans="1:1" s="199" customFormat="1" ht="12" hidden="1" customHeight="1">
      <c r="A17479" s="198"/>
    </row>
    <row r="17480" spans="1:1" s="199" customFormat="1" ht="12" hidden="1" customHeight="1">
      <c r="A17480" s="198"/>
    </row>
    <row r="17481" spans="1:1" s="199" customFormat="1" ht="12" hidden="1" customHeight="1">
      <c r="A17481" s="198"/>
    </row>
    <row r="17482" spans="1:1" s="199" customFormat="1" ht="12" hidden="1" customHeight="1">
      <c r="A17482" s="198"/>
    </row>
    <row r="17483" spans="1:1" s="199" customFormat="1" ht="12" hidden="1" customHeight="1">
      <c r="A17483" s="198"/>
    </row>
    <row r="17484" spans="1:1" s="199" customFormat="1" ht="12" hidden="1" customHeight="1">
      <c r="A17484" s="198"/>
    </row>
    <row r="17485" spans="1:1" s="199" customFormat="1" ht="12" hidden="1" customHeight="1">
      <c r="A17485" s="198"/>
    </row>
    <row r="17486" spans="1:1" s="199" customFormat="1" ht="12" hidden="1" customHeight="1">
      <c r="A17486" s="198"/>
    </row>
    <row r="17487" spans="1:1" s="199" customFormat="1" ht="12" hidden="1" customHeight="1">
      <c r="A17487" s="198"/>
    </row>
    <row r="17488" spans="1:1" s="199" customFormat="1" ht="12" hidden="1" customHeight="1">
      <c r="A17488" s="198"/>
    </row>
    <row r="17489" spans="1:1" s="199" customFormat="1" ht="12" hidden="1" customHeight="1">
      <c r="A17489" s="198"/>
    </row>
    <row r="17490" spans="1:1" s="199" customFormat="1" ht="12" hidden="1" customHeight="1">
      <c r="A17490" s="198"/>
    </row>
    <row r="17491" spans="1:1" s="199" customFormat="1" ht="12" hidden="1" customHeight="1">
      <c r="A17491" s="198"/>
    </row>
    <row r="17492" spans="1:1" s="199" customFormat="1" ht="12" hidden="1" customHeight="1">
      <c r="A17492" s="198"/>
    </row>
    <row r="17493" spans="1:1" s="199" customFormat="1" ht="12" hidden="1" customHeight="1">
      <c r="A17493" s="198"/>
    </row>
    <row r="17494" spans="1:1" s="199" customFormat="1" ht="12" hidden="1" customHeight="1">
      <c r="A17494" s="198"/>
    </row>
    <row r="17495" spans="1:1" s="199" customFormat="1" ht="12" hidden="1" customHeight="1">
      <c r="A17495" s="198"/>
    </row>
    <row r="17496" spans="1:1" s="199" customFormat="1" ht="12" hidden="1" customHeight="1">
      <c r="A17496" s="198"/>
    </row>
    <row r="17497" spans="1:1" s="199" customFormat="1" ht="12" hidden="1" customHeight="1">
      <c r="A17497" s="198"/>
    </row>
    <row r="17498" spans="1:1" s="199" customFormat="1" ht="12" hidden="1" customHeight="1">
      <c r="A17498" s="198"/>
    </row>
    <row r="17499" spans="1:1" s="199" customFormat="1" ht="12" hidden="1" customHeight="1">
      <c r="A17499" s="198"/>
    </row>
    <row r="17500" spans="1:1" s="199" customFormat="1" ht="12" hidden="1" customHeight="1">
      <c r="A17500" s="198"/>
    </row>
    <row r="17501" spans="1:1" s="199" customFormat="1" ht="12" hidden="1" customHeight="1">
      <c r="A17501" s="198"/>
    </row>
    <row r="17502" spans="1:1" s="199" customFormat="1" ht="12" hidden="1" customHeight="1">
      <c r="A17502" s="198"/>
    </row>
    <row r="17503" spans="1:1" s="199" customFormat="1" ht="12" hidden="1" customHeight="1">
      <c r="A17503" s="198"/>
    </row>
    <row r="17504" spans="1:1" s="199" customFormat="1" ht="12" hidden="1" customHeight="1">
      <c r="A17504" s="198"/>
    </row>
    <row r="17505" spans="1:1" s="199" customFormat="1" ht="12" hidden="1" customHeight="1">
      <c r="A17505" s="198"/>
    </row>
    <row r="17506" spans="1:1" s="199" customFormat="1" ht="12" hidden="1" customHeight="1">
      <c r="A17506" s="198"/>
    </row>
    <row r="17507" spans="1:1" s="199" customFormat="1" ht="12" hidden="1" customHeight="1">
      <c r="A17507" s="198"/>
    </row>
    <row r="17508" spans="1:1" s="199" customFormat="1" ht="12" hidden="1" customHeight="1">
      <c r="A17508" s="198"/>
    </row>
    <row r="17509" spans="1:1" s="199" customFormat="1" ht="12" hidden="1" customHeight="1">
      <c r="A17509" s="198"/>
    </row>
    <row r="17510" spans="1:1" s="199" customFormat="1" ht="12" hidden="1" customHeight="1">
      <c r="A17510" s="198"/>
    </row>
    <row r="17511" spans="1:1" s="199" customFormat="1" ht="12" hidden="1" customHeight="1">
      <c r="A17511" s="198"/>
    </row>
    <row r="17512" spans="1:1" s="199" customFormat="1" ht="12" hidden="1" customHeight="1">
      <c r="A17512" s="198"/>
    </row>
    <row r="17513" spans="1:1" s="199" customFormat="1" ht="12" hidden="1" customHeight="1">
      <c r="A17513" s="198"/>
    </row>
    <row r="17514" spans="1:1" s="199" customFormat="1" ht="12" hidden="1" customHeight="1">
      <c r="A17514" s="198"/>
    </row>
    <row r="17515" spans="1:1" s="199" customFormat="1" ht="12" hidden="1" customHeight="1">
      <c r="A17515" s="198"/>
    </row>
    <row r="17516" spans="1:1" s="199" customFormat="1" ht="12" hidden="1" customHeight="1">
      <c r="A17516" s="198"/>
    </row>
    <row r="17517" spans="1:1" s="199" customFormat="1" ht="12" hidden="1" customHeight="1">
      <c r="A17517" s="198"/>
    </row>
    <row r="17518" spans="1:1" s="199" customFormat="1" ht="12" hidden="1" customHeight="1">
      <c r="A17518" s="198"/>
    </row>
    <row r="17519" spans="1:1" s="199" customFormat="1" ht="12" hidden="1" customHeight="1">
      <c r="A17519" s="198"/>
    </row>
    <row r="17520" spans="1:1" s="199" customFormat="1" ht="12" hidden="1" customHeight="1">
      <c r="A17520" s="198"/>
    </row>
    <row r="17521" spans="1:1" s="199" customFormat="1" ht="12" hidden="1" customHeight="1">
      <c r="A17521" s="198"/>
    </row>
    <row r="17522" spans="1:1" s="199" customFormat="1" ht="12" hidden="1" customHeight="1">
      <c r="A17522" s="198"/>
    </row>
    <row r="17523" spans="1:1" s="199" customFormat="1" ht="12" hidden="1" customHeight="1">
      <c r="A17523" s="198"/>
    </row>
    <row r="17524" spans="1:1" s="199" customFormat="1" ht="12" hidden="1" customHeight="1">
      <c r="A17524" s="198"/>
    </row>
    <row r="17525" spans="1:1" s="199" customFormat="1" ht="12" hidden="1" customHeight="1">
      <c r="A17525" s="198"/>
    </row>
    <row r="17526" spans="1:1" s="199" customFormat="1" ht="12" hidden="1" customHeight="1">
      <c r="A17526" s="198"/>
    </row>
    <row r="17527" spans="1:1" s="199" customFormat="1" ht="12" hidden="1" customHeight="1">
      <c r="A17527" s="198"/>
    </row>
    <row r="17528" spans="1:1" s="199" customFormat="1" ht="12" hidden="1" customHeight="1">
      <c r="A17528" s="198"/>
    </row>
    <row r="17529" spans="1:1" s="199" customFormat="1" ht="12" hidden="1" customHeight="1">
      <c r="A17529" s="198"/>
    </row>
    <row r="17530" spans="1:1" s="199" customFormat="1" ht="12" hidden="1" customHeight="1">
      <c r="A17530" s="198"/>
    </row>
    <row r="17531" spans="1:1" s="199" customFormat="1" ht="12" hidden="1" customHeight="1">
      <c r="A17531" s="198"/>
    </row>
    <row r="17532" spans="1:1" s="199" customFormat="1" ht="12" hidden="1" customHeight="1">
      <c r="A17532" s="198"/>
    </row>
    <row r="17533" spans="1:1" s="199" customFormat="1" ht="12" hidden="1" customHeight="1">
      <c r="A17533" s="198"/>
    </row>
    <row r="17534" spans="1:1" s="199" customFormat="1" ht="12" hidden="1" customHeight="1">
      <c r="A17534" s="198"/>
    </row>
    <row r="17535" spans="1:1" s="199" customFormat="1" ht="12" hidden="1" customHeight="1">
      <c r="A17535" s="198"/>
    </row>
    <row r="17536" spans="1:1" s="199" customFormat="1" ht="12" hidden="1" customHeight="1">
      <c r="A17536" s="198"/>
    </row>
    <row r="17537" spans="1:1" s="199" customFormat="1" ht="12" hidden="1" customHeight="1">
      <c r="A17537" s="198"/>
    </row>
    <row r="17538" spans="1:1" s="199" customFormat="1" ht="12" hidden="1" customHeight="1">
      <c r="A17538" s="198"/>
    </row>
    <row r="17539" spans="1:1" s="199" customFormat="1" ht="12" hidden="1" customHeight="1">
      <c r="A17539" s="198"/>
    </row>
    <row r="17540" spans="1:1" s="199" customFormat="1" ht="12" hidden="1" customHeight="1">
      <c r="A17540" s="198"/>
    </row>
    <row r="17541" spans="1:1" s="199" customFormat="1" ht="12" hidden="1" customHeight="1">
      <c r="A17541" s="198"/>
    </row>
    <row r="17542" spans="1:1" s="199" customFormat="1" ht="12" hidden="1" customHeight="1">
      <c r="A17542" s="198"/>
    </row>
    <row r="17543" spans="1:1" s="199" customFormat="1" ht="12" hidden="1" customHeight="1">
      <c r="A17543" s="198"/>
    </row>
    <row r="17544" spans="1:1" s="199" customFormat="1" ht="12" hidden="1" customHeight="1">
      <c r="A17544" s="198"/>
    </row>
    <row r="17545" spans="1:1" s="199" customFormat="1" ht="12" hidden="1" customHeight="1">
      <c r="A17545" s="198"/>
    </row>
    <row r="17546" spans="1:1" s="199" customFormat="1" ht="12" hidden="1" customHeight="1">
      <c r="A17546" s="198"/>
    </row>
    <row r="17547" spans="1:1" s="199" customFormat="1" ht="12" hidden="1" customHeight="1">
      <c r="A17547" s="198"/>
    </row>
    <row r="17548" spans="1:1" s="199" customFormat="1" ht="12" hidden="1" customHeight="1">
      <c r="A17548" s="198"/>
    </row>
    <row r="17549" spans="1:1" s="199" customFormat="1" ht="12" hidden="1" customHeight="1">
      <c r="A17549" s="198"/>
    </row>
    <row r="17550" spans="1:1" s="199" customFormat="1" ht="12" hidden="1" customHeight="1">
      <c r="A17550" s="198"/>
    </row>
    <row r="17551" spans="1:1" s="199" customFormat="1" ht="12" hidden="1" customHeight="1">
      <c r="A17551" s="198"/>
    </row>
    <row r="17552" spans="1:1" s="199" customFormat="1" ht="12" hidden="1" customHeight="1">
      <c r="A17552" s="198"/>
    </row>
    <row r="17553" spans="1:1" s="199" customFormat="1" ht="12" hidden="1" customHeight="1">
      <c r="A17553" s="198"/>
    </row>
    <row r="17554" spans="1:1" s="199" customFormat="1" ht="12" hidden="1" customHeight="1">
      <c r="A17554" s="198"/>
    </row>
    <row r="17555" spans="1:1" s="199" customFormat="1" ht="12" hidden="1" customHeight="1">
      <c r="A17555" s="198"/>
    </row>
    <row r="17556" spans="1:1" s="199" customFormat="1" ht="12" hidden="1" customHeight="1">
      <c r="A17556" s="198"/>
    </row>
    <row r="17557" spans="1:1" s="199" customFormat="1" ht="12" hidden="1" customHeight="1">
      <c r="A17557" s="198"/>
    </row>
    <row r="17558" spans="1:1" s="199" customFormat="1" ht="12" hidden="1" customHeight="1">
      <c r="A17558" s="198"/>
    </row>
    <row r="17559" spans="1:1" s="199" customFormat="1" ht="12" hidden="1" customHeight="1">
      <c r="A17559" s="198"/>
    </row>
    <row r="17560" spans="1:1" s="199" customFormat="1" ht="12" hidden="1" customHeight="1">
      <c r="A17560" s="198"/>
    </row>
    <row r="17561" spans="1:1" s="199" customFormat="1" ht="12" hidden="1" customHeight="1">
      <c r="A17561" s="198"/>
    </row>
    <row r="17562" spans="1:1" s="199" customFormat="1" ht="12" hidden="1" customHeight="1">
      <c r="A17562" s="198"/>
    </row>
    <row r="17563" spans="1:1" s="199" customFormat="1" ht="12" hidden="1" customHeight="1">
      <c r="A17563" s="198"/>
    </row>
    <row r="17564" spans="1:1" s="199" customFormat="1" ht="12" hidden="1" customHeight="1">
      <c r="A17564" s="198"/>
    </row>
    <row r="17565" spans="1:1" s="199" customFormat="1" ht="12" hidden="1" customHeight="1">
      <c r="A17565" s="198"/>
    </row>
    <row r="17566" spans="1:1" s="199" customFormat="1" ht="12" hidden="1" customHeight="1">
      <c r="A17566" s="198"/>
    </row>
    <row r="17567" spans="1:1" s="199" customFormat="1" ht="12" hidden="1" customHeight="1">
      <c r="A17567" s="198"/>
    </row>
    <row r="17568" spans="1:1" s="199" customFormat="1" ht="12" hidden="1" customHeight="1">
      <c r="A17568" s="198"/>
    </row>
    <row r="17569" spans="1:1" s="199" customFormat="1" ht="12" hidden="1" customHeight="1">
      <c r="A17569" s="198"/>
    </row>
    <row r="17570" spans="1:1" s="199" customFormat="1" ht="12" hidden="1" customHeight="1">
      <c r="A17570" s="198"/>
    </row>
    <row r="17571" spans="1:1" s="199" customFormat="1" ht="12" hidden="1" customHeight="1">
      <c r="A17571" s="198"/>
    </row>
    <row r="17572" spans="1:1" s="199" customFormat="1" ht="12" hidden="1" customHeight="1">
      <c r="A17572" s="198"/>
    </row>
    <row r="17573" spans="1:1" s="199" customFormat="1" ht="12" hidden="1" customHeight="1">
      <c r="A17573" s="198"/>
    </row>
    <row r="17574" spans="1:1" s="199" customFormat="1" ht="12" hidden="1" customHeight="1">
      <c r="A17574" s="198"/>
    </row>
    <row r="17575" spans="1:1" s="199" customFormat="1" ht="12" hidden="1" customHeight="1">
      <c r="A17575" s="198"/>
    </row>
    <row r="17576" spans="1:1" s="199" customFormat="1" ht="12" hidden="1" customHeight="1">
      <c r="A17576" s="198"/>
    </row>
    <row r="17577" spans="1:1" s="199" customFormat="1" ht="12" hidden="1" customHeight="1">
      <c r="A17577" s="198"/>
    </row>
    <row r="17578" spans="1:1" s="199" customFormat="1" ht="12" hidden="1" customHeight="1">
      <c r="A17578" s="198"/>
    </row>
    <row r="17579" spans="1:1" s="199" customFormat="1" ht="12" hidden="1" customHeight="1">
      <c r="A17579" s="198"/>
    </row>
    <row r="17580" spans="1:1" s="199" customFormat="1" ht="12" hidden="1" customHeight="1">
      <c r="A17580" s="198"/>
    </row>
    <row r="17581" spans="1:1" s="199" customFormat="1" ht="12" hidden="1" customHeight="1">
      <c r="A17581" s="198"/>
    </row>
    <row r="17582" spans="1:1" s="199" customFormat="1" ht="12" hidden="1" customHeight="1">
      <c r="A17582" s="198"/>
    </row>
    <row r="17583" spans="1:1" s="199" customFormat="1" ht="12" hidden="1" customHeight="1">
      <c r="A17583" s="198"/>
    </row>
    <row r="17584" spans="1:1" s="199" customFormat="1" ht="12" hidden="1" customHeight="1">
      <c r="A17584" s="198"/>
    </row>
    <row r="17585" spans="1:1" s="199" customFormat="1" ht="12" hidden="1" customHeight="1">
      <c r="A17585" s="198"/>
    </row>
    <row r="17586" spans="1:1" s="199" customFormat="1" ht="12" hidden="1" customHeight="1">
      <c r="A17586" s="198"/>
    </row>
    <row r="17587" spans="1:1" s="199" customFormat="1" ht="12" hidden="1" customHeight="1">
      <c r="A17587" s="198"/>
    </row>
    <row r="17588" spans="1:1" s="199" customFormat="1" ht="12" hidden="1" customHeight="1">
      <c r="A17588" s="198"/>
    </row>
    <row r="17589" spans="1:1" s="199" customFormat="1" ht="12" hidden="1" customHeight="1">
      <c r="A17589" s="198"/>
    </row>
    <row r="17590" spans="1:1" s="199" customFormat="1" ht="12" hidden="1" customHeight="1">
      <c r="A17590" s="198"/>
    </row>
    <row r="17591" spans="1:1" s="199" customFormat="1" ht="12" hidden="1" customHeight="1">
      <c r="A17591" s="198"/>
    </row>
    <row r="17592" spans="1:1" s="199" customFormat="1" ht="12" hidden="1" customHeight="1">
      <c r="A17592" s="198"/>
    </row>
    <row r="17593" spans="1:1" s="199" customFormat="1" ht="12" hidden="1" customHeight="1">
      <c r="A17593" s="198"/>
    </row>
    <row r="17594" spans="1:1" s="199" customFormat="1" ht="12" hidden="1" customHeight="1">
      <c r="A17594" s="198"/>
    </row>
    <row r="17595" spans="1:1" s="199" customFormat="1" ht="12" hidden="1" customHeight="1">
      <c r="A17595" s="198"/>
    </row>
    <row r="17596" spans="1:1" s="199" customFormat="1" ht="12" hidden="1" customHeight="1">
      <c r="A17596" s="198"/>
    </row>
    <row r="17597" spans="1:1" s="199" customFormat="1" ht="12" hidden="1" customHeight="1">
      <c r="A17597" s="198"/>
    </row>
    <row r="17598" spans="1:1" s="199" customFormat="1" ht="12" hidden="1" customHeight="1">
      <c r="A17598" s="198"/>
    </row>
    <row r="17599" spans="1:1" s="199" customFormat="1" ht="12" hidden="1" customHeight="1">
      <c r="A17599" s="198"/>
    </row>
    <row r="17600" spans="1:1" s="199" customFormat="1" ht="12" hidden="1" customHeight="1">
      <c r="A17600" s="198"/>
    </row>
    <row r="17601" spans="1:1" s="199" customFormat="1" ht="12" hidden="1" customHeight="1">
      <c r="A17601" s="198"/>
    </row>
    <row r="17602" spans="1:1" s="199" customFormat="1" ht="12" hidden="1" customHeight="1">
      <c r="A17602" s="198"/>
    </row>
    <row r="17603" spans="1:1" s="199" customFormat="1" ht="12" hidden="1" customHeight="1">
      <c r="A17603" s="198"/>
    </row>
    <row r="17604" spans="1:1" s="199" customFormat="1" ht="12" hidden="1" customHeight="1">
      <c r="A17604" s="198"/>
    </row>
    <row r="17605" spans="1:1" s="199" customFormat="1" ht="12" hidden="1" customHeight="1">
      <c r="A17605" s="198"/>
    </row>
    <row r="17606" spans="1:1" s="199" customFormat="1" ht="12" hidden="1" customHeight="1">
      <c r="A17606" s="198"/>
    </row>
    <row r="17607" spans="1:1" s="199" customFormat="1" ht="12" hidden="1" customHeight="1">
      <c r="A17607" s="198"/>
    </row>
    <row r="17608" spans="1:1" s="199" customFormat="1" ht="12" hidden="1" customHeight="1">
      <c r="A17608" s="198"/>
    </row>
    <row r="17609" spans="1:1" s="199" customFormat="1" ht="12" hidden="1" customHeight="1">
      <c r="A17609" s="198"/>
    </row>
    <row r="17610" spans="1:1" s="199" customFormat="1" ht="12" hidden="1" customHeight="1">
      <c r="A17610" s="198"/>
    </row>
    <row r="17611" spans="1:1" s="199" customFormat="1" ht="12" hidden="1" customHeight="1">
      <c r="A17611" s="198"/>
    </row>
    <row r="17612" spans="1:1" s="199" customFormat="1" ht="12" hidden="1" customHeight="1">
      <c r="A17612" s="198"/>
    </row>
    <row r="17613" spans="1:1" s="199" customFormat="1" ht="12" hidden="1" customHeight="1">
      <c r="A17613" s="198"/>
    </row>
    <row r="17614" spans="1:1" s="199" customFormat="1" ht="12" hidden="1" customHeight="1">
      <c r="A17614" s="198"/>
    </row>
    <row r="17615" spans="1:1" s="199" customFormat="1" ht="12" hidden="1" customHeight="1">
      <c r="A17615" s="198"/>
    </row>
    <row r="17616" spans="1:1" s="199" customFormat="1" ht="12" hidden="1" customHeight="1">
      <c r="A17616" s="198"/>
    </row>
    <row r="17617" spans="1:1" s="199" customFormat="1" ht="12" hidden="1" customHeight="1">
      <c r="A17617" s="198"/>
    </row>
    <row r="17618" spans="1:1" s="199" customFormat="1" ht="12" hidden="1" customHeight="1">
      <c r="A17618" s="198"/>
    </row>
    <row r="17619" spans="1:1" s="199" customFormat="1" ht="12" hidden="1" customHeight="1">
      <c r="A17619" s="198"/>
    </row>
    <row r="17620" spans="1:1" s="199" customFormat="1" ht="12" hidden="1" customHeight="1">
      <c r="A17620" s="198"/>
    </row>
    <row r="17621" spans="1:1" s="199" customFormat="1" ht="12" hidden="1" customHeight="1">
      <c r="A17621" s="198"/>
    </row>
    <row r="17622" spans="1:1" s="199" customFormat="1" ht="12" hidden="1" customHeight="1">
      <c r="A17622" s="198"/>
    </row>
    <row r="17623" spans="1:1" s="199" customFormat="1" ht="12" hidden="1" customHeight="1">
      <c r="A17623" s="198"/>
    </row>
    <row r="17624" spans="1:1" s="199" customFormat="1" ht="12" hidden="1" customHeight="1">
      <c r="A17624" s="198"/>
    </row>
    <row r="17625" spans="1:1" s="199" customFormat="1" ht="12" hidden="1" customHeight="1">
      <c r="A17625" s="198"/>
    </row>
    <row r="17626" spans="1:1" s="199" customFormat="1" ht="12" hidden="1" customHeight="1">
      <c r="A17626" s="198"/>
    </row>
    <row r="17627" spans="1:1" s="199" customFormat="1" ht="12" hidden="1" customHeight="1">
      <c r="A17627" s="198"/>
    </row>
    <row r="17628" spans="1:1" s="199" customFormat="1" ht="12" hidden="1" customHeight="1">
      <c r="A17628" s="198"/>
    </row>
    <row r="17629" spans="1:1" s="199" customFormat="1" ht="12" hidden="1" customHeight="1">
      <c r="A17629" s="198"/>
    </row>
    <row r="17630" spans="1:1" s="199" customFormat="1" ht="12" hidden="1" customHeight="1">
      <c r="A17630" s="198"/>
    </row>
    <row r="17631" spans="1:1" s="199" customFormat="1" ht="12" hidden="1" customHeight="1">
      <c r="A17631" s="198"/>
    </row>
    <row r="17632" spans="1:1" s="199" customFormat="1" ht="12" hidden="1" customHeight="1">
      <c r="A17632" s="198"/>
    </row>
    <row r="17633" spans="1:1" s="199" customFormat="1" ht="12" hidden="1" customHeight="1">
      <c r="A17633" s="198"/>
    </row>
    <row r="17634" spans="1:1" s="199" customFormat="1" ht="12" hidden="1" customHeight="1">
      <c r="A17634" s="198"/>
    </row>
    <row r="17635" spans="1:1" s="199" customFormat="1" ht="12" hidden="1" customHeight="1">
      <c r="A17635" s="198"/>
    </row>
    <row r="17636" spans="1:1" s="199" customFormat="1" ht="12" hidden="1" customHeight="1">
      <c r="A17636" s="198"/>
    </row>
    <row r="17637" spans="1:1" s="199" customFormat="1" ht="12" hidden="1" customHeight="1">
      <c r="A17637" s="198"/>
    </row>
    <row r="17638" spans="1:1" s="199" customFormat="1" ht="12" hidden="1" customHeight="1">
      <c r="A17638" s="198"/>
    </row>
    <row r="17639" spans="1:1" s="199" customFormat="1" ht="12" hidden="1" customHeight="1">
      <c r="A17639" s="198"/>
    </row>
    <row r="17640" spans="1:1" s="199" customFormat="1" ht="12" hidden="1" customHeight="1">
      <c r="A17640" s="198"/>
    </row>
    <row r="17641" spans="1:1" s="199" customFormat="1" ht="12" hidden="1" customHeight="1">
      <c r="A17641" s="198"/>
    </row>
    <row r="17642" spans="1:1" s="199" customFormat="1" ht="12" hidden="1" customHeight="1">
      <c r="A17642" s="198"/>
    </row>
    <row r="17643" spans="1:1" s="199" customFormat="1" ht="12" hidden="1" customHeight="1">
      <c r="A17643" s="198"/>
    </row>
    <row r="17644" spans="1:1" s="199" customFormat="1" ht="12" hidden="1" customHeight="1">
      <c r="A17644" s="198"/>
    </row>
    <row r="17645" spans="1:1" s="199" customFormat="1" ht="12" hidden="1" customHeight="1">
      <c r="A17645" s="198"/>
    </row>
    <row r="17646" spans="1:1" s="199" customFormat="1" ht="12" hidden="1" customHeight="1">
      <c r="A17646" s="198"/>
    </row>
    <row r="17647" spans="1:1" s="199" customFormat="1" ht="12" hidden="1" customHeight="1">
      <c r="A17647" s="198"/>
    </row>
    <row r="17648" spans="1:1" s="199" customFormat="1" ht="12" hidden="1" customHeight="1">
      <c r="A17648" s="198"/>
    </row>
    <row r="17649" spans="1:1" s="199" customFormat="1" ht="12" hidden="1" customHeight="1">
      <c r="A17649" s="198"/>
    </row>
    <row r="17650" spans="1:1" s="199" customFormat="1" ht="12" hidden="1" customHeight="1">
      <c r="A17650" s="198"/>
    </row>
    <row r="17651" spans="1:1" s="199" customFormat="1" ht="12" hidden="1" customHeight="1">
      <c r="A17651" s="198"/>
    </row>
    <row r="17652" spans="1:1" s="199" customFormat="1" ht="12" hidden="1" customHeight="1">
      <c r="A17652" s="198"/>
    </row>
    <row r="17653" spans="1:1" s="199" customFormat="1" ht="12" hidden="1" customHeight="1">
      <c r="A17653" s="198"/>
    </row>
    <row r="17654" spans="1:1" s="199" customFormat="1" ht="12" hidden="1" customHeight="1">
      <c r="A17654" s="198"/>
    </row>
    <row r="17655" spans="1:1" s="199" customFormat="1" ht="12" hidden="1" customHeight="1">
      <c r="A17655" s="198"/>
    </row>
    <row r="17656" spans="1:1" s="199" customFormat="1" ht="12" hidden="1" customHeight="1">
      <c r="A17656" s="198"/>
    </row>
    <row r="17657" spans="1:1" s="199" customFormat="1" ht="12" hidden="1" customHeight="1">
      <c r="A17657" s="198"/>
    </row>
    <row r="17658" spans="1:1" s="199" customFormat="1" ht="12" hidden="1" customHeight="1">
      <c r="A17658" s="198"/>
    </row>
    <row r="17659" spans="1:1" s="199" customFormat="1" ht="12" hidden="1" customHeight="1">
      <c r="A17659" s="198"/>
    </row>
    <row r="17660" spans="1:1" s="199" customFormat="1" ht="12" hidden="1" customHeight="1">
      <c r="A17660" s="198"/>
    </row>
    <row r="17661" spans="1:1" s="199" customFormat="1" ht="12" hidden="1" customHeight="1">
      <c r="A17661" s="198"/>
    </row>
    <row r="17662" spans="1:1" s="199" customFormat="1" ht="12" hidden="1" customHeight="1">
      <c r="A17662" s="198"/>
    </row>
    <row r="17663" spans="1:1" s="199" customFormat="1" ht="12" hidden="1" customHeight="1">
      <c r="A17663" s="198"/>
    </row>
    <row r="17664" spans="1:1" s="199" customFormat="1" ht="12" hidden="1" customHeight="1">
      <c r="A17664" s="198"/>
    </row>
    <row r="17665" spans="1:1" s="199" customFormat="1" ht="12" hidden="1" customHeight="1">
      <c r="A17665" s="198"/>
    </row>
    <row r="17666" spans="1:1" s="199" customFormat="1" ht="12" hidden="1" customHeight="1">
      <c r="A17666" s="198"/>
    </row>
    <row r="17667" spans="1:1" s="199" customFormat="1" ht="12" hidden="1" customHeight="1">
      <c r="A17667" s="198"/>
    </row>
    <row r="17668" spans="1:1" s="199" customFormat="1" ht="12" hidden="1" customHeight="1">
      <c r="A17668" s="198"/>
    </row>
    <row r="17669" spans="1:1" s="199" customFormat="1" ht="12" hidden="1" customHeight="1">
      <c r="A17669" s="198"/>
    </row>
    <row r="17670" spans="1:1" s="199" customFormat="1" ht="12" hidden="1" customHeight="1">
      <c r="A17670" s="198"/>
    </row>
    <row r="17671" spans="1:1" s="199" customFormat="1" ht="12" hidden="1" customHeight="1">
      <c r="A17671" s="198"/>
    </row>
    <row r="17672" spans="1:1" s="199" customFormat="1" ht="12" hidden="1" customHeight="1">
      <c r="A17672" s="198"/>
    </row>
    <row r="17673" spans="1:1" s="199" customFormat="1" ht="12" hidden="1" customHeight="1">
      <c r="A17673" s="198"/>
    </row>
    <row r="17674" spans="1:1" s="199" customFormat="1" ht="12" hidden="1" customHeight="1">
      <c r="A17674" s="198"/>
    </row>
    <row r="17675" spans="1:1" s="199" customFormat="1" ht="12" hidden="1" customHeight="1">
      <c r="A17675" s="198"/>
    </row>
    <row r="17676" spans="1:1" s="199" customFormat="1" ht="12" hidden="1" customHeight="1">
      <c r="A17676" s="198"/>
    </row>
    <row r="17677" spans="1:1" s="199" customFormat="1" ht="12" hidden="1" customHeight="1">
      <c r="A17677" s="198"/>
    </row>
    <row r="17678" spans="1:1" s="199" customFormat="1" ht="12" hidden="1" customHeight="1">
      <c r="A17678" s="198"/>
    </row>
    <row r="17679" spans="1:1" s="199" customFormat="1" ht="12" hidden="1" customHeight="1">
      <c r="A17679" s="198"/>
    </row>
    <row r="17680" spans="1:1" s="199" customFormat="1" ht="12" hidden="1" customHeight="1">
      <c r="A17680" s="198"/>
    </row>
    <row r="17681" spans="1:1" s="199" customFormat="1" ht="12" hidden="1" customHeight="1">
      <c r="A17681" s="198"/>
    </row>
    <row r="17682" spans="1:1" s="199" customFormat="1" ht="12" hidden="1" customHeight="1">
      <c r="A17682" s="198"/>
    </row>
    <row r="17683" spans="1:1" s="199" customFormat="1" ht="12" hidden="1" customHeight="1">
      <c r="A17683" s="198"/>
    </row>
    <row r="17684" spans="1:1" s="199" customFormat="1" ht="12" hidden="1" customHeight="1">
      <c r="A17684" s="198"/>
    </row>
    <row r="17685" spans="1:1" s="199" customFormat="1" ht="12" hidden="1" customHeight="1">
      <c r="A17685" s="198"/>
    </row>
    <row r="17686" spans="1:1" s="199" customFormat="1" ht="12" hidden="1" customHeight="1">
      <c r="A17686" s="198"/>
    </row>
    <row r="17687" spans="1:1" s="199" customFormat="1" ht="12" hidden="1" customHeight="1">
      <c r="A17687" s="198"/>
    </row>
    <row r="17688" spans="1:1" s="199" customFormat="1" ht="12" hidden="1" customHeight="1">
      <c r="A17688" s="198"/>
    </row>
    <row r="17689" spans="1:1" s="199" customFormat="1" ht="12" hidden="1" customHeight="1">
      <c r="A17689" s="198"/>
    </row>
    <row r="17690" spans="1:1" s="199" customFormat="1" ht="12" hidden="1" customHeight="1">
      <c r="A17690" s="198"/>
    </row>
    <row r="17691" spans="1:1" s="199" customFormat="1" ht="12" hidden="1" customHeight="1">
      <c r="A17691" s="198"/>
    </row>
    <row r="17692" spans="1:1" s="199" customFormat="1" ht="12" hidden="1" customHeight="1">
      <c r="A17692" s="198"/>
    </row>
    <row r="17693" spans="1:1" s="199" customFormat="1" ht="12" hidden="1" customHeight="1">
      <c r="A17693" s="198"/>
    </row>
    <row r="17694" spans="1:1" s="199" customFormat="1" ht="12" hidden="1" customHeight="1">
      <c r="A17694" s="198"/>
    </row>
    <row r="17695" spans="1:1" s="199" customFormat="1" ht="12" hidden="1" customHeight="1">
      <c r="A17695" s="198"/>
    </row>
    <row r="17696" spans="1:1" s="199" customFormat="1" ht="12" hidden="1" customHeight="1">
      <c r="A17696" s="198"/>
    </row>
    <row r="17697" spans="1:1" s="199" customFormat="1" ht="12" hidden="1" customHeight="1">
      <c r="A17697" s="198"/>
    </row>
    <row r="17698" spans="1:1" s="199" customFormat="1" ht="12" hidden="1" customHeight="1">
      <c r="A17698" s="198"/>
    </row>
    <row r="17699" spans="1:1" s="199" customFormat="1" ht="12" hidden="1" customHeight="1">
      <c r="A17699" s="198"/>
    </row>
    <row r="17700" spans="1:1" s="199" customFormat="1" ht="12" hidden="1" customHeight="1">
      <c r="A17700" s="198"/>
    </row>
    <row r="17701" spans="1:1" s="199" customFormat="1" ht="12" hidden="1" customHeight="1">
      <c r="A17701" s="198"/>
    </row>
    <row r="17702" spans="1:1" s="199" customFormat="1" ht="12" hidden="1" customHeight="1">
      <c r="A17702" s="198"/>
    </row>
    <row r="17703" spans="1:1" s="199" customFormat="1" ht="12" hidden="1" customHeight="1">
      <c r="A17703" s="198"/>
    </row>
    <row r="17704" spans="1:1" s="199" customFormat="1" ht="12" hidden="1" customHeight="1">
      <c r="A17704" s="198"/>
    </row>
    <row r="17705" spans="1:1" s="199" customFormat="1" ht="12" hidden="1" customHeight="1">
      <c r="A17705" s="198"/>
    </row>
    <row r="17706" spans="1:1" s="199" customFormat="1" ht="12" hidden="1" customHeight="1">
      <c r="A17706" s="198"/>
    </row>
    <row r="17707" spans="1:1" s="199" customFormat="1" ht="12" hidden="1" customHeight="1">
      <c r="A17707" s="198"/>
    </row>
    <row r="17708" spans="1:1" s="199" customFormat="1" ht="12" hidden="1" customHeight="1">
      <c r="A17708" s="198"/>
    </row>
    <row r="17709" spans="1:1" s="199" customFormat="1" ht="12" hidden="1" customHeight="1">
      <c r="A17709" s="198"/>
    </row>
    <row r="17710" spans="1:1" s="199" customFormat="1" ht="12" hidden="1" customHeight="1">
      <c r="A17710" s="198"/>
    </row>
    <row r="17711" spans="1:1" s="199" customFormat="1" ht="12" hidden="1" customHeight="1">
      <c r="A17711" s="198"/>
    </row>
    <row r="17712" spans="1:1" s="199" customFormat="1" ht="12" hidden="1" customHeight="1">
      <c r="A17712" s="198"/>
    </row>
    <row r="17713" spans="1:1" s="199" customFormat="1" ht="12" hidden="1" customHeight="1">
      <c r="A17713" s="198"/>
    </row>
    <row r="17714" spans="1:1" s="199" customFormat="1" ht="12" hidden="1" customHeight="1">
      <c r="A17714" s="198"/>
    </row>
    <row r="17715" spans="1:1" s="199" customFormat="1" ht="12" hidden="1" customHeight="1">
      <c r="A17715" s="198"/>
    </row>
    <row r="17716" spans="1:1" s="199" customFormat="1" ht="12" hidden="1" customHeight="1">
      <c r="A17716" s="198"/>
    </row>
    <row r="17717" spans="1:1" s="199" customFormat="1" ht="12" hidden="1" customHeight="1">
      <c r="A17717" s="198"/>
    </row>
    <row r="17718" spans="1:1" s="199" customFormat="1" ht="12" hidden="1" customHeight="1">
      <c r="A17718" s="198"/>
    </row>
    <row r="17719" spans="1:1" s="199" customFormat="1" ht="12" hidden="1" customHeight="1">
      <c r="A17719" s="198"/>
    </row>
    <row r="17720" spans="1:1" s="199" customFormat="1" ht="12" hidden="1" customHeight="1">
      <c r="A17720" s="198"/>
    </row>
    <row r="17721" spans="1:1" s="199" customFormat="1" ht="12" hidden="1" customHeight="1">
      <c r="A17721" s="198"/>
    </row>
    <row r="17722" spans="1:1" s="199" customFormat="1" ht="12" hidden="1" customHeight="1">
      <c r="A17722" s="198"/>
    </row>
    <row r="17723" spans="1:1" s="199" customFormat="1" ht="12" hidden="1" customHeight="1">
      <c r="A17723" s="198"/>
    </row>
    <row r="17724" spans="1:1" s="199" customFormat="1" ht="12" hidden="1" customHeight="1">
      <c r="A17724" s="198"/>
    </row>
    <row r="17725" spans="1:1" s="199" customFormat="1" ht="12" hidden="1" customHeight="1">
      <c r="A17725" s="198"/>
    </row>
    <row r="17726" spans="1:1" s="199" customFormat="1" ht="12" hidden="1" customHeight="1">
      <c r="A17726" s="198"/>
    </row>
    <row r="17727" spans="1:1" s="199" customFormat="1" ht="12" hidden="1" customHeight="1">
      <c r="A17727" s="198"/>
    </row>
    <row r="17728" spans="1:1" s="199" customFormat="1" ht="12" hidden="1" customHeight="1">
      <c r="A17728" s="198"/>
    </row>
    <row r="17729" spans="1:1" s="199" customFormat="1" ht="12" hidden="1" customHeight="1">
      <c r="A17729" s="198"/>
    </row>
    <row r="17730" spans="1:1" s="199" customFormat="1" ht="12" hidden="1" customHeight="1">
      <c r="A17730" s="198"/>
    </row>
    <row r="17731" spans="1:1" s="199" customFormat="1" ht="12" hidden="1" customHeight="1">
      <c r="A17731" s="198"/>
    </row>
    <row r="17732" spans="1:1" s="199" customFormat="1" ht="12" hidden="1" customHeight="1">
      <c r="A17732" s="198"/>
    </row>
    <row r="17733" spans="1:1" s="199" customFormat="1" ht="12" hidden="1" customHeight="1">
      <c r="A17733" s="198"/>
    </row>
    <row r="17734" spans="1:1" s="199" customFormat="1" ht="12" hidden="1" customHeight="1">
      <c r="A17734" s="198"/>
    </row>
    <row r="17735" spans="1:1" s="199" customFormat="1" ht="12" hidden="1" customHeight="1">
      <c r="A17735" s="198"/>
    </row>
    <row r="17736" spans="1:1" s="199" customFormat="1" ht="12" hidden="1" customHeight="1">
      <c r="A17736" s="198"/>
    </row>
    <row r="17737" spans="1:1" s="199" customFormat="1" ht="12" hidden="1" customHeight="1">
      <c r="A17737" s="198"/>
    </row>
    <row r="17738" spans="1:1" s="199" customFormat="1" ht="12" hidden="1" customHeight="1">
      <c r="A17738" s="198"/>
    </row>
    <row r="17739" spans="1:1" s="199" customFormat="1" ht="12" hidden="1" customHeight="1">
      <c r="A17739" s="198"/>
    </row>
    <row r="17740" spans="1:1" s="199" customFormat="1" ht="12" hidden="1" customHeight="1">
      <c r="A17740" s="198"/>
    </row>
    <row r="17741" spans="1:1" s="199" customFormat="1" ht="12" hidden="1" customHeight="1">
      <c r="A17741" s="198"/>
    </row>
    <row r="17742" spans="1:1" s="199" customFormat="1" ht="12" hidden="1" customHeight="1">
      <c r="A17742" s="198"/>
    </row>
    <row r="17743" spans="1:1" s="199" customFormat="1" ht="12" hidden="1" customHeight="1">
      <c r="A17743" s="198"/>
    </row>
    <row r="17744" spans="1:1" s="199" customFormat="1" ht="12" hidden="1" customHeight="1">
      <c r="A17744" s="198"/>
    </row>
    <row r="17745" spans="1:1" s="199" customFormat="1" ht="12" hidden="1" customHeight="1">
      <c r="A17745" s="198"/>
    </row>
    <row r="17746" spans="1:1" s="199" customFormat="1" ht="12" hidden="1" customHeight="1">
      <c r="A17746" s="198"/>
    </row>
    <row r="17747" spans="1:1" s="199" customFormat="1" ht="12" hidden="1" customHeight="1">
      <c r="A17747" s="198"/>
    </row>
    <row r="17748" spans="1:1" s="199" customFormat="1" ht="12" hidden="1" customHeight="1">
      <c r="A17748" s="198"/>
    </row>
    <row r="17749" spans="1:1" s="199" customFormat="1" ht="12" hidden="1" customHeight="1">
      <c r="A17749" s="198"/>
    </row>
    <row r="17750" spans="1:1" s="199" customFormat="1" ht="12" hidden="1" customHeight="1">
      <c r="A17750" s="198"/>
    </row>
    <row r="17751" spans="1:1" s="199" customFormat="1" ht="12" hidden="1" customHeight="1">
      <c r="A17751" s="198"/>
    </row>
    <row r="17752" spans="1:1" s="199" customFormat="1" ht="12" hidden="1" customHeight="1">
      <c r="A17752" s="198"/>
    </row>
    <row r="17753" spans="1:1" s="199" customFormat="1" ht="12" hidden="1" customHeight="1">
      <c r="A17753" s="198"/>
    </row>
    <row r="17754" spans="1:1" s="199" customFormat="1" ht="12" hidden="1" customHeight="1">
      <c r="A17754" s="198"/>
    </row>
    <row r="17755" spans="1:1" s="199" customFormat="1" ht="12" hidden="1" customHeight="1">
      <c r="A17755" s="198"/>
    </row>
    <row r="17756" spans="1:1" s="199" customFormat="1" ht="12" hidden="1" customHeight="1">
      <c r="A17756" s="198"/>
    </row>
    <row r="17757" spans="1:1" s="199" customFormat="1" ht="12" hidden="1" customHeight="1">
      <c r="A17757" s="198"/>
    </row>
    <row r="17758" spans="1:1" s="199" customFormat="1" ht="12" hidden="1" customHeight="1">
      <c r="A17758" s="198"/>
    </row>
    <row r="17759" spans="1:1" s="199" customFormat="1" ht="12" hidden="1" customHeight="1">
      <c r="A17759" s="198"/>
    </row>
    <row r="17760" spans="1:1" s="199" customFormat="1" ht="12" hidden="1" customHeight="1">
      <c r="A17760" s="198"/>
    </row>
    <row r="17761" spans="1:1" s="199" customFormat="1" ht="12" hidden="1" customHeight="1">
      <c r="A17761" s="198"/>
    </row>
    <row r="17762" spans="1:1" s="199" customFormat="1" ht="12" hidden="1" customHeight="1">
      <c r="A17762" s="198"/>
    </row>
    <row r="17763" spans="1:1" s="199" customFormat="1" ht="12" hidden="1" customHeight="1">
      <c r="A17763" s="198"/>
    </row>
    <row r="17764" spans="1:1" s="199" customFormat="1" ht="12" hidden="1" customHeight="1">
      <c r="A17764" s="198"/>
    </row>
    <row r="17765" spans="1:1" s="199" customFormat="1" ht="12" hidden="1" customHeight="1">
      <c r="A17765" s="198"/>
    </row>
    <row r="17766" spans="1:1" s="199" customFormat="1" ht="12" hidden="1" customHeight="1">
      <c r="A17766" s="198"/>
    </row>
    <row r="17767" spans="1:1" s="199" customFormat="1" ht="12" hidden="1" customHeight="1">
      <c r="A17767" s="198"/>
    </row>
    <row r="17768" spans="1:1" s="199" customFormat="1" ht="12" hidden="1" customHeight="1">
      <c r="A17768" s="198"/>
    </row>
    <row r="17769" spans="1:1" s="199" customFormat="1" ht="12" hidden="1" customHeight="1">
      <c r="A17769" s="198"/>
    </row>
    <row r="17770" spans="1:1" s="199" customFormat="1" ht="12" hidden="1" customHeight="1">
      <c r="A17770" s="198"/>
    </row>
    <row r="17771" spans="1:1" s="199" customFormat="1" ht="12" hidden="1" customHeight="1">
      <c r="A17771" s="198"/>
    </row>
    <row r="17772" spans="1:1" s="199" customFormat="1" ht="12" hidden="1" customHeight="1">
      <c r="A17772" s="198"/>
    </row>
    <row r="17773" spans="1:1" s="199" customFormat="1" ht="12" hidden="1" customHeight="1">
      <c r="A17773" s="198"/>
    </row>
    <row r="17774" spans="1:1" s="199" customFormat="1" ht="12" hidden="1" customHeight="1">
      <c r="A17774" s="198"/>
    </row>
    <row r="17775" spans="1:1" s="199" customFormat="1" ht="12" hidden="1" customHeight="1">
      <c r="A17775" s="198"/>
    </row>
    <row r="17776" spans="1:1" s="199" customFormat="1" ht="12" hidden="1" customHeight="1">
      <c r="A17776" s="198"/>
    </row>
    <row r="17777" spans="1:1" s="199" customFormat="1" ht="12" hidden="1" customHeight="1">
      <c r="A17777" s="198"/>
    </row>
    <row r="17778" spans="1:1" s="199" customFormat="1" ht="12" hidden="1" customHeight="1">
      <c r="A17778" s="198"/>
    </row>
    <row r="17779" spans="1:1" s="199" customFormat="1" ht="12" hidden="1" customHeight="1">
      <c r="A17779" s="198"/>
    </row>
    <row r="17780" spans="1:1" s="199" customFormat="1" ht="12" hidden="1" customHeight="1">
      <c r="A17780" s="198"/>
    </row>
    <row r="17781" spans="1:1" s="199" customFormat="1" ht="12" hidden="1" customHeight="1">
      <c r="A17781" s="198"/>
    </row>
    <row r="17782" spans="1:1" s="199" customFormat="1" ht="12" hidden="1" customHeight="1">
      <c r="A17782" s="198"/>
    </row>
    <row r="17783" spans="1:1" s="199" customFormat="1" ht="12" hidden="1" customHeight="1">
      <c r="A17783" s="198"/>
    </row>
    <row r="17784" spans="1:1" s="199" customFormat="1" ht="12" hidden="1" customHeight="1">
      <c r="A17784" s="198"/>
    </row>
    <row r="17785" spans="1:1" s="199" customFormat="1" ht="12" hidden="1" customHeight="1">
      <c r="A17785" s="198"/>
    </row>
    <row r="17786" spans="1:1" s="199" customFormat="1" ht="12" hidden="1" customHeight="1">
      <c r="A17786" s="198"/>
    </row>
    <row r="17787" spans="1:1" s="199" customFormat="1" ht="12" hidden="1" customHeight="1">
      <c r="A17787" s="198"/>
    </row>
    <row r="17788" spans="1:1" s="199" customFormat="1" ht="12" hidden="1" customHeight="1">
      <c r="A17788" s="198"/>
    </row>
    <row r="17789" spans="1:1" s="199" customFormat="1" ht="12" hidden="1" customHeight="1">
      <c r="A17789" s="198"/>
    </row>
    <row r="17790" spans="1:1" s="199" customFormat="1" ht="12" hidden="1" customHeight="1">
      <c r="A17790" s="198"/>
    </row>
    <row r="17791" spans="1:1" s="199" customFormat="1" ht="12" hidden="1" customHeight="1">
      <c r="A17791" s="198"/>
    </row>
    <row r="17792" spans="1:1" s="199" customFormat="1" ht="12" hidden="1" customHeight="1">
      <c r="A17792" s="198"/>
    </row>
    <row r="17793" spans="1:1" s="199" customFormat="1" ht="12" hidden="1" customHeight="1">
      <c r="A17793" s="198"/>
    </row>
    <row r="17794" spans="1:1" s="199" customFormat="1" ht="12" hidden="1" customHeight="1">
      <c r="A17794" s="198"/>
    </row>
    <row r="17795" spans="1:1" s="199" customFormat="1" ht="12" hidden="1" customHeight="1">
      <c r="A17795" s="198"/>
    </row>
    <row r="17796" spans="1:1" s="199" customFormat="1" ht="12" hidden="1" customHeight="1">
      <c r="A17796" s="198"/>
    </row>
    <row r="17797" spans="1:1" s="199" customFormat="1" ht="12" hidden="1" customHeight="1">
      <c r="A17797" s="198"/>
    </row>
    <row r="17798" spans="1:1" s="199" customFormat="1" ht="12" hidden="1" customHeight="1">
      <c r="A17798" s="198"/>
    </row>
    <row r="17799" spans="1:1" s="199" customFormat="1" ht="12" hidden="1" customHeight="1">
      <c r="A17799" s="198"/>
    </row>
    <row r="17800" spans="1:1" s="199" customFormat="1" ht="12" hidden="1" customHeight="1">
      <c r="A17800" s="198"/>
    </row>
    <row r="17801" spans="1:1" s="199" customFormat="1" ht="12" hidden="1" customHeight="1">
      <c r="A17801" s="198"/>
    </row>
    <row r="17802" spans="1:1" s="199" customFormat="1" ht="12" hidden="1" customHeight="1">
      <c r="A17802" s="198"/>
    </row>
    <row r="17803" spans="1:1" s="199" customFormat="1" ht="12" hidden="1" customHeight="1">
      <c r="A17803" s="198"/>
    </row>
    <row r="17804" spans="1:1" s="199" customFormat="1" ht="12" hidden="1" customHeight="1">
      <c r="A17804" s="198"/>
    </row>
    <row r="17805" spans="1:1" s="199" customFormat="1" ht="12" hidden="1" customHeight="1">
      <c r="A17805" s="198"/>
    </row>
    <row r="17806" spans="1:1" s="199" customFormat="1" ht="12" hidden="1" customHeight="1">
      <c r="A17806" s="198"/>
    </row>
    <row r="17807" spans="1:1" s="199" customFormat="1" ht="12" hidden="1" customHeight="1">
      <c r="A17807" s="198"/>
    </row>
    <row r="17808" spans="1:1" s="199" customFormat="1" ht="12" hidden="1" customHeight="1">
      <c r="A17808" s="198"/>
    </row>
    <row r="17809" spans="1:1" s="199" customFormat="1" ht="12" hidden="1" customHeight="1">
      <c r="A17809" s="198"/>
    </row>
    <row r="17810" spans="1:1" s="199" customFormat="1" ht="12" hidden="1" customHeight="1">
      <c r="A17810" s="198"/>
    </row>
    <row r="17811" spans="1:1" s="199" customFormat="1" ht="12" hidden="1" customHeight="1">
      <c r="A17811" s="198"/>
    </row>
    <row r="17812" spans="1:1" s="199" customFormat="1" ht="12" hidden="1" customHeight="1">
      <c r="A17812" s="198"/>
    </row>
    <row r="17813" spans="1:1" s="199" customFormat="1" ht="12" hidden="1" customHeight="1">
      <c r="A17813" s="198"/>
    </row>
    <row r="17814" spans="1:1" s="199" customFormat="1" ht="12" hidden="1" customHeight="1">
      <c r="A17814" s="198"/>
    </row>
    <row r="17815" spans="1:1" s="199" customFormat="1" ht="12" hidden="1" customHeight="1">
      <c r="A17815" s="198"/>
    </row>
    <row r="17816" spans="1:1" s="199" customFormat="1" ht="12" hidden="1" customHeight="1">
      <c r="A17816" s="198"/>
    </row>
    <row r="17817" spans="1:1" s="199" customFormat="1" ht="12" hidden="1" customHeight="1">
      <c r="A17817" s="198"/>
    </row>
    <row r="17818" spans="1:1" s="199" customFormat="1" ht="12" hidden="1" customHeight="1">
      <c r="A17818" s="198"/>
    </row>
    <row r="17819" spans="1:1" s="199" customFormat="1" ht="12" hidden="1" customHeight="1">
      <c r="A17819" s="198"/>
    </row>
    <row r="17820" spans="1:1" s="199" customFormat="1" ht="12" hidden="1" customHeight="1">
      <c r="A17820" s="198"/>
    </row>
    <row r="17821" spans="1:1" s="199" customFormat="1" ht="12" hidden="1" customHeight="1">
      <c r="A17821" s="198"/>
    </row>
    <row r="17822" spans="1:1" s="199" customFormat="1" ht="12" hidden="1" customHeight="1">
      <c r="A17822" s="198"/>
    </row>
    <row r="17823" spans="1:1" s="199" customFormat="1" ht="12" hidden="1" customHeight="1">
      <c r="A17823" s="198"/>
    </row>
    <row r="17824" spans="1:1" s="199" customFormat="1" ht="12" hidden="1" customHeight="1">
      <c r="A17824" s="198"/>
    </row>
    <row r="17825" spans="1:1" s="199" customFormat="1" ht="12" hidden="1" customHeight="1">
      <c r="A17825" s="198"/>
    </row>
    <row r="17826" spans="1:1" s="199" customFormat="1" ht="12" hidden="1" customHeight="1">
      <c r="A17826" s="198"/>
    </row>
    <row r="17827" spans="1:1" s="199" customFormat="1" ht="12" hidden="1" customHeight="1">
      <c r="A17827" s="198"/>
    </row>
    <row r="17828" spans="1:1" s="199" customFormat="1" ht="12" hidden="1" customHeight="1">
      <c r="A17828" s="198"/>
    </row>
    <row r="17829" spans="1:1" s="199" customFormat="1" ht="12" hidden="1" customHeight="1">
      <c r="A17829" s="198"/>
    </row>
    <row r="17830" spans="1:1" s="199" customFormat="1" ht="12" hidden="1" customHeight="1">
      <c r="A17830" s="198"/>
    </row>
    <row r="17831" spans="1:1" s="199" customFormat="1" ht="12" hidden="1" customHeight="1">
      <c r="A17831" s="198"/>
    </row>
    <row r="17832" spans="1:1" s="199" customFormat="1" ht="12" hidden="1" customHeight="1">
      <c r="A17832" s="198"/>
    </row>
    <row r="17833" spans="1:1" s="199" customFormat="1" ht="12" hidden="1" customHeight="1">
      <c r="A17833" s="198"/>
    </row>
    <row r="17834" spans="1:1" s="199" customFormat="1" ht="12" hidden="1" customHeight="1">
      <c r="A17834" s="198"/>
    </row>
    <row r="17835" spans="1:1" s="199" customFormat="1" ht="12" hidden="1" customHeight="1">
      <c r="A17835" s="198"/>
    </row>
    <row r="17836" spans="1:1" s="199" customFormat="1" ht="12" hidden="1" customHeight="1">
      <c r="A17836" s="198"/>
    </row>
    <row r="17837" spans="1:1" s="199" customFormat="1" ht="12" hidden="1" customHeight="1">
      <c r="A17837" s="198"/>
    </row>
    <row r="17838" spans="1:1" s="199" customFormat="1" ht="12" hidden="1" customHeight="1">
      <c r="A17838" s="198"/>
    </row>
    <row r="17839" spans="1:1" s="199" customFormat="1" ht="12" hidden="1" customHeight="1">
      <c r="A17839" s="198"/>
    </row>
    <row r="17840" spans="1:1" s="199" customFormat="1" ht="12" hidden="1" customHeight="1">
      <c r="A17840" s="198"/>
    </row>
    <row r="17841" spans="1:1" s="199" customFormat="1" ht="12" hidden="1" customHeight="1">
      <c r="A17841" s="198"/>
    </row>
    <row r="17842" spans="1:1" s="199" customFormat="1" ht="12" hidden="1" customHeight="1">
      <c r="A17842" s="198"/>
    </row>
    <row r="17843" spans="1:1" s="199" customFormat="1" ht="12" hidden="1" customHeight="1">
      <c r="A17843" s="198"/>
    </row>
    <row r="17844" spans="1:1" s="199" customFormat="1" ht="12" hidden="1" customHeight="1">
      <c r="A17844" s="198"/>
    </row>
    <row r="17845" spans="1:1" s="199" customFormat="1" ht="12" hidden="1" customHeight="1">
      <c r="A17845" s="198"/>
    </row>
    <row r="17846" spans="1:1" s="199" customFormat="1" ht="12" hidden="1" customHeight="1">
      <c r="A17846" s="198"/>
    </row>
    <row r="17847" spans="1:1" s="199" customFormat="1" ht="12" hidden="1" customHeight="1">
      <c r="A17847" s="198"/>
    </row>
    <row r="17848" spans="1:1" s="199" customFormat="1" ht="12" hidden="1" customHeight="1">
      <c r="A17848" s="198"/>
    </row>
    <row r="17849" spans="1:1" s="199" customFormat="1" ht="12" hidden="1" customHeight="1">
      <c r="A17849" s="198"/>
    </row>
    <row r="17850" spans="1:1" s="199" customFormat="1" ht="12" hidden="1" customHeight="1">
      <c r="A17850" s="198"/>
    </row>
    <row r="17851" spans="1:1" s="199" customFormat="1" ht="12" hidden="1" customHeight="1">
      <c r="A17851" s="198"/>
    </row>
    <row r="17852" spans="1:1" s="199" customFormat="1" ht="12" hidden="1" customHeight="1">
      <c r="A17852" s="198"/>
    </row>
    <row r="17853" spans="1:1" s="199" customFormat="1" ht="12" hidden="1" customHeight="1">
      <c r="A17853" s="198"/>
    </row>
    <row r="17854" spans="1:1" s="199" customFormat="1" ht="12" hidden="1" customHeight="1">
      <c r="A17854" s="198"/>
    </row>
    <row r="17855" spans="1:1" s="199" customFormat="1" ht="12" hidden="1" customHeight="1">
      <c r="A17855" s="198"/>
    </row>
    <row r="17856" spans="1:1" s="199" customFormat="1" ht="12" hidden="1" customHeight="1">
      <c r="A17856" s="198"/>
    </row>
    <row r="17857" spans="1:1" s="199" customFormat="1" ht="12" hidden="1" customHeight="1">
      <c r="A17857" s="198"/>
    </row>
    <row r="17858" spans="1:1" s="199" customFormat="1" ht="12" hidden="1" customHeight="1">
      <c r="A17858" s="198"/>
    </row>
    <row r="17859" spans="1:1" s="199" customFormat="1" ht="12" hidden="1" customHeight="1">
      <c r="A17859" s="198"/>
    </row>
    <row r="17860" spans="1:1" s="199" customFormat="1" ht="12" hidden="1" customHeight="1">
      <c r="A17860" s="198"/>
    </row>
    <row r="17861" spans="1:1" s="199" customFormat="1" ht="12" hidden="1" customHeight="1">
      <c r="A17861" s="198"/>
    </row>
    <row r="17862" spans="1:1" s="199" customFormat="1" ht="12" hidden="1" customHeight="1">
      <c r="A17862" s="198"/>
    </row>
    <row r="17863" spans="1:1" s="199" customFormat="1" ht="12" hidden="1" customHeight="1">
      <c r="A17863" s="198"/>
    </row>
    <row r="17864" spans="1:1" s="199" customFormat="1" ht="12" hidden="1" customHeight="1">
      <c r="A17864" s="198"/>
    </row>
    <row r="17865" spans="1:1" s="199" customFormat="1" ht="12" hidden="1" customHeight="1">
      <c r="A17865" s="198"/>
    </row>
    <row r="17866" spans="1:1" s="199" customFormat="1" ht="12" hidden="1" customHeight="1">
      <c r="A17866" s="198"/>
    </row>
    <row r="17867" spans="1:1" s="199" customFormat="1" ht="12" hidden="1" customHeight="1">
      <c r="A17867" s="198"/>
    </row>
    <row r="17868" spans="1:1" s="199" customFormat="1" ht="12" hidden="1" customHeight="1">
      <c r="A17868" s="198"/>
    </row>
    <row r="17869" spans="1:1" s="199" customFormat="1" ht="12" hidden="1" customHeight="1">
      <c r="A17869" s="198"/>
    </row>
    <row r="17870" spans="1:1" s="199" customFormat="1" ht="12" hidden="1" customHeight="1">
      <c r="A17870" s="198"/>
    </row>
    <row r="17871" spans="1:1" s="199" customFormat="1" ht="12" hidden="1" customHeight="1">
      <c r="A17871" s="198"/>
    </row>
    <row r="17872" spans="1:1" s="199" customFormat="1" ht="12" hidden="1" customHeight="1">
      <c r="A17872" s="198"/>
    </row>
    <row r="17873" spans="1:1" s="199" customFormat="1" ht="12" hidden="1" customHeight="1">
      <c r="A17873" s="198"/>
    </row>
    <row r="17874" spans="1:1" s="199" customFormat="1" ht="12" hidden="1" customHeight="1">
      <c r="A17874" s="198"/>
    </row>
    <row r="17875" spans="1:1" s="199" customFormat="1" ht="12" hidden="1" customHeight="1">
      <c r="A17875" s="198"/>
    </row>
    <row r="17876" spans="1:1" s="199" customFormat="1" ht="12" hidden="1" customHeight="1">
      <c r="A17876" s="198"/>
    </row>
    <row r="17877" spans="1:1" s="199" customFormat="1" ht="12" hidden="1" customHeight="1">
      <c r="A17877" s="198"/>
    </row>
    <row r="17878" spans="1:1" s="199" customFormat="1" ht="12" hidden="1" customHeight="1">
      <c r="A17878" s="198"/>
    </row>
    <row r="17879" spans="1:1" s="199" customFormat="1" ht="12" hidden="1" customHeight="1">
      <c r="A17879" s="198"/>
    </row>
    <row r="17880" spans="1:1" s="199" customFormat="1" ht="12" hidden="1" customHeight="1">
      <c r="A17880" s="198"/>
    </row>
    <row r="17881" spans="1:1" s="199" customFormat="1" ht="12" hidden="1" customHeight="1">
      <c r="A17881" s="198"/>
    </row>
    <row r="17882" spans="1:1" s="199" customFormat="1" ht="12" hidden="1" customHeight="1">
      <c r="A17882" s="198"/>
    </row>
    <row r="17883" spans="1:1" s="199" customFormat="1" ht="12" hidden="1" customHeight="1">
      <c r="A17883" s="198"/>
    </row>
    <row r="17884" spans="1:1" s="199" customFormat="1" ht="12" hidden="1" customHeight="1">
      <c r="A17884" s="198"/>
    </row>
    <row r="17885" spans="1:1" s="199" customFormat="1" ht="12" hidden="1" customHeight="1">
      <c r="A17885" s="198"/>
    </row>
    <row r="17886" spans="1:1" s="199" customFormat="1" ht="12" hidden="1" customHeight="1">
      <c r="A17886" s="198"/>
    </row>
    <row r="17887" spans="1:1" s="199" customFormat="1" ht="12" hidden="1" customHeight="1">
      <c r="A17887" s="198"/>
    </row>
    <row r="17888" spans="1:1" s="199" customFormat="1" ht="12" hidden="1" customHeight="1">
      <c r="A17888" s="198"/>
    </row>
    <row r="17889" spans="1:1" s="199" customFormat="1" ht="12" hidden="1" customHeight="1">
      <c r="A17889" s="198"/>
    </row>
    <row r="17890" spans="1:1" s="199" customFormat="1" ht="12" hidden="1" customHeight="1">
      <c r="A17890" s="198"/>
    </row>
    <row r="17891" spans="1:1" s="199" customFormat="1" ht="12" hidden="1" customHeight="1">
      <c r="A17891" s="198"/>
    </row>
    <row r="17892" spans="1:1" s="199" customFormat="1" ht="12" hidden="1" customHeight="1">
      <c r="A17892" s="198"/>
    </row>
    <row r="17893" spans="1:1" s="199" customFormat="1" ht="12" hidden="1" customHeight="1">
      <c r="A17893" s="198"/>
    </row>
    <row r="17894" spans="1:1" s="199" customFormat="1" ht="12" hidden="1" customHeight="1">
      <c r="A17894" s="198"/>
    </row>
    <row r="17895" spans="1:1" s="199" customFormat="1" ht="12" hidden="1" customHeight="1">
      <c r="A17895" s="198"/>
    </row>
    <row r="17896" spans="1:1" s="199" customFormat="1" ht="12" hidden="1" customHeight="1">
      <c r="A17896" s="198"/>
    </row>
    <row r="17897" spans="1:1" s="199" customFormat="1" ht="12" hidden="1" customHeight="1">
      <c r="A17897" s="198"/>
    </row>
    <row r="17898" spans="1:1" s="199" customFormat="1" ht="12" hidden="1" customHeight="1">
      <c r="A17898" s="198"/>
    </row>
    <row r="17899" spans="1:1" s="199" customFormat="1" ht="12" hidden="1" customHeight="1">
      <c r="A17899" s="198"/>
    </row>
    <row r="17900" spans="1:1" s="199" customFormat="1" ht="12" hidden="1" customHeight="1">
      <c r="A17900" s="198"/>
    </row>
    <row r="17901" spans="1:1" s="199" customFormat="1" ht="12" hidden="1" customHeight="1">
      <c r="A17901" s="198"/>
    </row>
    <row r="17902" spans="1:1" s="199" customFormat="1" ht="12" hidden="1" customHeight="1">
      <c r="A17902" s="198"/>
    </row>
    <row r="17903" spans="1:1" s="199" customFormat="1" ht="12" hidden="1" customHeight="1">
      <c r="A17903" s="198"/>
    </row>
    <row r="17904" spans="1:1" s="199" customFormat="1" ht="12" hidden="1" customHeight="1">
      <c r="A17904" s="198"/>
    </row>
    <row r="17905" spans="1:1" s="199" customFormat="1" ht="12" hidden="1" customHeight="1">
      <c r="A17905" s="198"/>
    </row>
    <row r="17906" spans="1:1" s="199" customFormat="1" ht="12" hidden="1" customHeight="1">
      <c r="A17906" s="198"/>
    </row>
    <row r="17907" spans="1:1" s="199" customFormat="1" ht="12" hidden="1" customHeight="1">
      <c r="A17907" s="198"/>
    </row>
    <row r="17908" spans="1:1" s="199" customFormat="1" ht="12" hidden="1" customHeight="1">
      <c r="A17908" s="198"/>
    </row>
    <row r="17909" spans="1:1" s="199" customFormat="1" ht="12" hidden="1" customHeight="1">
      <c r="A17909" s="198"/>
    </row>
    <row r="17910" spans="1:1" s="199" customFormat="1" ht="12" hidden="1" customHeight="1">
      <c r="A17910" s="198"/>
    </row>
    <row r="17911" spans="1:1" s="199" customFormat="1" ht="12" hidden="1" customHeight="1">
      <c r="A17911" s="198"/>
    </row>
    <row r="17912" spans="1:1" s="199" customFormat="1" ht="12" hidden="1" customHeight="1">
      <c r="A17912" s="198"/>
    </row>
    <row r="17913" spans="1:1" s="199" customFormat="1" ht="12" hidden="1" customHeight="1">
      <c r="A17913" s="198"/>
    </row>
    <row r="17914" spans="1:1" s="199" customFormat="1" ht="12" hidden="1" customHeight="1">
      <c r="A17914" s="198"/>
    </row>
    <row r="17915" spans="1:1" s="199" customFormat="1" ht="12" hidden="1" customHeight="1">
      <c r="A17915" s="198"/>
    </row>
    <row r="17916" spans="1:1" s="199" customFormat="1" ht="12" hidden="1" customHeight="1">
      <c r="A17916" s="198"/>
    </row>
    <row r="17917" spans="1:1" s="199" customFormat="1" ht="12" hidden="1" customHeight="1">
      <c r="A17917" s="198"/>
    </row>
    <row r="17918" spans="1:1" s="199" customFormat="1" ht="12" hidden="1" customHeight="1">
      <c r="A17918" s="198"/>
    </row>
    <row r="17919" spans="1:1" s="199" customFormat="1" ht="12" hidden="1" customHeight="1">
      <c r="A17919" s="198"/>
    </row>
    <row r="17920" spans="1:1" s="199" customFormat="1" ht="12" hidden="1" customHeight="1">
      <c r="A17920" s="198"/>
    </row>
    <row r="17921" spans="1:1" s="199" customFormat="1" ht="12" hidden="1" customHeight="1">
      <c r="A17921" s="198"/>
    </row>
    <row r="17922" spans="1:1" s="199" customFormat="1" ht="12" hidden="1" customHeight="1">
      <c r="A17922" s="198"/>
    </row>
    <row r="17923" spans="1:1" s="199" customFormat="1" ht="12" hidden="1" customHeight="1">
      <c r="A17923" s="198"/>
    </row>
    <row r="17924" spans="1:1" s="199" customFormat="1" ht="12" hidden="1" customHeight="1">
      <c r="A17924" s="198"/>
    </row>
    <row r="17925" spans="1:1" s="199" customFormat="1" ht="12" hidden="1" customHeight="1">
      <c r="A17925" s="198"/>
    </row>
    <row r="17926" spans="1:1" s="199" customFormat="1" ht="12" hidden="1" customHeight="1">
      <c r="A17926" s="198"/>
    </row>
    <row r="17927" spans="1:1" s="199" customFormat="1" ht="12" hidden="1" customHeight="1">
      <c r="A17927" s="198"/>
    </row>
    <row r="17928" spans="1:1" s="199" customFormat="1" ht="12" hidden="1" customHeight="1">
      <c r="A17928" s="198"/>
    </row>
    <row r="17929" spans="1:1" s="199" customFormat="1" ht="12" hidden="1" customHeight="1">
      <c r="A17929" s="198"/>
    </row>
    <row r="17930" spans="1:1" s="199" customFormat="1" ht="12" hidden="1" customHeight="1">
      <c r="A17930" s="198"/>
    </row>
    <row r="17931" spans="1:1" s="199" customFormat="1" ht="12" hidden="1" customHeight="1">
      <c r="A17931" s="198"/>
    </row>
    <row r="17932" spans="1:1" s="199" customFormat="1" ht="12" hidden="1" customHeight="1">
      <c r="A17932" s="198"/>
    </row>
    <row r="17933" spans="1:1" s="199" customFormat="1" ht="12" hidden="1" customHeight="1">
      <c r="A17933" s="198"/>
    </row>
    <row r="17934" spans="1:1" s="199" customFormat="1" ht="12" hidden="1" customHeight="1">
      <c r="A17934" s="198"/>
    </row>
    <row r="17935" spans="1:1" s="199" customFormat="1" ht="12" hidden="1" customHeight="1">
      <c r="A17935" s="198"/>
    </row>
    <row r="17936" spans="1:1" s="199" customFormat="1" ht="12" hidden="1" customHeight="1">
      <c r="A17936" s="198"/>
    </row>
    <row r="17937" spans="1:1" s="199" customFormat="1" ht="12" hidden="1" customHeight="1">
      <c r="A17937" s="198"/>
    </row>
    <row r="17938" spans="1:1" s="199" customFormat="1" ht="12" hidden="1" customHeight="1">
      <c r="A17938" s="198"/>
    </row>
    <row r="17939" spans="1:1" s="199" customFormat="1" ht="12" hidden="1" customHeight="1">
      <c r="A17939" s="198"/>
    </row>
    <row r="17940" spans="1:1" s="199" customFormat="1" ht="12" hidden="1" customHeight="1">
      <c r="A17940" s="198"/>
    </row>
    <row r="17941" spans="1:1" s="199" customFormat="1" ht="12" hidden="1" customHeight="1">
      <c r="A17941" s="198"/>
    </row>
    <row r="17942" spans="1:1" s="199" customFormat="1" ht="12" hidden="1" customHeight="1">
      <c r="A17942" s="198"/>
    </row>
    <row r="17943" spans="1:1" s="199" customFormat="1" ht="12" hidden="1" customHeight="1">
      <c r="A17943" s="198"/>
    </row>
    <row r="17944" spans="1:1" s="199" customFormat="1" ht="12" hidden="1" customHeight="1">
      <c r="A17944" s="198"/>
    </row>
    <row r="17945" spans="1:1" s="199" customFormat="1" ht="12" hidden="1" customHeight="1">
      <c r="A17945" s="198"/>
    </row>
    <row r="17946" spans="1:1" s="199" customFormat="1" ht="12" hidden="1" customHeight="1">
      <c r="A17946" s="198"/>
    </row>
    <row r="17947" spans="1:1" s="199" customFormat="1" ht="12" hidden="1" customHeight="1">
      <c r="A17947" s="198"/>
    </row>
    <row r="17948" spans="1:1" s="199" customFormat="1" ht="12" hidden="1" customHeight="1">
      <c r="A17948" s="198"/>
    </row>
    <row r="17949" spans="1:1" s="199" customFormat="1" ht="12" hidden="1" customHeight="1">
      <c r="A17949" s="198"/>
    </row>
    <row r="17950" spans="1:1" s="199" customFormat="1" ht="12" hidden="1" customHeight="1">
      <c r="A17950" s="198"/>
    </row>
    <row r="17951" spans="1:1" s="199" customFormat="1" ht="12" hidden="1" customHeight="1">
      <c r="A17951" s="198"/>
    </row>
    <row r="17952" spans="1:1" s="199" customFormat="1" ht="12" hidden="1" customHeight="1">
      <c r="A17952" s="198"/>
    </row>
    <row r="17953" spans="1:1" s="199" customFormat="1" ht="12" hidden="1" customHeight="1">
      <c r="A17953" s="198"/>
    </row>
    <row r="17954" spans="1:1" s="199" customFormat="1" ht="12" hidden="1" customHeight="1">
      <c r="A17954" s="198"/>
    </row>
    <row r="17955" spans="1:1" s="199" customFormat="1" ht="12" hidden="1" customHeight="1">
      <c r="A17955" s="198"/>
    </row>
    <row r="17956" spans="1:1" s="199" customFormat="1" ht="12" hidden="1" customHeight="1">
      <c r="A17956" s="198"/>
    </row>
    <row r="17957" spans="1:1" s="199" customFormat="1" ht="12" hidden="1" customHeight="1">
      <c r="A17957" s="198"/>
    </row>
    <row r="17958" spans="1:1" s="199" customFormat="1" ht="12" hidden="1" customHeight="1">
      <c r="A17958" s="198"/>
    </row>
    <row r="17959" spans="1:1" s="199" customFormat="1" ht="12" hidden="1" customHeight="1">
      <c r="A17959" s="198"/>
    </row>
    <row r="17960" spans="1:1" s="199" customFormat="1" ht="12" hidden="1" customHeight="1">
      <c r="A17960" s="198"/>
    </row>
    <row r="17961" spans="1:1" s="199" customFormat="1" ht="12" hidden="1" customHeight="1">
      <c r="A17961" s="198"/>
    </row>
    <row r="17962" spans="1:1" s="199" customFormat="1" ht="12" hidden="1" customHeight="1">
      <c r="A17962" s="198"/>
    </row>
    <row r="17963" spans="1:1" s="199" customFormat="1" ht="12" hidden="1" customHeight="1">
      <c r="A17963" s="198"/>
    </row>
    <row r="17964" spans="1:1" s="199" customFormat="1" ht="12" hidden="1" customHeight="1">
      <c r="A17964" s="198"/>
    </row>
    <row r="17965" spans="1:1" s="199" customFormat="1" ht="12" hidden="1" customHeight="1">
      <c r="A17965" s="198"/>
    </row>
    <row r="17966" spans="1:1" s="199" customFormat="1" ht="12" hidden="1" customHeight="1">
      <c r="A17966" s="198"/>
    </row>
    <row r="17967" spans="1:1" s="199" customFormat="1" ht="12" hidden="1" customHeight="1">
      <c r="A17967" s="198"/>
    </row>
    <row r="17968" spans="1:1" s="199" customFormat="1" ht="12" hidden="1" customHeight="1">
      <c r="A17968" s="198"/>
    </row>
    <row r="17969" spans="1:1" s="199" customFormat="1" ht="12" hidden="1" customHeight="1">
      <c r="A17969" s="198"/>
    </row>
    <row r="17970" spans="1:1" s="199" customFormat="1" ht="12" hidden="1" customHeight="1">
      <c r="A17970" s="198"/>
    </row>
    <row r="17971" spans="1:1" s="199" customFormat="1" ht="12" hidden="1" customHeight="1">
      <c r="A17971" s="198"/>
    </row>
    <row r="17972" spans="1:1" s="199" customFormat="1" ht="12" hidden="1" customHeight="1">
      <c r="A17972" s="198"/>
    </row>
    <row r="17973" spans="1:1" s="199" customFormat="1" ht="12" hidden="1" customHeight="1">
      <c r="A17973" s="198"/>
    </row>
    <row r="17974" spans="1:1" s="199" customFormat="1" ht="12" hidden="1" customHeight="1">
      <c r="A17974" s="198"/>
    </row>
    <row r="17975" spans="1:1" s="199" customFormat="1" ht="12" hidden="1" customHeight="1">
      <c r="A17975" s="198"/>
    </row>
    <row r="17976" spans="1:1" s="199" customFormat="1" ht="12" hidden="1" customHeight="1">
      <c r="A17976" s="198"/>
    </row>
    <row r="17977" spans="1:1" s="199" customFormat="1" ht="12" hidden="1" customHeight="1">
      <c r="A17977" s="198"/>
    </row>
    <row r="17978" spans="1:1" s="199" customFormat="1" ht="12" hidden="1" customHeight="1">
      <c r="A17978" s="198"/>
    </row>
    <row r="17979" spans="1:1" s="199" customFormat="1" ht="12" hidden="1" customHeight="1">
      <c r="A17979" s="198"/>
    </row>
    <row r="17980" spans="1:1" s="199" customFormat="1" ht="12" hidden="1" customHeight="1">
      <c r="A17980" s="198"/>
    </row>
    <row r="17981" spans="1:1" s="199" customFormat="1" ht="12" hidden="1" customHeight="1">
      <c r="A17981" s="198"/>
    </row>
    <row r="17982" spans="1:1" s="199" customFormat="1" ht="12" hidden="1" customHeight="1">
      <c r="A17982" s="198"/>
    </row>
    <row r="17983" spans="1:1" s="199" customFormat="1" ht="12" hidden="1" customHeight="1">
      <c r="A17983" s="198"/>
    </row>
    <row r="17984" spans="1:1" s="199" customFormat="1" ht="12" hidden="1" customHeight="1">
      <c r="A17984" s="198"/>
    </row>
    <row r="17985" spans="1:1" s="199" customFormat="1" ht="12" hidden="1" customHeight="1">
      <c r="A17985" s="198"/>
    </row>
    <row r="17986" spans="1:1" s="199" customFormat="1" ht="12" hidden="1" customHeight="1">
      <c r="A17986" s="198"/>
    </row>
    <row r="17987" spans="1:1" s="199" customFormat="1" ht="12" hidden="1" customHeight="1">
      <c r="A17987" s="198"/>
    </row>
    <row r="17988" spans="1:1" s="199" customFormat="1" ht="12" hidden="1" customHeight="1">
      <c r="A17988" s="198"/>
    </row>
    <row r="17989" spans="1:1" s="199" customFormat="1" ht="12" hidden="1" customHeight="1">
      <c r="A17989" s="198"/>
    </row>
    <row r="17990" spans="1:1" s="199" customFormat="1" ht="12" hidden="1" customHeight="1">
      <c r="A17990" s="198"/>
    </row>
    <row r="17991" spans="1:1" s="199" customFormat="1" ht="12" hidden="1" customHeight="1">
      <c r="A17991" s="198"/>
    </row>
    <row r="17992" spans="1:1" s="199" customFormat="1" ht="12" hidden="1" customHeight="1">
      <c r="A17992" s="198"/>
    </row>
    <row r="17993" spans="1:1" s="199" customFormat="1" ht="12" hidden="1" customHeight="1">
      <c r="A17993" s="198"/>
    </row>
    <row r="17994" spans="1:1" s="199" customFormat="1" ht="12" hidden="1" customHeight="1">
      <c r="A17994" s="198"/>
    </row>
    <row r="17995" spans="1:1" s="199" customFormat="1" ht="12" hidden="1" customHeight="1">
      <c r="A17995" s="198"/>
    </row>
    <row r="17996" spans="1:1" s="199" customFormat="1" ht="12" hidden="1" customHeight="1">
      <c r="A17996" s="198"/>
    </row>
    <row r="17997" spans="1:1" s="199" customFormat="1" ht="12" hidden="1" customHeight="1">
      <c r="A17997" s="198"/>
    </row>
    <row r="17998" spans="1:1" s="199" customFormat="1" ht="12" hidden="1" customHeight="1">
      <c r="A17998" s="198"/>
    </row>
    <row r="17999" spans="1:1" s="199" customFormat="1" ht="12" hidden="1" customHeight="1">
      <c r="A17999" s="198"/>
    </row>
    <row r="18000" spans="1:1" s="199" customFormat="1" ht="12" hidden="1" customHeight="1">
      <c r="A18000" s="198"/>
    </row>
    <row r="18001" spans="1:1" s="199" customFormat="1" ht="12" hidden="1" customHeight="1">
      <c r="A18001" s="198"/>
    </row>
    <row r="18002" spans="1:1" s="199" customFormat="1" ht="12" hidden="1" customHeight="1">
      <c r="A18002" s="198"/>
    </row>
    <row r="18003" spans="1:1" s="199" customFormat="1" ht="12" hidden="1" customHeight="1">
      <c r="A18003" s="198"/>
    </row>
    <row r="18004" spans="1:1" s="199" customFormat="1" ht="12" hidden="1" customHeight="1">
      <c r="A18004" s="198"/>
    </row>
    <row r="18005" spans="1:1" s="199" customFormat="1" ht="12" hidden="1" customHeight="1">
      <c r="A18005" s="198"/>
    </row>
    <row r="18006" spans="1:1" s="199" customFormat="1" ht="12" hidden="1" customHeight="1">
      <c r="A18006" s="198"/>
    </row>
    <row r="18007" spans="1:1" s="199" customFormat="1" ht="12" hidden="1" customHeight="1">
      <c r="A18007" s="198"/>
    </row>
    <row r="18008" spans="1:1" s="199" customFormat="1" ht="12" hidden="1" customHeight="1">
      <c r="A18008" s="198"/>
    </row>
    <row r="18009" spans="1:1" s="199" customFormat="1" ht="12" hidden="1" customHeight="1">
      <c r="A18009" s="198"/>
    </row>
    <row r="18010" spans="1:1" s="199" customFormat="1" ht="12" hidden="1" customHeight="1">
      <c r="A18010" s="198"/>
    </row>
    <row r="18011" spans="1:1" s="199" customFormat="1" ht="12" hidden="1" customHeight="1">
      <c r="A18011" s="198"/>
    </row>
    <row r="18012" spans="1:1" s="199" customFormat="1" ht="12" hidden="1" customHeight="1">
      <c r="A18012" s="198"/>
    </row>
    <row r="18013" spans="1:1" s="199" customFormat="1" ht="12" hidden="1" customHeight="1">
      <c r="A18013" s="198"/>
    </row>
    <row r="18014" spans="1:1" s="199" customFormat="1" ht="12" hidden="1" customHeight="1">
      <c r="A18014" s="198"/>
    </row>
    <row r="18015" spans="1:1" s="199" customFormat="1" ht="12" hidden="1" customHeight="1">
      <c r="A18015" s="198"/>
    </row>
    <row r="18016" spans="1:1" s="199" customFormat="1" ht="12" hidden="1" customHeight="1">
      <c r="A18016" s="198"/>
    </row>
    <row r="18017" spans="1:1" s="199" customFormat="1" ht="12" hidden="1" customHeight="1">
      <c r="A18017" s="198"/>
    </row>
    <row r="18018" spans="1:1" s="199" customFormat="1" ht="12" hidden="1" customHeight="1">
      <c r="A18018" s="198"/>
    </row>
    <row r="18019" spans="1:1" s="199" customFormat="1" ht="12" hidden="1" customHeight="1">
      <c r="A18019" s="198"/>
    </row>
    <row r="18020" spans="1:1" s="199" customFormat="1" ht="12" hidden="1" customHeight="1">
      <c r="A18020" s="198"/>
    </row>
    <row r="18021" spans="1:1" s="199" customFormat="1" ht="12" hidden="1" customHeight="1">
      <c r="A18021" s="198"/>
    </row>
    <row r="18022" spans="1:1" s="199" customFormat="1" ht="12" hidden="1" customHeight="1">
      <c r="A18022" s="198"/>
    </row>
    <row r="18023" spans="1:1" s="199" customFormat="1" ht="12" hidden="1" customHeight="1">
      <c r="A18023" s="198"/>
    </row>
    <row r="18024" spans="1:1" s="199" customFormat="1" ht="12" hidden="1" customHeight="1">
      <c r="A18024" s="198"/>
    </row>
    <row r="18025" spans="1:1" s="199" customFormat="1" ht="12" hidden="1" customHeight="1">
      <c r="A18025" s="198"/>
    </row>
    <row r="18026" spans="1:1" s="199" customFormat="1" ht="12" hidden="1" customHeight="1">
      <c r="A18026" s="198"/>
    </row>
    <row r="18027" spans="1:1" s="199" customFormat="1" ht="12" hidden="1" customHeight="1">
      <c r="A18027" s="198"/>
    </row>
    <row r="18028" spans="1:1" s="199" customFormat="1" ht="12" hidden="1" customHeight="1">
      <c r="A18028" s="198"/>
    </row>
    <row r="18029" spans="1:1" s="199" customFormat="1" ht="12" hidden="1" customHeight="1">
      <c r="A18029" s="198"/>
    </row>
    <row r="18030" spans="1:1" s="199" customFormat="1" ht="12" hidden="1" customHeight="1">
      <c r="A18030" s="198"/>
    </row>
    <row r="18031" spans="1:1" s="199" customFormat="1" ht="12" hidden="1" customHeight="1">
      <c r="A18031" s="198"/>
    </row>
    <row r="18032" spans="1:1" s="199" customFormat="1" ht="12" hidden="1" customHeight="1">
      <c r="A18032" s="198"/>
    </row>
    <row r="18033" spans="1:1" s="199" customFormat="1" ht="12" hidden="1" customHeight="1">
      <c r="A18033" s="198"/>
    </row>
    <row r="18034" spans="1:1" s="199" customFormat="1" ht="12" hidden="1" customHeight="1">
      <c r="A18034" s="198"/>
    </row>
    <row r="18035" spans="1:1" s="199" customFormat="1" ht="12" hidden="1" customHeight="1">
      <c r="A18035" s="198"/>
    </row>
    <row r="18036" spans="1:1" s="199" customFormat="1" ht="12" hidden="1" customHeight="1">
      <c r="A18036" s="198"/>
    </row>
    <row r="18037" spans="1:1" s="199" customFormat="1" ht="12" hidden="1" customHeight="1">
      <c r="A18037" s="198"/>
    </row>
    <row r="18038" spans="1:1" s="199" customFormat="1" ht="12" hidden="1" customHeight="1">
      <c r="A18038" s="198"/>
    </row>
    <row r="18039" spans="1:1" s="199" customFormat="1" ht="12" hidden="1" customHeight="1">
      <c r="A18039" s="198"/>
    </row>
    <row r="18040" spans="1:1" s="199" customFormat="1" ht="12" hidden="1" customHeight="1">
      <c r="A18040" s="198"/>
    </row>
    <row r="18041" spans="1:1" s="199" customFormat="1" ht="12" hidden="1" customHeight="1">
      <c r="A18041" s="198"/>
    </row>
    <row r="18042" spans="1:1" s="199" customFormat="1" ht="12" hidden="1" customHeight="1">
      <c r="A18042" s="198"/>
    </row>
    <row r="18043" spans="1:1" s="199" customFormat="1" ht="12" hidden="1" customHeight="1">
      <c r="A18043" s="198"/>
    </row>
    <row r="18044" spans="1:1" s="199" customFormat="1" ht="12" hidden="1" customHeight="1">
      <c r="A18044" s="198"/>
    </row>
    <row r="18045" spans="1:1" s="199" customFormat="1" ht="12" hidden="1" customHeight="1">
      <c r="A18045" s="198"/>
    </row>
    <row r="18046" spans="1:1" s="199" customFormat="1" ht="12" hidden="1" customHeight="1">
      <c r="A18046" s="198"/>
    </row>
    <row r="18047" spans="1:1" s="199" customFormat="1" ht="12" hidden="1" customHeight="1">
      <c r="A18047" s="198"/>
    </row>
    <row r="18048" spans="1:1" s="199" customFormat="1" ht="12" hidden="1" customHeight="1">
      <c r="A18048" s="198"/>
    </row>
    <row r="18049" spans="1:1" s="199" customFormat="1" ht="12" hidden="1" customHeight="1">
      <c r="A18049" s="198"/>
    </row>
    <row r="18050" spans="1:1" s="199" customFormat="1" ht="12" hidden="1" customHeight="1">
      <c r="A18050" s="198"/>
    </row>
    <row r="18051" spans="1:1" s="199" customFormat="1" ht="12" hidden="1" customHeight="1">
      <c r="A18051" s="198"/>
    </row>
    <row r="18052" spans="1:1" s="199" customFormat="1" ht="12" hidden="1" customHeight="1">
      <c r="A18052" s="198"/>
    </row>
    <row r="18053" spans="1:1" s="199" customFormat="1" ht="12" hidden="1" customHeight="1">
      <c r="A18053" s="198"/>
    </row>
    <row r="18054" spans="1:1" s="199" customFormat="1" ht="12" hidden="1" customHeight="1">
      <c r="A18054" s="198"/>
    </row>
    <row r="18055" spans="1:1" s="199" customFormat="1" ht="12" hidden="1" customHeight="1">
      <c r="A18055" s="198"/>
    </row>
    <row r="18056" spans="1:1" s="199" customFormat="1" ht="12" hidden="1" customHeight="1">
      <c r="A18056" s="198"/>
    </row>
    <row r="18057" spans="1:1" s="199" customFormat="1" ht="12" hidden="1" customHeight="1">
      <c r="A18057" s="198"/>
    </row>
    <row r="18058" spans="1:1" s="199" customFormat="1" ht="12" hidden="1" customHeight="1">
      <c r="A18058" s="198"/>
    </row>
    <row r="18059" spans="1:1" s="199" customFormat="1" ht="12" hidden="1" customHeight="1">
      <c r="A18059" s="198"/>
    </row>
    <row r="18060" spans="1:1" s="199" customFormat="1" ht="12" hidden="1" customHeight="1">
      <c r="A18060" s="198"/>
    </row>
    <row r="18061" spans="1:1" s="199" customFormat="1" ht="12" hidden="1" customHeight="1">
      <c r="A18061" s="198"/>
    </row>
    <row r="18062" spans="1:1" s="199" customFormat="1" ht="12" hidden="1" customHeight="1">
      <c r="A18062" s="198"/>
    </row>
    <row r="18063" spans="1:1" s="199" customFormat="1" ht="12" hidden="1" customHeight="1">
      <c r="A18063" s="198"/>
    </row>
    <row r="18064" spans="1:1" s="199" customFormat="1" ht="12" hidden="1" customHeight="1">
      <c r="A18064" s="198"/>
    </row>
    <row r="18065" spans="1:1" s="199" customFormat="1" ht="12" hidden="1" customHeight="1">
      <c r="A18065" s="198"/>
    </row>
    <row r="18066" spans="1:1" s="199" customFormat="1" ht="12" hidden="1" customHeight="1">
      <c r="A18066" s="198"/>
    </row>
    <row r="18067" spans="1:1" s="199" customFormat="1" ht="12" hidden="1" customHeight="1">
      <c r="A18067" s="198"/>
    </row>
    <row r="18068" spans="1:1" s="199" customFormat="1" ht="12" hidden="1" customHeight="1">
      <c r="A18068" s="198"/>
    </row>
    <row r="18069" spans="1:1" s="199" customFormat="1" ht="12" hidden="1" customHeight="1">
      <c r="A18069" s="198"/>
    </row>
    <row r="18070" spans="1:1" s="199" customFormat="1" ht="12" hidden="1" customHeight="1">
      <c r="A18070" s="198"/>
    </row>
    <row r="18071" spans="1:1" s="199" customFormat="1" ht="12" hidden="1" customHeight="1">
      <c r="A18071" s="198"/>
    </row>
    <row r="18072" spans="1:1" s="199" customFormat="1" ht="12" hidden="1" customHeight="1">
      <c r="A18072" s="198"/>
    </row>
    <row r="18073" spans="1:1" s="199" customFormat="1" ht="12" hidden="1" customHeight="1">
      <c r="A18073" s="198"/>
    </row>
    <row r="18074" spans="1:1" s="199" customFormat="1" ht="12" hidden="1" customHeight="1">
      <c r="A18074" s="198"/>
    </row>
    <row r="18075" spans="1:1" s="199" customFormat="1" ht="12" hidden="1" customHeight="1">
      <c r="A18075" s="198"/>
    </row>
    <row r="18076" spans="1:1" s="199" customFormat="1" ht="12" hidden="1" customHeight="1">
      <c r="A18076" s="198"/>
    </row>
    <row r="18077" spans="1:1" s="199" customFormat="1" ht="12" hidden="1" customHeight="1">
      <c r="A18077" s="198"/>
    </row>
    <row r="18078" spans="1:1" s="199" customFormat="1" ht="12" hidden="1" customHeight="1">
      <c r="A18078" s="198"/>
    </row>
    <row r="18079" spans="1:1" s="199" customFormat="1" ht="12" hidden="1" customHeight="1">
      <c r="A18079" s="198"/>
    </row>
    <row r="18080" spans="1:1" s="199" customFormat="1" ht="12" hidden="1" customHeight="1">
      <c r="A18080" s="198"/>
    </row>
    <row r="18081" spans="1:1" s="199" customFormat="1" ht="12" hidden="1" customHeight="1">
      <c r="A18081" s="198"/>
    </row>
    <row r="18082" spans="1:1" s="199" customFormat="1" ht="12" hidden="1" customHeight="1">
      <c r="A18082" s="198"/>
    </row>
    <row r="18083" spans="1:1" s="199" customFormat="1" ht="12" hidden="1" customHeight="1">
      <c r="A18083" s="198"/>
    </row>
    <row r="18084" spans="1:1" s="199" customFormat="1" ht="12" hidden="1" customHeight="1">
      <c r="A18084" s="198"/>
    </row>
    <row r="18085" spans="1:1" s="199" customFormat="1" ht="12" hidden="1" customHeight="1">
      <c r="A18085" s="198"/>
    </row>
    <row r="18086" spans="1:1" s="199" customFormat="1" ht="12" hidden="1" customHeight="1">
      <c r="A18086" s="198"/>
    </row>
    <row r="18087" spans="1:1" s="199" customFormat="1" ht="12" hidden="1" customHeight="1">
      <c r="A18087" s="198"/>
    </row>
    <row r="18088" spans="1:1" s="199" customFormat="1" ht="12" hidden="1" customHeight="1">
      <c r="A18088" s="198"/>
    </row>
    <row r="18089" spans="1:1" s="199" customFormat="1" ht="12" hidden="1" customHeight="1">
      <c r="A18089" s="198"/>
    </row>
    <row r="18090" spans="1:1" s="199" customFormat="1" ht="12" hidden="1" customHeight="1">
      <c r="A18090" s="198"/>
    </row>
    <row r="18091" spans="1:1" s="199" customFormat="1" ht="12" hidden="1" customHeight="1">
      <c r="A18091" s="198"/>
    </row>
    <row r="18092" spans="1:1" s="199" customFormat="1" ht="12" hidden="1" customHeight="1">
      <c r="A18092" s="198"/>
    </row>
    <row r="18093" spans="1:1" s="199" customFormat="1" ht="12" hidden="1" customHeight="1">
      <c r="A18093" s="198"/>
    </row>
    <row r="18094" spans="1:1" s="199" customFormat="1" ht="12" hidden="1" customHeight="1">
      <c r="A18094" s="198"/>
    </row>
    <row r="18095" spans="1:1" s="199" customFormat="1" ht="12" hidden="1" customHeight="1">
      <c r="A18095" s="198"/>
    </row>
    <row r="18096" spans="1:1" s="199" customFormat="1" ht="12" hidden="1" customHeight="1">
      <c r="A18096" s="198"/>
    </row>
    <row r="18097" spans="1:1" s="199" customFormat="1" ht="12" hidden="1" customHeight="1">
      <c r="A18097" s="198"/>
    </row>
    <row r="18098" spans="1:1" s="199" customFormat="1" ht="12" hidden="1" customHeight="1">
      <c r="A18098" s="198"/>
    </row>
    <row r="18099" spans="1:1" s="199" customFormat="1" ht="12" hidden="1" customHeight="1">
      <c r="A18099" s="198"/>
    </row>
    <row r="18100" spans="1:1" s="199" customFormat="1" ht="12" hidden="1" customHeight="1">
      <c r="A18100" s="198"/>
    </row>
    <row r="18101" spans="1:1" s="199" customFormat="1" ht="12" hidden="1" customHeight="1">
      <c r="A18101" s="198"/>
    </row>
    <row r="18102" spans="1:1" s="199" customFormat="1" ht="12" hidden="1" customHeight="1">
      <c r="A18102" s="198"/>
    </row>
    <row r="18103" spans="1:1" s="199" customFormat="1" ht="12" hidden="1" customHeight="1">
      <c r="A18103" s="198"/>
    </row>
    <row r="18104" spans="1:1" s="199" customFormat="1" ht="12" hidden="1" customHeight="1">
      <c r="A18104" s="198"/>
    </row>
    <row r="18105" spans="1:1" s="199" customFormat="1" ht="12" hidden="1" customHeight="1">
      <c r="A18105" s="198"/>
    </row>
    <row r="18106" spans="1:1" s="199" customFormat="1" ht="12" hidden="1" customHeight="1">
      <c r="A18106" s="198"/>
    </row>
    <row r="18107" spans="1:1" s="199" customFormat="1" ht="12" hidden="1" customHeight="1">
      <c r="A18107" s="198"/>
    </row>
    <row r="18108" spans="1:1" s="199" customFormat="1" ht="12" hidden="1" customHeight="1">
      <c r="A18108" s="198"/>
    </row>
    <row r="18109" spans="1:1" s="199" customFormat="1" ht="12" hidden="1" customHeight="1">
      <c r="A18109" s="198"/>
    </row>
    <row r="18110" spans="1:1" s="199" customFormat="1" ht="12" hidden="1" customHeight="1">
      <c r="A18110" s="198"/>
    </row>
    <row r="18111" spans="1:1" s="199" customFormat="1" ht="12" hidden="1" customHeight="1">
      <c r="A18111" s="198"/>
    </row>
    <row r="18112" spans="1:1" s="199" customFormat="1" ht="12" hidden="1" customHeight="1">
      <c r="A18112" s="198"/>
    </row>
    <row r="18113" spans="1:1" s="199" customFormat="1" ht="12" hidden="1" customHeight="1">
      <c r="A18113" s="198"/>
    </row>
    <row r="18114" spans="1:1" s="199" customFormat="1" ht="12" hidden="1" customHeight="1">
      <c r="A18114" s="198"/>
    </row>
    <row r="18115" spans="1:1" s="199" customFormat="1" ht="12" hidden="1" customHeight="1">
      <c r="A18115" s="198"/>
    </row>
    <row r="18116" spans="1:1" s="199" customFormat="1" ht="12" hidden="1" customHeight="1">
      <c r="A18116" s="198"/>
    </row>
    <row r="18117" spans="1:1" s="199" customFormat="1" ht="12" hidden="1" customHeight="1">
      <c r="A18117" s="198"/>
    </row>
    <row r="18118" spans="1:1" s="199" customFormat="1" ht="12" hidden="1" customHeight="1">
      <c r="A18118" s="198"/>
    </row>
    <row r="18119" spans="1:1" s="199" customFormat="1" ht="12" hidden="1" customHeight="1">
      <c r="A18119" s="198"/>
    </row>
    <row r="18120" spans="1:1" s="199" customFormat="1" ht="12" hidden="1" customHeight="1">
      <c r="A18120" s="198"/>
    </row>
    <row r="18121" spans="1:1" s="199" customFormat="1" ht="12" hidden="1" customHeight="1">
      <c r="A18121" s="198"/>
    </row>
    <row r="18122" spans="1:1" s="199" customFormat="1" ht="12" hidden="1" customHeight="1">
      <c r="A18122" s="198"/>
    </row>
    <row r="18123" spans="1:1" s="199" customFormat="1" ht="12" hidden="1" customHeight="1">
      <c r="A18123" s="198"/>
    </row>
    <row r="18124" spans="1:1" s="199" customFormat="1" ht="12" hidden="1" customHeight="1">
      <c r="A18124" s="198"/>
    </row>
    <row r="18125" spans="1:1" s="199" customFormat="1" ht="12" hidden="1" customHeight="1">
      <c r="A18125" s="198"/>
    </row>
    <row r="18126" spans="1:1" s="199" customFormat="1" ht="12" hidden="1" customHeight="1">
      <c r="A18126" s="198"/>
    </row>
    <row r="18127" spans="1:1" s="199" customFormat="1" ht="12" hidden="1" customHeight="1">
      <c r="A18127" s="198"/>
    </row>
    <row r="18128" spans="1:1" s="199" customFormat="1" ht="12" hidden="1" customHeight="1">
      <c r="A18128" s="198"/>
    </row>
    <row r="18129" spans="1:1" s="199" customFormat="1" ht="12" hidden="1" customHeight="1">
      <c r="A18129" s="198"/>
    </row>
    <row r="18130" spans="1:1" s="199" customFormat="1" ht="12" hidden="1" customHeight="1">
      <c r="A18130" s="198"/>
    </row>
    <row r="18131" spans="1:1" s="199" customFormat="1" ht="12" hidden="1" customHeight="1">
      <c r="A18131" s="198"/>
    </row>
    <row r="18132" spans="1:1" s="199" customFormat="1" ht="12" hidden="1" customHeight="1">
      <c r="A18132" s="198"/>
    </row>
    <row r="18133" spans="1:1" s="199" customFormat="1" ht="12" hidden="1" customHeight="1">
      <c r="A18133" s="198"/>
    </row>
    <row r="18134" spans="1:1" s="199" customFormat="1" ht="12" hidden="1" customHeight="1">
      <c r="A18134" s="198"/>
    </row>
    <row r="18135" spans="1:1" s="199" customFormat="1" ht="12" hidden="1" customHeight="1">
      <c r="A18135" s="198"/>
    </row>
    <row r="18136" spans="1:1" s="199" customFormat="1" ht="12" hidden="1" customHeight="1">
      <c r="A18136" s="198"/>
    </row>
    <row r="18137" spans="1:1" s="199" customFormat="1" ht="12" hidden="1" customHeight="1">
      <c r="A18137" s="198"/>
    </row>
    <row r="18138" spans="1:1" s="199" customFormat="1" ht="12" hidden="1" customHeight="1">
      <c r="A18138" s="198"/>
    </row>
    <row r="18139" spans="1:1" s="199" customFormat="1" ht="12" hidden="1" customHeight="1">
      <c r="A18139" s="198"/>
    </row>
    <row r="18140" spans="1:1" s="199" customFormat="1" ht="12" hidden="1" customHeight="1">
      <c r="A18140" s="198"/>
    </row>
    <row r="18141" spans="1:1" s="199" customFormat="1" ht="12" hidden="1" customHeight="1">
      <c r="A18141" s="198"/>
    </row>
    <row r="18142" spans="1:1" s="199" customFormat="1" ht="12" hidden="1" customHeight="1">
      <c r="A18142" s="198"/>
    </row>
    <row r="18143" spans="1:1" s="199" customFormat="1" ht="12" hidden="1" customHeight="1">
      <c r="A18143" s="198"/>
    </row>
    <row r="18144" spans="1:1" s="199" customFormat="1" ht="12" hidden="1" customHeight="1">
      <c r="A18144" s="198"/>
    </row>
    <row r="18145" spans="1:1" s="199" customFormat="1" ht="12" hidden="1" customHeight="1">
      <c r="A18145" s="198"/>
    </row>
    <row r="18146" spans="1:1" s="199" customFormat="1" ht="12" hidden="1" customHeight="1">
      <c r="A18146" s="198"/>
    </row>
    <row r="18147" spans="1:1" s="199" customFormat="1" ht="12" hidden="1" customHeight="1">
      <c r="A18147" s="198"/>
    </row>
    <row r="18148" spans="1:1" s="199" customFormat="1" ht="12" hidden="1" customHeight="1">
      <c r="A18148" s="198"/>
    </row>
    <row r="18149" spans="1:1" s="199" customFormat="1" ht="12" hidden="1" customHeight="1">
      <c r="A18149" s="198"/>
    </row>
    <row r="18150" spans="1:1" s="199" customFormat="1" ht="12" hidden="1" customHeight="1">
      <c r="A18150" s="198"/>
    </row>
    <row r="18151" spans="1:1" s="199" customFormat="1" ht="12" hidden="1" customHeight="1">
      <c r="A18151" s="198"/>
    </row>
    <row r="18152" spans="1:1" s="199" customFormat="1" ht="12" hidden="1" customHeight="1">
      <c r="A18152" s="198"/>
    </row>
    <row r="18153" spans="1:1" s="199" customFormat="1" ht="12" hidden="1" customHeight="1">
      <c r="A18153" s="198"/>
    </row>
    <row r="18154" spans="1:1" s="199" customFormat="1" ht="12" hidden="1" customHeight="1">
      <c r="A18154" s="198"/>
    </row>
    <row r="18155" spans="1:1" s="199" customFormat="1" ht="12" hidden="1" customHeight="1">
      <c r="A18155" s="198"/>
    </row>
    <row r="18156" spans="1:1" s="199" customFormat="1" ht="12" hidden="1" customHeight="1">
      <c r="A18156" s="198"/>
    </row>
    <row r="18157" spans="1:1" s="199" customFormat="1" ht="12" hidden="1" customHeight="1">
      <c r="A18157" s="198"/>
    </row>
    <row r="18158" spans="1:1" s="199" customFormat="1" ht="12" hidden="1" customHeight="1">
      <c r="A18158" s="198"/>
    </row>
    <row r="18159" spans="1:1" s="199" customFormat="1" ht="12" hidden="1" customHeight="1">
      <c r="A18159" s="198"/>
    </row>
    <row r="18160" spans="1:1" s="199" customFormat="1" ht="12" hidden="1" customHeight="1">
      <c r="A18160" s="198"/>
    </row>
    <row r="18161" spans="1:1" s="199" customFormat="1" ht="12" hidden="1" customHeight="1">
      <c r="A18161" s="198"/>
    </row>
    <row r="18162" spans="1:1" s="199" customFormat="1" ht="12" hidden="1" customHeight="1">
      <c r="A18162" s="198"/>
    </row>
    <row r="18163" spans="1:1" s="199" customFormat="1" ht="12" hidden="1" customHeight="1">
      <c r="A18163" s="198"/>
    </row>
    <row r="18164" spans="1:1" s="199" customFormat="1" ht="12" hidden="1" customHeight="1">
      <c r="A18164" s="198"/>
    </row>
    <row r="18165" spans="1:1" s="199" customFormat="1" ht="12" hidden="1" customHeight="1">
      <c r="A18165" s="198"/>
    </row>
    <row r="18166" spans="1:1" s="199" customFormat="1" ht="12" hidden="1" customHeight="1">
      <c r="A18166" s="198"/>
    </row>
    <row r="18167" spans="1:1" s="199" customFormat="1" ht="12" hidden="1" customHeight="1">
      <c r="A18167" s="198"/>
    </row>
    <row r="18168" spans="1:1" s="199" customFormat="1" ht="12" hidden="1" customHeight="1">
      <c r="A18168" s="198"/>
    </row>
    <row r="18169" spans="1:1" s="199" customFormat="1" ht="12" hidden="1" customHeight="1">
      <c r="A18169" s="198"/>
    </row>
    <row r="18170" spans="1:1" s="199" customFormat="1" ht="12" hidden="1" customHeight="1">
      <c r="A18170" s="198"/>
    </row>
    <row r="18171" spans="1:1" s="199" customFormat="1" ht="12" hidden="1" customHeight="1">
      <c r="A18171" s="198"/>
    </row>
    <row r="18172" spans="1:1" s="199" customFormat="1" ht="12" hidden="1" customHeight="1">
      <c r="A18172" s="198"/>
    </row>
    <row r="18173" spans="1:1" s="199" customFormat="1" ht="12" hidden="1" customHeight="1">
      <c r="A18173" s="198"/>
    </row>
    <row r="18174" spans="1:1" s="199" customFormat="1" ht="12" hidden="1" customHeight="1">
      <c r="A18174" s="198"/>
    </row>
    <row r="18175" spans="1:1" s="199" customFormat="1" ht="12" hidden="1" customHeight="1">
      <c r="A18175" s="198"/>
    </row>
    <row r="18176" spans="1:1" s="199" customFormat="1" ht="12" hidden="1" customHeight="1">
      <c r="A18176" s="198"/>
    </row>
    <row r="18177" spans="1:1" s="199" customFormat="1" ht="12" hidden="1" customHeight="1">
      <c r="A18177" s="198"/>
    </row>
    <row r="18178" spans="1:1" s="199" customFormat="1" ht="12" hidden="1" customHeight="1">
      <c r="A18178" s="198"/>
    </row>
    <row r="18179" spans="1:1" s="199" customFormat="1" ht="12" hidden="1" customHeight="1">
      <c r="A18179" s="198"/>
    </row>
    <row r="18180" spans="1:1" s="199" customFormat="1" ht="12" hidden="1" customHeight="1">
      <c r="A18180" s="198"/>
    </row>
    <row r="18181" spans="1:1" s="199" customFormat="1" ht="12" hidden="1" customHeight="1">
      <c r="A18181" s="198"/>
    </row>
    <row r="18182" spans="1:1" s="199" customFormat="1" ht="12" hidden="1" customHeight="1">
      <c r="A18182" s="198"/>
    </row>
    <row r="18183" spans="1:1" s="199" customFormat="1" ht="12" hidden="1" customHeight="1">
      <c r="A18183" s="198"/>
    </row>
    <row r="18184" spans="1:1" s="199" customFormat="1" ht="12" hidden="1" customHeight="1">
      <c r="A18184" s="198"/>
    </row>
    <row r="18185" spans="1:1" s="199" customFormat="1" ht="12" hidden="1" customHeight="1">
      <c r="A18185" s="198"/>
    </row>
    <row r="18186" spans="1:1" s="199" customFormat="1" ht="12" hidden="1" customHeight="1">
      <c r="A18186" s="198"/>
    </row>
    <row r="18187" spans="1:1" s="199" customFormat="1" ht="12" hidden="1" customHeight="1">
      <c r="A18187" s="198"/>
    </row>
    <row r="18188" spans="1:1" s="199" customFormat="1" ht="12" hidden="1" customHeight="1">
      <c r="A18188" s="198"/>
    </row>
    <row r="18189" spans="1:1" s="199" customFormat="1" ht="12" hidden="1" customHeight="1">
      <c r="A18189" s="198"/>
    </row>
    <row r="18190" spans="1:1" s="199" customFormat="1" ht="12" hidden="1" customHeight="1">
      <c r="A18190" s="198"/>
    </row>
    <row r="18191" spans="1:1" s="199" customFormat="1" ht="12" hidden="1" customHeight="1">
      <c r="A18191" s="198"/>
    </row>
    <row r="18192" spans="1:1" s="199" customFormat="1" ht="12" hidden="1" customHeight="1">
      <c r="A18192" s="198"/>
    </row>
    <row r="18193" spans="1:1" s="199" customFormat="1" ht="12" hidden="1" customHeight="1">
      <c r="A18193" s="198"/>
    </row>
    <row r="18194" spans="1:1" s="199" customFormat="1" ht="12" hidden="1" customHeight="1">
      <c r="A18194" s="198"/>
    </row>
    <row r="18195" spans="1:1" s="199" customFormat="1" ht="12" hidden="1" customHeight="1">
      <c r="A18195" s="198"/>
    </row>
    <row r="18196" spans="1:1" s="199" customFormat="1" ht="12" hidden="1" customHeight="1">
      <c r="A18196" s="198"/>
    </row>
    <row r="18197" spans="1:1" s="199" customFormat="1" ht="12" hidden="1" customHeight="1">
      <c r="A18197" s="198"/>
    </row>
    <row r="18198" spans="1:1" s="199" customFormat="1" ht="12" hidden="1" customHeight="1">
      <c r="A18198" s="198"/>
    </row>
    <row r="18199" spans="1:1" s="199" customFormat="1" ht="12" hidden="1" customHeight="1">
      <c r="A18199" s="198"/>
    </row>
    <row r="18200" spans="1:1" s="199" customFormat="1" ht="12" hidden="1" customHeight="1">
      <c r="A18200" s="198"/>
    </row>
    <row r="18201" spans="1:1" s="199" customFormat="1" ht="12" hidden="1" customHeight="1">
      <c r="A18201" s="198"/>
    </row>
    <row r="18202" spans="1:1" s="199" customFormat="1" ht="12" hidden="1" customHeight="1">
      <c r="A18202" s="198"/>
    </row>
    <row r="18203" spans="1:1" s="199" customFormat="1" ht="12" hidden="1" customHeight="1">
      <c r="A18203" s="198"/>
    </row>
    <row r="18204" spans="1:1" s="199" customFormat="1" ht="12" hidden="1" customHeight="1">
      <c r="A18204" s="198"/>
    </row>
    <row r="18205" spans="1:1" s="199" customFormat="1" ht="12" hidden="1" customHeight="1">
      <c r="A18205" s="198"/>
    </row>
    <row r="18206" spans="1:1" s="199" customFormat="1" ht="12" hidden="1" customHeight="1">
      <c r="A18206" s="198"/>
    </row>
    <row r="18207" spans="1:1" s="199" customFormat="1" ht="12" hidden="1" customHeight="1">
      <c r="A18207" s="198"/>
    </row>
    <row r="18208" spans="1:1" s="199" customFormat="1" ht="12" hidden="1" customHeight="1">
      <c r="A18208" s="198"/>
    </row>
    <row r="18209" spans="1:1" s="199" customFormat="1" ht="12" hidden="1" customHeight="1">
      <c r="A18209" s="198"/>
    </row>
    <row r="18210" spans="1:1" s="199" customFormat="1" ht="12" hidden="1" customHeight="1">
      <c r="A18210" s="198"/>
    </row>
    <row r="18211" spans="1:1" s="199" customFormat="1" ht="12" hidden="1" customHeight="1">
      <c r="A18211" s="198"/>
    </row>
    <row r="18212" spans="1:1" s="199" customFormat="1" ht="12" hidden="1" customHeight="1">
      <c r="A18212" s="198"/>
    </row>
    <row r="18213" spans="1:1" s="199" customFormat="1" ht="12" hidden="1" customHeight="1">
      <c r="A18213" s="198"/>
    </row>
    <row r="18214" spans="1:1" s="199" customFormat="1" ht="12" hidden="1" customHeight="1">
      <c r="A18214" s="198"/>
    </row>
    <row r="18215" spans="1:1" s="199" customFormat="1" ht="12" hidden="1" customHeight="1">
      <c r="A18215" s="198"/>
    </row>
    <row r="18216" spans="1:1" s="199" customFormat="1" ht="12" hidden="1" customHeight="1">
      <c r="A18216" s="198"/>
    </row>
    <row r="18217" spans="1:1" s="199" customFormat="1" ht="12" hidden="1" customHeight="1">
      <c r="A18217" s="198"/>
    </row>
    <row r="18218" spans="1:1" s="199" customFormat="1" ht="12" hidden="1" customHeight="1">
      <c r="A18218" s="198"/>
    </row>
    <row r="18219" spans="1:1" s="199" customFormat="1" ht="12" hidden="1" customHeight="1">
      <c r="A18219" s="198"/>
    </row>
    <row r="18220" spans="1:1" s="199" customFormat="1" ht="12" hidden="1" customHeight="1">
      <c r="A18220" s="198"/>
    </row>
    <row r="18221" spans="1:1" s="199" customFormat="1" ht="12" hidden="1" customHeight="1">
      <c r="A18221" s="198"/>
    </row>
    <row r="18222" spans="1:1" s="199" customFormat="1" ht="12" hidden="1" customHeight="1">
      <c r="A18222" s="198"/>
    </row>
    <row r="18223" spans="1:1" s="199" customFormat="1" ht="12" hidden="1" customHeight="1">
      <c r="A18223" s="198"/>
    </row>
    <row r="18224" spans="1:1" s="199" customFormat="1" ht="12" hidden="1" customHeight="1">
      <c r="A18224" s="198"/>
    </row>
    <row r="18225" spans="1:1" s="199" customFormat="1" ht="12" hidden="1" customHeight="1">
      <c r="A18225" s="198"/>
    </row>
    <row r="18226" spans="1:1" s="199" customFormat="1" ht="12" hidden="1" customHeight="1">
      <c r="A18226" s="198"/>
    </row>
    <row r="18227" spans="1:1" s="199" customFormat="1" ht="12" hidden="1" customHeight="1">
      <c r="A18227" s="198"/>
    </row>
    <row r="18228" spans="1:1" s="199" customFormat="1" ht="12" hidden="1" customHeight="1">
      <c r="A18228" s="198"/>
    </row>
    <row r="18229" spans="1:1" s="199" customFormat="1" ht="12" hidden="1" customHeight="1">
      <c r="A18229" s="198"/>
    </row>
    <row r="18230" spans="1:1" s="199" customFormat="1" ht="12" hidden="1" customHeight="1">
      <c r="A18230" s="198"/>
    </row>
    <row r="18231" spans="1:1" s="199" customFormat="1" ht="12" hidden="1" customHeight="1">
      <c r="A18231" s="198"/>
    </row>
    <row r="18232" spans="1:1" s="199" customFormat="1" ht="12" hidden="1" customHeight="1">
      <c r="A18232" s="198"/>
    </row>
    <row r="18233" spans="1:1" s="199" customFormat="1" ht="12" hidden="1" customHeight="1">
      <c r="A18233" s="198"/>
    </row>
    <row r="18234" spans="1:1" s="199" customFormat="1" ht="12" hidden="1" customHeight="1">
      <c r="A18234" s="198"/>
    </row>
    <row r="18235" spans="1:1" s="199" customFormat="1" ht="12" hidden="1" customHeight="1">
      <c r="A18235" s="198"/>
    </row>
    <row r="18236" spans="1:1" s="199" customFormat="1" ht="12" hidden="1" customHeight="1">
      <c r="A18236" s="198"/>
    </row>
    <row r="18237" spans="1:1" s="199" customFormat="1" ht="12" hidden="1" customHeight="1">
      <c r="A18237" s="198"/>
    </row>
    <row r="18238" spans="1:1" s="199" customFormat="1" ht="12" hidden="1" customHeight="1">
      <c r="A18238" s="198"/>
    </row>
    <row r="18239" spans="1:1" s="199" customFormat="1" ht="12" hidden="1" customHeight="1">
      <c r="A18239" s="198"/>
    </row>
    <row r="18240" spans="1:1" s="199" customFormat="1" ht="12" hidden="1" customHeight="1">
      <c r="A18240" s="198"/>
    </row>
    <row r="18241" spans="1:1" s="199" customFormat="1" ht="12" hidden="1" customHeight="1">
      <c r="A18241" s="198"/>
    </row>
    <row r="18242" spans="1:1" s="199" customFormat="1" ht="12" hidden="1" customHeight="1">
      <c r="A18242" s="198"/>
    </row>
    <row r="18243" spans="1:1" s="199" customFormat="1" ht="12" hidden="1" customHeight="1">
      <c r="A18243" s="198"/>
    </row>
    <row r="18244" spans="1:1" s="199" customFormat="1" ht="12" hidden="1" customHeight="1">
      <c r="A18244" s="198"/>
    </row>
    <row r="18245" spans="1:1" s="199" customFormat="1" ht="12" hidden="1" customHeight="1">
      <c r="A18245" s="198"/>
    </row>
    <row r="18246" spans="1:1" s="199" customFormat="1" ht="12" hidden="1" customHeight="1">
      <c r="A18246" s="198"/>
    </row>
    <row r="18247" spans="1:1" s="199" customFormat="1" ht="12" hidden="1" customHeight="1">
      <c r="A18247" s="198"/>
    </row>
    <row r="18248" spans="1:1" s="199" customFormat="1" ht="12" hidden="1" customHeight="1">
      <c r="A18248" s="198"/>
    </row>
    <row r="18249" spans="1:1" s="199" customFormat="1" ht="12" hidden="1" customHeight="1">
      <c r="A18249" s="198"/>
    </row>
    <row r="18250" spans="1:1" s="199" customFormat="1" ht="12" hidden="1" customHeight="1">
      <c r="A18250" s="198"/>
    </row>
    <row r="18251" spans="1:1" s="199" customFormat="1" ht="12" hidden="1" customHeight="1">
      <c r="A18251" s="198"/>
    </row>
    <row r="18252" spans="1:1" s="199" customFormat="1" ht="12" hidden="1" customHeight="1">
      <c r="A18252" s="198"/>
    </row>
    <row r="18253" spans="1:1" s="199" customFormat="1" ht="12" hidden="1" customHeight="1">
      <c r="A18253" s="198"/>
    </row>
    <row r="18254" spans="1:1" s="199" customFormat="1" ht="12" hidden="1" customHeight="1">
      <c r="A18254" s="198"/>
    </row>
    <row r="18255" spans="1:1" s="199" customFormat="1" ht="12" hidden="1" customHeight="1">
      <c r="A18255" s="198"/>
    </row>
    <row r="18256" spans="1:1" s="199" customFormat="1" ht="12" hidden="1" customHeight="1">
      <c r="A18256" s="198"/>
    </row>
    <row r="18257" spans="1:1" s="199" customFormat="1" ht="12" hidden="1" customHeight="1">
      <c r="A18257" s="198"/>
    </row>
    <row r="18258" spans="1:1" s="199" customFormat="1" ht="12" hidden="1" customHeight="1">
      <c r="A18258" s="198"/>
    </row>
    <row r="18259" spans="1:1" s="199" customFormat="1" ht="12" hidden="1" customHeight="1">
      <c r="A18259" s="198"/>
    </row>
    <row r="18260" spans="1:1" s="199" customFormat="1" ht="12" hidden="1" customHeight="1">
      <c r="A18260" s="198"/>
    </row>
    <row r="18261" spans="1:1" s="199" customFormat="1" ht="12" hidden="1" customHeight="1">
      <c r="A18261" s="198"/>
    </row>
    <row r="18262" spans="1:1" s="199" customFormat="1" ht="12" hidden="1" customHeight="1">
      <c r="A18262" s="198"/>
    </row>
    <row r="18263" spans="1:1" s="199" customFormat="1" ht="12" hidden="1" customHeight="1">
      <c r="A18263" s="198"/>
    </row>
    <row r="18264" spans="1:1" s="199" customFormat="1" ht="12" hidden="1" customHeight="1">
      <c r="A18264" s="198"/>
    </row>
    <row r="18265" spans="1:1" s="199" customFormat="1" ht="12" hidden="1" customHeight="1">
      <c r="A18265" s="198"/>
    </row>
    <row r="18266" spans="1:1" s="199" customFormat="1" ht="12" hidden="1" customHeight="1">
      <c r="A18266" s="198"/>
    </row>
    <row r="18267" spans="1:1" s="199" customFormat="1" ht="12" hidden="1" customHeight="1">
      <c r="A18267" s="198"/>
    </row>
    <row r="18268" spans="1:1" s="199" customFormat="1" ht="12" hidden="1" customHeight="1">
      <c r="A18268" s="198"/>
    </row>
    <row r="18269" spans="1:1" s="199" customFormat="1" ht="12" hidden="1" customHeight="1">
      <c r="A18269" s="198"/>
    </row>
    <row r="18270" spans="1:1" s="199" customFormat="1" ht="12" hidden="1" customHeight="1">
      <c r="A18270" s="198"/>
    </row>
    <row r="18271" spans="1:1" s="199" customFormat="1" ht="12" hidden="1" customHeight="1">
      <c r="A18271" s="198"/>
    </row>
    <row r="18272" spans="1:1" s="199" customFormat="1" ht="12" hidden="1" customHeight="1">
      <c r="A18272" s="198"/>
    </row>
    <row r="18273" spans="1:1" s="199" customFormat="1" ht="12" hidden="1" customHeight="1">
      <c r="A18273" s="198"/>
    </row>
    <row r="18274" spans="1:1" s="199" customFormat="1" ht="12" hidden="1" customHeight="1">
      <c r="A18274" s="198"/>
    </row>
    <row r="18275" spans="1:1" s="199" customFormat="1" ht="12" hidden="1" customHeight="1">
      <c r="A18275" s="198"/>
    </row>
    <row r="18276" spans="1:1" s="199" customFormat="1" ht="12" hidden="1" customHeight="1">
      <c r="A18276" s="198"/>
    </row>
    <row r="18277" spans="1:1" s="199" customFormat="1" ht="12" hidden="1" customHeight="1">
      <c r="A18277" s="198"/>
    </row>
    <row r="18278" spans="1:1" s="199" customFormat="1" ht="12" hidden="1" customHeight="1">
      <c r="A18278" s="198"/>
    </row>
    <row r="18279" spans="1:1" s="199" customFormat="1" ht="12" hidden="1" customHeight="1">
      <c r="A18279" s="198"/>
    </row>
    <row r="18280" spans="1:1" s="199" customFormat="1" ht="12" hidden="1" customHeight="1">
      <c r="A18280" s="198"/>
    </row>
    <row r="18281" spans="1:1" s="199" customFormat="1" ht="12" hidden="1" customHeight="1">
      <c r="A18281" s="198"/>
    </row>
    <row r="18282" spans="1:1" s="199" customFormat="1" ht="12" hidden="1" customHeight="1">
      <c r="A18282" s="198"/>
    </row>
    <row r="18283" spans="1:1" s="199" customFormat="1" ht="12" hidden="1" customHeight="1">
      <c r="A18283" s="198"/>
    </row>
    <row r="18284" spans="1:1" s="199" customFormat="1" ht="12" hidden="1" customHeight="1">
      <c r="A18284" s="198"/>
    </row>
    <row r="18285" spans="1:1" s="199" customFormat="1" ht="12" hidden="1" customHeight="1">
      <c r="A18285" s="198"/>
    </row>
    <row r="18286" spans="1:1" s="199" customFormat="1" ht="12" hidden="1" customHeight="1">
      <c r="A18286" s="198"/>
    </row>
    <row r="18287" spans="1:1" s="199" customFormat="1" ht="12" hidden="1" customHeight="1">
      <c r="A18287" s="198"/>
    </row>
    <row r="18288" spans="1:1" s="199" customFormat="1" ht="12" hidden="1" customHeight="1">
      <c r="A18288" s="198"/>
    </row>
    <row r="18289" spans="1:1" s="199" customFormat="1" ht="12" hidden="1" customHeight="1">
      <c r="A18289" s="198"/>
    </row>
    <row r="18290" spans="1:1" s="199" customFormat="1" ht="12" hidden="1" customHeight="1">
      <c r="A18290" s="198"/>
    </row>
    <row r="18291" spans="1:1" s="199" customFormat="1" ht="12" hidden="1" customHeight="1">
      <c r="A18291" s="198"/>
    </row>
    <row r="18292" spans="1:1" s="199" customFormat="1" ht="12" hidden="1" customHeight="1">
      <c r="A18292" s="198"/>
    </row>
    <row r="18293" spans="1:1" s="199" customFormat="1" ht="12" hidden="1" customHeight="1">
      <c r="A18293" s="198"/>
    </row>
    <row r="18294" spans="1:1" s="199" customFormat="1" ht="12" hidden="1" customHeight="1">
      <c r="A18294" s="198"/>
    </row>
    <row r="18295" spans="1:1" s="199" customFormat="1" ht="12" hidden="1" customHeight="1">
      <c r="A18295" s="198"/>
    </row>
    <row r="18296" spans="1:1" s="199" customFormat="1" ht="12" hidden="1" customHeight="1">
      <c r="A18296" s="198"/>
    </row>
    <row r="18297" spans="1:1" s="199" customFormat="1" ht="12" hidden="1" customHeight="1">
      <c r="A18297" s="198"/>
    </row>
    <row r="18298" spans="1:1" s="199" customFormat="1" ht="12" hidden="1" customHeight="1">
      <c r="A18298" s="198"/>
    </row>
    <row r="18299" spans="1:1" s="199" customFormat="1" ht="12" hidden="1" customHeight="1">
      <c r="A18299" s="198"/>
    </row>
    <row r="18300" spans="1:1" s="199" customFormat="1" ht="12" hidden="1" customHeight="1">
      <c r="A18300" s="198"/>
    </row>
    <row r="18301" spans="1:1" s="199" customFormat="1" ht="12" hidden="1" customHeight="1">
      <c r="A18301" s="198"/>
    </row>
    <row r="18302" spans="1:1" s="199" customFormat="1" ht="12" hidden="1" customHeight="1">
      <c r="A18302" s="198"/>
    </row>
    <row r="18303" spans="1:1" s="199" customFormat="1" ht="12" hidden="1" customHeight="1">
      <c r="A18303" s="198"/>
    </row>
    <row r="18304" spans="1:1" s="199" customFormat="1" ht="12" hidden="1" customHeight="1">
      <c r="A18304" s="198"/>
    </row>
    <row r="18305" spans="1:1" s="199" customFormat="1" ht="12" hidden="1" customHeight="1">
      <c r="A18305" s="198"/>
    </row>
    <row r="18306" spans="1:1" s="199" customFormat="1" ht="12" hidden="1" customHeight="1">
      <c r="A18306" s="198"/>
    </row>
    <row r="18307" spans="1:1" s="199" customFormat="1" ht="12" hidden="1" customHeight="1">
      <c r="A18307" s="198"/>
    </row>
    <row r="18308" spans="1:1" s="199" customFormat="1" ht="12" hidden="1" customHeight="1">
      <c r="A18308" s="198"/>
    </row>
    <row r="18309" spans="1:1" s="199" customFormat="1" ht="12" hidden="1" customHeight="1">
      <c r="A18309" s="198"/>
    </row>
    <row r="18310" spans="1:1" s="199" customFormat="1" ht="12" hidden="1" customHeight="1">
      <c r="A18310" s="198"/>
    </row>
    <row r="18311" spans="1:1" s="199" customFormat="1" ht="12" hidden="1" customHeight="1">
      <c r="A18311" s="198"/>
    </row>
    <row r="18312" spans="1:1" s="199" customFormat="1" ht="12" hidden="1" customHeight="1">
      <c r="A18312" s="198"/>
    </row>
    <row r="18313" spans="1:1" s="199" customFormat="1" ht="12" hidden="1" customHeight="1">
      <c r="A18313" s="198"/>
    </row>
    <row r="18314" spans="1:1" s="199" customFormat="1" ht="12" hidden="1" customHeight="1">
      <c r="A18314" s="198"/>
    </row>
    <row r="18315" spans="1:1" s="199" customFormat="1" ht="12" hidden="1" customHeight="1">
      <c r="A18315" s="198"/>
    </row>
    <row r="18316" spans="1:1" s="199" customFormat="1" ht="12" hidden="1" customHeight="1">
      <c r="A18316" s="198"/>
    </row>
    <row r="18317" spans="1:1" s="199" customFormat="1" ht="12" hidden="1" customHeight="1">
      <c r="A18317" s="198"/>
    </row>
    <row r="18318" spans="1:1" s="199" customFormat="1" ht="12" hidden="1" customHeight="1">
      <c r="A18318" s="198"/>
    </row>
    <row r="18319" spans="1:1" s="199" customFormat="1" ht="12" hidden="1" customHeight="1">
      <c r="A18319" s="198"/>
    </row>
    <row r="18320" spans="1:1" s="199" customFormat="1" ht="12" hidden="1" customHeight="1">
      <c r="A18320" s="198"/>
    </row>
    <row r="18321" spans="1:1" s="199" customFormat="1" ht="12" hidden="1" customHeight="1">
      <c r="A18321" s="198"/>
    </row>
    <row r="18322" spans="1:1" s="199" customFormat="1" ht="12" hidden="1" customHeight="1">
      <c r="A18322" s="198"/>
    </row>
    <row r="18323" spans="1:1" s="199" customFormat="1" ht="12" hidden="1" customHeight="1">
      <c r="A18323" s="198"/>
    </row>
    <row r="18324" spans="1:1" s="199" customFormat="1" ht="12" hidden="1" customHeight="1">
      <c r="A18324" s="198"/>
    </row>
    <row r="18325" spans="1:1" s="199" customFormat="1" ht="12" hidden="1" customHeight="1">
      <c r="A18325" s="198"/>
    </row>
    <row r="18326" spans="1:1" s="199" customFormat="1" ht="12" hidden="1" customHeight="1">
      <c r="A18326" s="198"/>
    </row>
    <row r="18327" spans="1:1" s="199" customFormat="1" ht="12" hidden="1" customHeight="1">
      <c r="A18327" s="198"/>
    </row>
    <row r="18328" spans="1:1" s="199" customFormat="1" ht="12" hidden="1" customHeight="1">
      <c r="A18328" s="198"/>
    </row>
    <row r="18329" spans="1:1" s="199" customFormat="1" ht="12" hidden="1" customHeight="1">
      <c r="A18329" s="198"/>
    </row>
    <row r="18330" spans="1:1" s="199" customFormat="1" ht="12" hidden="1" customHeight="1">
      <c r="A18330" s="198"/>
    </row>
    <row r="18331" spans="1:1" s="199" customFormat="1" ht="12" hidden="1" customHeight="1">
      <c r="A18331" s="198"/>
    </row>
    <row r="18332" spans="1:1" s="199" customFormat="1" ht="12" hidden="1" customHeight="1">
      <c r="A18332" s="198"/>
    </row>
    <row r="18333" spans="1:1" s="199" customFormat="1" ht="12" hidden="1" customHeight="1">
      <c r="A18333" s="198"/>
    </row>
    <row r="18334" spans="1:1" s="199" customFormat="1" ht="12" hidden="1" customHeight="1">
      <c r="A18334" s="198"/>
    </row>
    <row r="18335" spans="1:1" s="199" customFormat="1" ht="12" hidden="1" customHeight="1">
      <c r="A18335" s="198"/>
    </row>
    <row r="18336" spans="1:1" s="199" customFormat="1" ht="12" hidden="1" customHeight="1">
      <c r="A18336" s="198"/>
    </row>
    <row r="18337" spans="1:1" s="199" customFormat="1" ht="12" hidden="1" customHeight="1">
      <c r="A18337" s="198"/>
    </row>
    <row r="18338" spans="1:1" s="199" customFormat="1" ht="12" hidden="1" customHeight="1">
      <c r="A18338" s="198"/>
    </row>
    <row r="18339" spans="1:1" s="199" customFormat="1" ht="12" hidden="1" customHeight="1">
      <c r="A18339" s="198"/>
    </row>
    <row r="18340" spans="1:1" s="199" customFormat="1" ht="12" hidden="1" customHeight="1">
      <c r="A18340" s="198"/>
    </row>
    <row r="18341" spans="1:1" s="199" customFormat="1" ht="12" hidden="1" customHeight="1">
      <c r="A18341" s="198"/>
    </row>
    <row r="18342" spans="1:1" s="199" customFormat="1" ht="12" hidden="1" customHeight="1">
      <c r="A18342" s="198"/>
    </row>
    <row r="18343" spans="1:1" s="199" customFormat="1" ht="12" hidden="1" customHeight="1">
      <c r="A18343" s="198"/>
    </row>
    <row r="18344" spans="1:1" s="199" customFormat="1" ht="12" hidden="1" customHeight="1">
      <c r="A18344" s="198"/>
    </row>
    <row r="18345" spans="1:1" s="199" customFormat="1" ht="12" hidden="1" customHeight="1">
      <c r="A18345" s="198"/>
    </row>
    <row r="18346" spans="1:1" s="199" customFormat="1" ht="12" hidden="1" customHeight="1">
      <c r="A18346" s="198"/>
    </row>
    <row r="18347" spans="1:1" s="199" customFormat="1" ht="12" hidden="1" customHeight="1">
      <c r="A18347" s="198"/>
    </row>
    <row r="18348" spans="1:1" s="199" customFormat="1" ht="12" hidden="1" customHeight="1">
      <c r="A18348" s="198"/>
    </row>
    <row r="18349" spans="1:1" s="199" customFormat="1" ht="12" hidden="1" customHeight="1">
      <c r="A18349" s="198"/>
    </row>
    <row r="18350" spans="1:1" s="199" customFormat="1" ht="12" hidden="1" customHeight="1">
      <c r="A18350" s="198"/>
    </row>
    <row r="18351" spans="1:1" s="199" customFormat="1" ht="12" hidden="1" customHeight="1">
      <c r="A18351" s="198"/>
    </row>
    <row r="18352" spans="1:1" s="199" customFormat="1" ht="12" hidden="1" customHeight="1">
      <c r="A18352" s="198"/>
    </row>
    <row r="18353" spans="1:1" s="199" customFormat="1" ht="12" hidden="1" customHeight="1">
      <c r="A18353" s="198"/>
    </row>
    <row r="18354" spans="1:1" s="199" customFormat="1" ht="12" hidden="1" customHeight="1">
      <c r="A18354" s="198"/>
    </row>
    <row r="18355" spans="1:1" s="199" customFormat="1" ht="12" hidden="1" customHeight="1">
      <c r="A18355" s="198"/>
    </row>
    <row r="18356" spans="1:1" s="199" customFormat="1" ht="12" hidden="1" customHeight="1">
      <c r="A18356" s="198"/>
    </row>
    <row r="18357" spans="1:1" s="199" customFormat="1" ht="12" hidden="1" customHeight="1">
      <c r="A18357" s="198"/>
    </row>
    <row r="18358" spans="1:1" s="199" customFormat="1" ht="12" hidden="1" customHeight="1">
      <c r="A18358" s="198"/>
    </row>
    <row r="18359" spans="1:1" s="199" customFormat="1" ht="12" hidden="1" customHeight="1">
      <c r="A18359" s="198"/>
    </row>
    <row r="18360" spans="1:1" s="199" customFormat="1" ht="12" hidden="1" customHeight="1">
      <c r="A18360" s="198"/>
    </row>
    <row r="18361" spans="1:1" s="199" customFormat="1" ht="12" hidden="1" customHeight="1">
      <c r="A18361" s="198"/>
    </row>
    <row r="18362" spans="1:1" s="199" customFormat="1" ht="12" hidden="1" customHeight="1">
      <c r="A18362" s="198"/>
    </row>
    <row r="18363" spans="1:1" s="199" customFormat="1" ht="12" hidden="1" customHeight="1">
      <c r="A18363" s="198"/>
    </row>
    <row r="18364" spans="1:1" s="199" customFormat="1" ht="12" hidden="1" customHeight="1">
      <c r="A18364" s="198"/>
    </row>
    <row r="18365" spans="1:1" s="199" customFormat="1" ht="12" hidden="1" customHeight="1">
      <c r="A18365" s="198"/>
    </row>
    <row r="18366" spans="1:1" s="199" customFormat="1" ht="12" hidden="1" customHeight="1">
      <c r="A18366" s="198"/>
    </row>
    <row r="18367" spans="1:1" s="199" customFormat="1" ht="12" hidden="1" customHeight="1">
      <c r="A18367" s="198"/>
    </row>
    <row r="18368" spans="1:1" s="199" customFormat="1" ht="12" hidden="1" customHeight="1">
      <c r="A18368" s="198"/>
    </row>
    <row r="18369" spans="1:1" s="199" customFormat="1" ht="12" hidden="1" customHeight="1">
      <c r="A18369" s="198"/>
    </row>
    <row r="18370" spans="1:1" s="199" customFormat="1" ht="12" hidden="1" customHeight="1">
      <c r="A18370" s="198"/>
    </row>
    <row r="18371" spans="1:1" s="199" customFormat="1" ht="12" hidden="1" customHeight="1">
      <c r="A18371" s="198"/>
    </row>
    <row r="18372" spans="1:1" s="199" customFormat="1" ht="12" hidden="1" customHeight="1">
      <c r="A18372" s="198"/>
    </row>
    <row r="18373" spans="1:1" s="199" customFormat="1" ht="12" hidden="1" customHeight="1">
      <c r="A18373" s="198"/>
    </row>
    <row r="18374" spans="1:1" s="199" customFormat="1" ht="12" hidden="1" customHeight="1">
      <c r="A18374" s="198"/>
    </row>
    <row r="18375" spans="1:1" s="199" customFormat="1" ht="12" hidden="1" customHeight="1">
      <c r="A18375" s="198"/>
    </row>
    <row r="18376" spans="1:1" s="199" customFormat="1" ht="12" hidden="1" customHeight="1">
      <c r="A18376" s="198"/>
    </row>
    <row r="18377" spans="1:1" s="199" customFormat="1" ht="12" hidden="1" customHeight="1">
      <c r="A18377" s="198"/>
    </row>
    <row r="18378" spans="1:1" s="199" customFormat="1" ht="12" hidden="1" customHeight="1">
      <c r="A18378" s="198"/>
    </row>
    <row r="18379" spans="1:1" s="199" customFormat="1" ht="12" hidden="1" customHeight="1">
      <c r="A18379" s="198"/>
    </row>
    <row r="18380" spans="1:1" s="199" customFormat="1" ht="12" hidden="1" customHeight="1">
      <c r="A18380" s="198"/>
    </row>
    <row r="18381" spans="1:1" s="199" customFormat="1" ht="12" hidden="1" customHeight="1">
      <c r="A18381" s="198"/>
    </row>
    <row r="18382" spans="1:1" s="199" customFormat="1" ht="12" hidden="1" customHeight="1">
      <c r="A18382" s="198"/>
    </row>
    <row r="18383" spans="1:1" s="199" customFormat="1" ht="12" hidden="1" customHeight="1">
      <c r="A18383" s="198"/>
    </row>
    <row r="18384" spans="1:1" s="199" customFormat="1" ht="12" hidden="1" customHeight="1">
      <c r="A18384" s="198"/>
    </row>
    <row r="18385" spans="1:1" s="199" customFormat="1" ht="12" hidden="1" customHeight="1">
      <c r="A18385" s="198"/>
    </row>
    <row r="18386" spans="1:1" s="199" customFormat="1" ht="12" hidden="1" customHeight="1">
      <c r="A18386" s="198"/>
    </row>
    <row r="18387" spans="1:1" s="199" customFormat="1" ht="12" hidden="1" customHeight="1">
      <c r="A18387" s="198"/>
    </row>
    <row r="18388" spans="1:1" s="199" customFormat="1" ht="12" hidden="1" customHeight="1">
      <c r="A18388" s="198"/>
    </row>
    <row r="18389" spans="1:1" s="199" customFormat="1" ht="12" hidden="1" customHeight="1">
      <c r="A18389" s="198"/>
    </row>
    <row r="18390" spans="1:1" s="199" customFormat="1" ht="12" hidden="1" customHeight="1">
      <c r="A18390" s="198"/>
    </row>
    <row r="18391" spans="1:1" s="199" customFormat="1" ht="12" hidden="1" customHeight="1">
      <c r="A18391" s="198"/>
    </row>
    <row r="18392" spans="1:1" s="199" customFormat="1" ht="12" hidden="1" customHeight="1">
      <c r="A18392" s="198"/>
    </row>
    <row r="18393" spans="1:1" s="199" customFormat="1" ht="12" hidden="1" customHeight="1">
      <c r="A18393" s="198"/>
    </row>
    <row r="18394" spans="1:1" s="199" customFormat="1" ht="12" hidden="1" customHeight="1">
      <c r="A18394" s="198"/>
    </row>
    <row r="18395" spans="1:1" s="199" customFormat="1" ht="12" hidden="1" customHeight="1">
      <c r="A18395" s="198"/>
    </row>
    <row r="18396" spans="1:1" s="199" customFormat="1" ht="12" hidden="1" customHeight="1">
      <c r="A18396" s="198"/>
    </row>
    <row r="18397" spans="1:1" s="199" customFormat="1" ht="12" hidden="1" customHeight="1">
      <c r="A18397" s="198"/>
    </row>
    <row r="18398" spans="1:1" s="199" customFormat="1" ht="12" hidden="1" customHeight="1">
      <c r="A18398" s="198"/>
    </row>
    <row r="18399" spans="1:1" s="199" customFormat="1" ht="12" hidden="1" customHeight="1">
      <c r="A18399" s="198"/>
    </row>
    <row r="18400" spans="1:1" s="199" customFormat="1" ht="12" hidden="1" customHeight="1">
      <c r="A18400" s="198"/>
    </row>
    <row r="18401" spans="1:1" s="199" customFormat="1" ht="12" hidden="1" customHeight="1">
      <c r="A18401" s="198"/>
    </row>
    <row r="18402" spans="1:1" s="199" customFormat="1" ht="12" hidden="1" customHeight="1">
      <c r="A18402" s="198"/>
    </row>
    <row r="18403" spans="1:1" s="199" customFormat="1" ht="12" hidden="1" customHeight="1">
      <c r="A18403" s="198"/>
    </row>
    <row r="18404" spans="1:1" s="199" customFormat="1" ht="12" hidden="1" customHeight="1">
      <c r="A18404" s="198"/>
    </row>
    <row r="18405" spans="1:1" s="199" customFormat="1" ht="12" hidden="1" customHeight="1">
      <c r="A18405" s="198"/>
    </row>
    <row r="18406" spans="1:1" s="199" customFormat="1" ht="12" hidden="1" customHeight="1">
      <c r="A18406" s="198"/>
    </row>
    <row r="18407" spans="1:1" s="199" customFormat="1" ht="12" hidden="1" customHeight="1">
      <c r="A18407" s="198"/>
    </row>
    <row r="18408" spans="1:1" s="199" customFormat="1" ht="12" hidden="1" customHeight="1">
      <c r="A18408" s="198"/>
    </row>
    <row r="18409" spans="1:1" s="199" customFormat="1" ht="12" hidden="1" customHeight="1">
      <c r="A18409" s="198"/>
    </row>
    <row r="18410" spans="1:1" s="199" customFormat="1" ht="12" hidden="1" customHeight="1">
      <c r="A18410" s="198"/>
    </row>
    <row r="18411" spans="1:1" s="199" customFormat="1" ht="12" hidden="1" customHeight="1">
      <c r="A18411" s="198"/>
    </row>
    <row r="18412" spans="1:1" s="199" customFormat="1" ht="12" hidden="1" customHeight="1">
      <c r="A18412" s="198"/>
    </row>
    <row r="18413" spans="1:1" s="199" customFormat="1" ht="12" hidden="1" customHeight="1">
      <c r="A18413" s="198"/>
    </row>
    <row r="18414" spans="1:1" s="199" customFormat="1" ht="12" hidden="1" customHeight="1">
      <c r="A18414" s="198"/>
    </row>
    <row r="18415" spans="1:1" s="199" customFormat="1" ht="12" hidden="1" customHeight="1">
      <c r="A18415" s="198"/>
    </row>
    <row r="18416" spans="1:1" s="199" customFormat="1" ht="12" hidden="1" customHeight="1">
      <c r="A18416" s="198"/>
    </row>
    <row r="18417" spans="1:1" s="199" customFormat="1" ht="12" hidden="1" customHeight="1">
      <c r="A18417" s="198"/>
    </row>
    <row r="18418" spans="1:1" s="199" customFormat="1" ht="12" hidden="1" customHeight="1">
      <c r="A18418" s="198"/>
    </row>
    <row r="18419" spans="1:1" s="199" customFormat="1" ht="12" hidden="1" customHeight="1">
      <c r="A18419" s="198"/>
    </row>
    <row r="18420" spans="1:1" s="199" customFormat="1" ht="12" hidden="1" customHeight="1">
      <c r="A18420" s="198"/>
    </row>
    <row r="18421" spans="1:1" s="199" customFormat="1" ht="12" hidden="1" customHeight="1">
      <c r="A18421" s="198"/>
    </row>
    <row r="18422" spans="1:1" s="199" customFormat="1" ht="12" hidden="1" customHeight="1">
      <c r="A18422" s="198"/>
    </row>
    <row r="18423" spans="1:1" s="199" customFormat="1" ht="12" hidden="1" customHeight="1">
      <c r="A18423" s="198"/>
    </row>
    <row r="18424" spans="1:1" s="199" customFormat="1" ht="12" hidden="1" customHeight="1">
      <c r="A18424" s="198"/>
    </row>
    <row r="18425" spans="1:1" s="199" customFormat="1" ht="12" hidden="1" customHeight="1">
      <c r="A18425" s="198"/>
    </row>
    <row r="18426" spans="1:1" s="199" customFormat="1" ht="12" hidden="1" customHeight="1">
      <c r="A18426" s="198"/>
    </row>
    <row r="18427" spans="1:1" s="199" customFormat="1" ht="12" hidden="1" customHeight="1">
      <c r="A18427" s="198"/>
    </row>
    <row r="18428" spans="1:1" s="199" customFormat="1" ht="12" hidden="1" customHeight="1">
      <c r="A18428" s="198"/>
    </row>
    <row r="18429" spans="1:1" s="199" customFormat="1" ht="12" hidden="1" customHeight="1">
      <c r="A18429" s="198"/>
    </row>
    <row r="18430" spans="1:1" s="199" customFormat="1" ht="12" hidden="1" customHeight="1">
      <c r="A18430" s="198"/>
    </row>
    <row r="18431" spans="1:1" s="199" customFormat="1" ht="12" hidden="1" customHeight="1">
      <c r="A18431" s="198"/>
    </row>
    <row r="18432" spans="1:1" s="199" customFormat="1" ht="12" hidden="1" customHeight="1">
      <c r="A18432" s="198"/>
    </row>
    <row r="18433" spans="1:1" s="199" customFormat="1" ht="12" hidden="1" customHeight="1">
      <c r="A18433" s="198"/>
    </row>
    <row r="18434" spans="1:1" s="199" customFormat="1" ht="12" hidden="1" customHeight="1">
      <c r="A18434" s="198"/>
    </row>
    <row r="18435" spans="1:1" s="199" customFormat="1" ht="12" hidden="1" customHeight="1">
      <c r="A18435" s="198"/>
    </row>
    <row r="18436" spans="1:1" s="199" customFormat="1" ht="12" hidden="1" customHeight="1">
      <c r="A18436" s="198"/>
    </row>
    <row r="18437" spans="1:1" s="199" customFormat="1" ht="12" hidden="1" customHeight="1">
      <c r="A18437" s="198"/>
    </row>
    <row r="18438" spans="1:1" s="199" customFormat="1" ht="12" hidden="1" customHeight="1">
      <c r="A18438" s="198"/>
    </row>
    <row r="18439" spans="1:1" s="199" customFormat="1" ht="12" hidden="1" customHeight="1">
      <c r="A18439" s="198"/>
    </row>
    <row r="18440" spans="1:1" s="199" customFormat="1" ht="12" hidden="1" customHeight="1">
      <c r="A18440" s="198"/>
    </row>
    <row r="18441" spans="1:1" s="199" customFormat="1" ht="12" hidden="1" customHeight="1">
      <c r="A18441" s="198"/>
    </row>
    <row r="18442" spans="1:1" s="199" customFormat="1" ht="12" hidden="1" customHeight="1">
      <c r="A18442" s="198"/>
    </row>
    <row r="18443" spans="1:1" s="199" customFormat="1" ht="12" hidden="1" customHeight="1">
      <c r="A18443" s="198"/>
    </row>
    <row r="18444" spans="1:1" s="199" customFormat="1" ht="12" hidden="1" customHeight="1">
      <c r="A18444" s="198"/>
    </row>
    <row r="18445" spans="1:1" s="199" customFormat="1" ht="12" hidden="1" customHeight="1">
      <c r="A18445" s="198"/>
    </row>
    <row r="18446" spans="1:1" s="199" customFormat="1" ht="12" hidden="1" customHeight="1">
      <c r="A18446" s="198"/>
    </row>
    <row r="18447" spans="1:1" s="199" customFormat="1" ht="12" hidden="1" customHeight="1">
      <c r="A18447" s="198"/>
    </row>
    <row r="18448" spans="1:1" s="199" customFormat="1" ht="12" hidden="1" customHeight="1">
      <c r="A18448" s="198"/>
    </row>
    <row r="18449" spans="1:1" s="199" customFormat="1" ht="12" hidden="1" customHeight="1">
      <c r="A18449" s="198"/>
    </row>
    <row r="18450" spans="1:1" s="199" customFormat="1" ht="12" hidden="1" customHeight="1">
      <c r="A18450" s="198"/>
    </row>
    <row r="18451" spans="1:1" s="199" customFormat="1" ht="12" hidden="1" customHeight="1">
      <c r="A18451" s="198"/>
    </row>
    <row r="18452" spans="1:1" s="199" customFormat="1" ht="12" hidden="1" customHeight="1">
      <c r="A18452" s="198"/>
    </row>
    <row r="18453" spans="1:1" s="199" customFormat="1" ht="12" hidden="1" customHeight="1">
      <c r="A18453" s="198"/>
    </row>
    <row r="18454" spans="1:1" s="199" customFormat="1" ht="12" hidden="1" customHeight="1">
      <c r="A18454" s="198"/>
    </row>
    <row r="18455" spans="1:1" s="199" customFormat="1" ht="12" hidden="1" customHeight="1">
      <c r="A18455" s="198"/>
    </row>
    <row r="18456" spans="1:1" s="199" customFormat="1" ht="12" hidden="1" customHeight="1">
      <c r="A18456" s="198"/>
    </row>
    <row r="18457" spans="1:1" s="199" customFormat="1" ht="12" hidden="1" customHeight="1">
      <c r="A18457" s="198"/>
    </row>
    <row r="18458" spans="1:1" s="199" customFormat="1" ht="12" hidden="1" customHeight="1">
      <c r="A18458" s="198"/>
    </row>
    <row r="18459" spans="1:1" s="199" customFormat="1" ht="12" hidden="1" customHeight="1">
      <c r="A18459" s="198"/>
    </row>
    <row r="18460" spans="1:1" s="199" customFormat="1" ht="12" hidden="1" customHeight="1">
      <c r="A18460" s="198"/>
    </row>
    <row r="18461" spans="1:1" s="199" customFormat="1" ht="12" hidden="1" customHeight="1">
      <c r="A18461" s="198"/>
    </row>
    <row r="18462" spans="1:1" s="199" customFormat="1" ht="12" hidden="1" customHeight="1">
      <c r="A18462" s="198"/>
    </row>
    <row r="18463" spans="1:1" s="199" customFormat="1" ht="12" hidden="1" customHeight="1">
      <c r="A18463" s="198"/>
    </row>
    <row r="18464" spans="1:1" s="199" customFormat="1" ht="12" hidden="1" customHeight="1">
      <c r="A18464" s="198"/>
    </row>
    <row r="18465" spans="1:1" s="199" customFormat="1" ht="12" hidden="1" customHeight="1">
      <c r="A18465" s="198"/>
    </row>
    <row r="18466" spans="1:1" s="199" customFormat="1" ht="12" hidden="1" customHeight="1">
      <c r="A18466" s="198"/>
    </row>
    <row r="18467" spans="1:1" s="199" customFormat="1" ht="12" hidden="1" customHeight="1">
      <c r="A18467" s="198"/>
    </row>
    <row r="18468" spans="1:1" s="199" customFormat="1" ht="12" hidden="1" customHeight="1">
      <c r="A18468" s="198"/>
    </row>
    <row r="18469" spans="1:1" s="199" customFormat="1" ht="12" hidden="1" customHeight="1">
      <c r="A18469" s="198"/>
    </row>
    <row r="18470" spans="1:1" s="199" customFormat="1" ht="12" hidden="1" customHeight="1">
      <c r="A18470" s="198"/>
    </row>
    <row r="18471" spans="1:1" s="199" customFormat="1" ht="12" hidden="1" customHeight="1">
      <c r="A18471" s="198"/>
    </row>
    <row r="18472" spans="1:1" s="199" customFormat="1" ht="12" hidden="1" customHeight="1">
      <c r="A18472" s="198"/>
    </row>
    <row r="18473" spans="1:1" s="199" customFormat="1" ht="12" hidden="1" customHeight="1">
      <c r="A18473" s="198"/>
    </row>
    <row r="18474" spans="1:1" s="199" customFormat="1" ht="12" hidden="1" customHeight="1">
      <c r="A18474" s="198"/>
    </row>
    <row r="18475" spans="1:1" s="199" customFormat="1" ht="12" hidden="1" customHeight="1">
      <c r="A18475" s="198"/>
    </row>
    <row r="18476" spans="1:1" s="199" customFormat="1" ht="12" hidden="1" customHeight="1">
      <c r="A18476" s="198"/>
    </row>
    <row r="18477" spans="1:1" s="199" customFormat="1" ht="12" hidden="1" customHeight="1">
      <c r="A18477" s="198"/>
    </row>
    <row r="18478" spans="1:1" s="199" customFormat="1" ht="12" hidden="1" customHeight="1">
      <c r="A18478" s="198"/>
    </row>
    <row r="18479" spans="1:1" s="199" customFormat="1" ht="12" hidden="1" customHeight="1">
      <c r="A18479" s="198"/>
    </row>
    <row r="18480" spans="1:1" s="199" customFormat="1" ht="12" hidden="1" customHeight="1">
      <c r="A18480" s="198"/>
    </row>
    <row r="18481" spans="1:1" s="199" customFormat="1" ht="12" hidden="1" customHeight="1">
      <c r="A18481" s="198"/>
    </row>
    <row r="18482" spans="1:1" s="199" customFormat="1" ht="12" hidden="1" customHeight="1">
      <c r="A18482" s="198"/>
    </row>
    <row r="18483" spans="1:1" s="199" customFormat="1" ht="12" hidden="1" customHeight="1">
      <c r="A18483" s="198"/>
    </row>
    <row r="18484" spans="1:1" s="199" customFormat="1" ht="12" hidden="1" customHeight="1">
      <c r="A18484" s="198"/>
    </row>
    <row r="18485" spans="1:1" s="199" customFormat="1" ht="12" hidden="1" customHeight="1">
      <c r="A18485" s="198"/>
    </row>
    <row r="18486" spans="1:1" s="199" customFormat="1" ht="12" hidden="1" customHeight="1">
      <c r="A18486" s="198"/>
    </row>
    <row r="18487" spans="1:1" s="199" customFormat="1" ht="12" hidden="1" customHeight="1">
      <c r="A18487" s="198"/>
    </row>
    <row r="18488" spans="1:1" s="199" customFormat="1" ht="12" hidden="1" customHeight="1">
      <c r="A18488" s="198"/>
    </row>
    <row r="18489" spans="1:1" s="199" customFormat="1" ht="12" hidden="1" customHeight="1">
      <c r="A18489" s="198"/>
    </row>
    <row r="18490" spans="1:1" s="199" customFormat="1" ht="12" hidden="1" customHeight="1">
      <c r="A18490" s="198"/>
    </row>
    <row r="18491" spans="1:1" s="199" customFormat="1" ht="12" hidden="1" customHeight="1">
      <c r="A18491" s="198"/>
    </row>
    <row r="18492" spans="1:1" s="199" customFormat="1" ht="12" hidden="1" customHeight="1">
      <c r="A18492" s="198"/>
    </row>
    <row r="18493" spans="1:1" s="199" customFormat="1" ht="12" hidden="1" customHeight="1">
      <c r="A18493" s="198"/>
    </row>
    <row r="18494" spans="1:1" s="199" customFormat="1" ht="12" hidden="1" customHeight="1">
      <c r="A18494" s="198"/>
    </row>
    <row r="18495" spans="1:1" s="199" customFormat="1" ht="12" hidden="1" customHeight="1">
      <c r="A18495" s="198"/>
    </row>
    <row r="18496" spans="1:1" s="199" customFormat="1" ht="12" hidden="1" customHeight="1">
      <c r="A18496" s="198"/>
    </row>
    <row r="18497" spans="1:1" s="199" customFormat="1" ht="12" hidden="1" customHeight="1">
      <c r="A18497" s="198"/>
    </row>
    <row r="18498" spans="1:1" s="199" customFormat="1" ht="12" hidden="1" customHeight="1">
      <c r="A18498" s="198"/>
    </row>
    <row r="18499" spans="1:1" s="199" customFormat="1" ht="12" hidden="1" customHeight="1">
      <c r="A18499" s="198"/>
    </row>
    <row r="18500" spans="1:1" s="199" customFormat="1" ht="12" hidden="1" customHeight="1">
      <c r="A18500" s="198"/>
    </row>
    <row r="18501" spans="1:1" s="199" customFormat="1" ht="12" hidden="1" customHeight="1">
      <c r="A18501" s="198"/>
    </row>
    <row r="18502" spans="1:1" s="199" customFormat="1" ht="12" hidden="1" customHeight="1">
      <c r="A18502" s="198"/>
    </row>
    <row r="18503" spans="1:1" s="199" customFormat="1" ht="12" hidden="1" customHeight="1">
      <c r="A18503" s="198"/>
    </row>
    <row r="18504" spans="1:1" s="199" customFormat="1" ht="12" hidden="1" customHeight="1">
      <c r="A18504" s="198"/>
    </row>
    <row r="18505" spans="1:1" s="199" customFormat="1" ht="12" hidden="1" customHeight="1">
      <c r="A18505" s="198"/>
    </row>
    <row r="18506" spans="1:1" s="199" customFormat="1" ht="12" hidden="1" customHeight="1">
      <c r="A18506" s="198"/>
    </row>
    <row r="18507" spans="1:1" s="199" customFormat="1" ht="12" hidden="1" customHeight="1">
      <c r="A18507" s="198"/>
    </row>
    <row r="18508" spans="1:1" s="199" customFormat="1" ht="12" hidden="1" customHeight="1">
      <c r="A18508" s="198"/>
    </row>
    <row r="18509" spans="1:1" s="199" customFormat="1" ht="12" hidden="1" customHeight="1">
      <c r="A18509" s="198"/>
    </row>
    <row r="18510" spans="1:1" s="199" customFormat="1" ht="12" hidden="1" customHeight="1">
      <c r="A18510" s="198"/>
    </row>
    <row r="18511" spans="1:1" s="199" customFormat="1" ht="12" hidden="1" customHeight="1">
      <c r="A18511" s="198"/>
    </row>
    <row r="18512" spans="1:1" s="199" customFormat="1" ht="12" hidden="1" customHeight="1">
      <c r="A18512" s="198"/>
    </row>
    <row r="18513" spans="1:1" s="199" customFormat="1" ht="12" hidden="1" customHeight="1">
      <c r="A18513" s="198"/>
    </row>
    <row r="18514" spans="1:1" s="199" customFormat="1" ht="12" hidden="1" customHeight="1">
      <c r="A18514" s="198"/>
    </row>
    <row r="18515" spans="1:1" s="199" customFormat="1" ht="12" hidden="1" customHeight="1">
      <c r="A18515" s="198"/>
    </row>
    <row r="18516" spans="1:1" s="199" customFormat="1" ht="12" hidden="1" customHeight="1">
      <c r="A18516" s="198"/>
    </row>
    <row r="18517" spans="1:1" s="199" customFormat="1" ht="12" hidden="1" customHeight="1">
      <c r="A18517" s="198"/>
    </row>
    <row r="18518" spans="1:1" s="199" customFormat="1" ht="12" hidden="1" customHeight="1">
      <c r="A18518" s="198"/>
    </row>
    <row r="18519" spans="1:1" s="199" customFormat="1" ht="12" hidden="1" customHeight="1">
      <c r="A18519" s="198"/>
    </row>
    <row r="18520" spans="1:1" s="199" customFormat="1" ht="12" hidden="1" customHeight="1">
      <c r="A18520" s="198"/>
    </row>
    <row r="18521" spans="1:1" s="199" customFormat="1" ht="12" hidden="1" customHeight="1">
      <c r="A18521" s="198"/>
    </row>
    <row r="18522" spans="1:1" s="199" customFormat="1" ht="12" hidden="1" customHeight="1">
      <c r="A18522" s="198"/>
    </row>
    <row r="18523" spans="1:1" s="199" customFormat="1" ht="12" hidden="1" customHeight="1">
      <c r="A18523" s="198"/>
    </row>
    <row r="18524" spans="1:1" s="199" customFormat="1" ht="12" hidden="1" customHeight="1">
      <c r="A18524" s="198"/>
    </row>
    <row r="18525" spans="1:1" s="199" customFormat="1" ht="12" hidden="1" customHeight="1">
      <c r="A18525" s="198"/>
    </row>
    <row r="18526" spans="1:1" s="199" customFormat="1" ht="12" hidden="1" customHeight="1">
      <c r="A18526" s="198"/>
    </row>
    <row r="18527" spans="1:1" s="199" customFormat="1" ht="12" hidden="1" customHeight="1">
      <c r="A18527" s="198"/>
    </row>
    <row r="18528" spans="1:1" s="199" customFormat="1" ht="12" hidden="1" customHeight="1">
      <c r="A18528" s="198"/>
    </row>
    <row r="18529" spans="1:1" s="199" customFormat="1" ht="12" hidden="1" customHeight="1">
      <c r="A18529" s="198"/>
    </row>
    <row r="18530" spans="1:1" s="199" customFormat="1" ht="12" hidden="1" customHeight="1">
      <c r="A18530" s="198"/>
    </row>
    <row r="18531" spans="1:1" s="199" customFormat="1" ht="12" hidden="1" customHeight="1">
      <c r="A18531" s="198"/>
    </row>
    <row r="18532" spans="1:1" s="199" customFormat="1" ht="12" hidden="1" customHeight="1">
      <c r="A18532" s="198"/>
    </row>
    <row r="18533" spans="1:1" s="199" customFormat="1" ht="12" hidden="1" customHeight="1">
      <c r="A18533" s="198"/>
    </row>
    <row r="18534" spans="1:1" s="199" customFormat="1" ht="12" hidden="1" customHeight="1">
      <c r="A18534" s="198"/>
    </row>
    <row r="18535" spans="1:1" s="199" customFormat="1" ht="12" hidden="1" customHeight="1">
      <c r="A18535" s="198"/>
    </row>
    <row r="18536" spans="1:1" s="199" customFormat="1" ht="12" hidden="1" customHeight="1">
      <c r="A18536" s="198"/>
    </row>
    <row r="18537" spans="1:1" s="199" customFormat="1" ht="12" hidden="1" customHeight="1">
      <c r="A18537" s="198"/>
    </row>
    <row r="18538" spans="1:1" s="199" customFormat="1" ht="12" hidden="1" customHeight="1">
      <c r="A18538" s="198"/>
    </row>
    <row r="18539" spans="1:1" s="199" customFormat="1" ht="12" hidden="1" customHeight="1">
      <c r="A18539" s="198"/>
    </row>
    <row r="18540" spans="1:1" s="199" customFormat="1" ht="12" hidden="1" customHeight="1">
      <c r="A18540" s="198"/>
    </row>
    <row r="18541" spans="1:1" s="199" customFormat="1" ht="12" hidden="1" customHeight="1">
      <c r="A18541" s="198"/>
    </row>
    <row r="18542" spans="1:1" s="199" customFormat="1" ht="12" hidden="1" customHeight="1">
      <c r="A18542" s="198"/>
    </row>
    <row r="18543" spans="1:1" s="199" customFormat="1" ht="12" hidden="1" customHeight="1">
      <c r="A18543" s="198"/>
    </row>
    <row r="18544" spans="1:1" s="199" customFormat="1" ht="12" hidden="1" customHeight="1">
      <c r="A18544" s="198"/>
    </row>
    <row r="18545" spans="1:1" s="199" customFormat="1" ht="12" hidden="1" customHeight="1">
      <c r="A18545" s="198"/>
    </row>
    <row r="18546" spans="1:1" s="199" customFormat="1" ht="12" hidden="1" customHeight="1">
      <c r="A18546" s="198"/>
    </row>
    <row r="18547" spans="1:1" s="199" customFormat="1" ht="12" hidden="1" customHeight="1">
      <c r="A18547" s="198"/>
    </row>
    <row r="18548" spans="1:1" s="199" customFormat="1" ht="12" hidden="1" customHeight="1">
      <c r="A18548" s="198"/>
    </row>
    <row r="18549" spans="1:1" s="199" customFormat="1" ht="12" hidden="1" customHeight="1">
      <c r="A18549" s="198"/>
    </row>
    <row r="18550" spans="1:1" s="199" customFormat="1" ht="12" hidden="1" customHeight="1">
      <c r="A18550" s="198"/>
    </row>
    <row r="18551" spans="1:1" s="199" customFormat="1" ht="12" hidden="1" customHeight="1">
      <c r="A18551" s="198"/>
    </row>
    <row r="18552" spans="1:1" s="199" customFormat="1" ht="12" hidden="1" customHeight="1">
      <c r="A18552" s="198"/>
    </row>
    <row r="18553" spans="1:1" s="199" customFormat="1" ht="12" hidden="1" customHeight="1">
      <c r="A18553" s="198"/>
    </row>
    <row r="18554" spans="1:1" s="199" customFormat="1" ht="12" hidden="1" customHeight="1">
      <c r="A18554" s="198"/>
    </row>
    <row r="18555" spans="1:1" s="199" customFormat="1" ht="12" hidden="1" customHeight="1">
      <c r="A18555" s="198"/>
    </row>
    <row r="18556" spans="1:1" s="199" customFormat="1" ht="12" hidden="1" customHeight="1">
      <c r="A18556" s="198"/>
    </row>
    <row r="18557" spans="1:1" s="199" customFormat="1" ht="12" hidden="1" customHeight="1">
      <c r="A18557" s="198"/>
    </row>
    <row r="18558" spans="1:1" s="199" customFormat="1" ht="12" hidden="1" customHeight="1">
      <c r="A18558" s="198"/>
    </row>
    <row r="18559" spans="1:1" s="199" customFormat="1" ht="12" hidden="1" customHeight="1">
      <c r="A18559" s="198"/>
    </row>
    <row r="18560" spans="1:1" s="199" customFormat="1" ht="12" hidden="1" customHeight="1">
      <c r="A18560" s="198"/>
    </row>
    <row r="18561" spans="1:1" s="199" customFormat="1" ht="12" hidden="1" customHeight="1">
      <c r="A18561" s="198"/>
    </row>
    <row r="18562" spans="1:1" s="199" customFormat="1" ht="12" hidden="1" customHeight="1">
      <c r="A18562" s="198"/>
    </row>
    <row r="18563" spans="1:1" s="199" customFormat="1" ht="12" hidden="1" customHeight="1">
      <c r="A18563" s="198"/>
    </row>
    <row r="18564" spans="1:1" s="199" customFormat="1" ht="12" hidden="1" customHeight="1">
      <c r="A18564" s="198"/>
    </row>
    <row r="18565" spans="1:1" s="199" customFormat="1" ht="12" hidden="1" customHeight="1">
      <c r="A18565" s="198"/>
    </row>
    <row r="18566" spans="1:1" s="199" customFormat="1" ht="12" hidden="1" customHeight="1">
      <c r="A18566" s="198"/>
    </row>
    <row r="18567" spans="1:1" s="199" customFormat="1" ht="12" hidden="1" customHeight="1">
      <c r="A18567" s="198"/>
    </row>
    <row r="18568" spans="1:1" s="199" customFormat="1" ht="12" hidden="1" customHeight="1">
      <c r="A18568" s="198"/>
    </row>
    <row r="18569" spans="1:1" s="199" customFormat="1" ht="12" hidden="1" customHeight="1">
      <c r="A18569" s="198"/>
    </row>
    <row r="18570" spans="1:1" s="199" customFormat="1" ht="12" hidden="1" customHeight="1">
      <c r="A18570" s="198"/>
    </row>
    <row r="18571" spans="1:1" s="199" customFormat="1" ht="12" hidden="1" customHeight="1">
      <c r="A18571" s="198"/>
    </row>
    <row r="18572" spans="1:1" s="199" customFormat="1" ht="12" hidden="1" customHeight="1">
      <c r="A18572" s="198"/>
    </row>
    <row r="18573" spans="1:1" s="199" customFormat="1" ht="12" hidden="1" customHeight="1">
      <c r="A18573" s="198"/>
    </row>
    <row r="18574" spans="1:1" s="199" customFormat="1" ht="12" hidden="1" customHeight="1">
      <c r="A18574" s="198"/>
    </row>
    <row r="18575" spans="1:1" s="199" customFormat="1" ht="12" hidden="1" customHeight="1">
      <c r="A18575" s="198"/>
    </row>
    <row r="18576" spans="1:1" s="199" customFormat="1" ht="12" hidden="1" customHeight="1">
      <c r="A18576" s="198"/>
    </row>
    <row r="18577" spans="1:1" s="199" customFormat="1" ht="12" hidden="1" customHeight="1">
      <c r="A18577" s="198"/>
    </row>
    <row r="18578" spans="1:1" s="199" customFormat="1" ht="12" hidden="1" customHeight="1">
      <c r="A18578" s="198"/>
    </row>
    <row r="18579" spans="1:1" s="199" customFormat="1" ht="12" hidden="1" customHeight="1">
      <c r="A18579" s="198"/>
    </row>
    <row r="18580" spans="1:1" s="199" customFormat="1" ht="12" hidden="1" customHeight="1">
      <c r="A18580" s="198"/>
    </row>
    <row r="18581" spans="1:1" s="199" customFormat="1" ht="12" hidden="1" customHeight="1">
      <c r="A18581" s="198"/>
    </row>
    <row r="18582" spans="1:1" s="199" customFormat="1" ht="12" hidden="1" customHeight="1">
      <c r="A18582" s="198"/>
    </row>
    <row r="18583" spans="1:1" s="199" customFormat="1" ht="12" hidden="1" customHeight="1">
      <c r="A18583" s="198"/>
    </row>
    <row r="18584" spans="1:1" s="199" customFormat="1" ht="12" hidden="1" customHeight="1">
      <c r="A18584" s="198"/>
    </row>
    <row r="18585" spans="1:1" s="199" customFormat="1" ht="12" hidden="1" customHeight="1">
      <c r="A18585" s="198"/>
    </row>
    <row r="18586" spans="1:1" s="199" customFormat="1" ht="12" hidden="1" customHeight="1">
      <c r="A18586" s="198"/>
    </row>
    <row r="18587" spans="1:1" s="199" customFormat="1" ht="12" hidden="1" customHeight="1">
      <c r="A18587" s="198"/>
    </row>
    <row r="18588" spans="1:1" s="199" customFormat="1" ht="12" hidden="1" customHeight="1">
      <c r="A18588" s="198"/>
    </row>
    <row r="18589" spans="1:1" s="199" customFormat="1" ht="12" hidden="1" customHeight="1">
      <c r="A18589" s="198"/>
    </row>
    <row r="18590" spans="1:1" s="199" customFormat="1" ht="12" hidden="1" customHeight="1">
      <c r="A18590" s="198"/>
    </row>
    <row r="18591" spans="1:1" s="199" customFormat="1" ht="12" hidden="1" customHeight="1">
      <c r="A18591" s="198"/>
    </row>
    <row r="18592" spans="1:1" s="199" customFormat="1" ht="12" hidden="1" customHeight="1">
      <c r="A18592" s="198"/>
    </row>
    <row r="18593" spans="1:1" s="199" customFormat="1" ht="12" hidden="1" customHeight="1">
      <c r="A18593" s="198"/>
    </row>
    <row r="18594" spans="1:1" s="199" customFormat="1" ht="12" hidden="1" customHeight="1">
      <c r="A18594" s="198"/>
    </row>
    <row r="18595" spans="1:1" s="199" customFormat="1" ht="12" hidden="1" customHeight="1">
      <c r="A18595" s="198"/>
    </row>
    <row r="18596" spans="1:1" s="199" customFormat="1" ht="12" hidden="1" customHeight="1">
      <c r="A18596" s="198"/>
    </row>
    <row r="18597" spans="1:1" s="199" customFormat="1" ht="12" hidden="1" customHeight="1">
      <c r="A18597" s="198"/>
    </row>
    <row r="18598" spans="1:1" s="199" customFormat="1" ht="12" hidden="1" customHeight="1">
      <c r="A18598" s="198"/>
    </row>
    <row r="18599" spans="1:1" s="199" customFormat="1" ht="12" hidden="1" customHeight="1">
      <c r="A18599" s="198"/>
    </row>
    <row r="18600" spans="1:1" s="199" customFormat="1" ht="12" hidden="1" customHeight="1">
      <c r="A18600" s="198"/>
    </row>
    <row r="18601" spans="1:1" s="199" customFormat="1" ht="12" hidden="1" customHeight="1">
      <c r="A18601" s="198"/>
    </row>
    <row r="18602" spans="1:1" s="199" customFormat="1" ht="12" hidden="1" customHeight="1">
      <c r="A18602" s="198"/>
    </row>
    <row r="18603" spans="1:1" s="199" customFormat="1" ht="12" hidden="1" customHeight="1">
      <c r="A18603" s="198"/>
    </row>
    <row r="18604" spans="1:1" s="199" customFormat="1" ht="12" hidden="1" customHeight="1">
      <c r="A18604" s="198"/>
    </row>
    <row r="18605" spans="1:1" s="199" customFormat="1" ht="12" hidden="1" customHeight="1">
      <c r="A18605" s="198"/>
    </row>
    <row r="18606" spans="1:1" s="199" customFormat="1" ht="12" hidden="1" customHeight="1">
      <c r="A18606" s="198"/>
    </row>
    <row r="18607" spans="1:1" s="199" customFormat="1" ht="12" hidden="1" customHeight="1">
      <c r="A18607" s="198"/>
    </row>
    <row r="18608" spans="1:1" s="199" customFormat="1" ht="12" hidden="1" customHeight="1">
      <c r="A18608" s="198"/>
    </row>
    <row r="18609" spans="1:1" s="199" customFormat="1" ht="12" hidden="1" customHeight="1">
      <c r="A18609" s="198"/>
    </row>
    <row r="18610" spans="1:1" s="199" customFormat="1" ht="12" hidden="1" customHeight="1">
      <c r="A18610" s="198"/>
    </row>
    <row r="18611" spans="1:1" s="199" customFormat="1" ht="12" hidden="1" customHeight="1">
      <c r="A18611" s="198"/>
    </row>
    <row r="18612" spans="1:1" s="199" customFormat="1" ht="12" hidden="1" customHeight="1">
      <c r="A18612" s="198"/>
    </row>
    <row r="18613" spans="1:1" s="199" customFormat="1" ht="12" hidden="1" customHeight="1">
      <c r="A18613" s="198"/>
    </row>
    <row r="18614" spans="1:1" s="199" customFormat="1" ht="12" hidden="1" customHeight="1">
      <c r="A18614" s="198"/>
    </row>
    <row r="18615" spans="1:1" s="199" customFormat="1" ht="12" hidden="1" customHeight="1">
      <c r="A18615" s="198"/>
    </row>
    <row r="18616" spans="1:1" s="199" customFormat="1" ht="12" hidden="1" customHeight="1">
      <c r="A18616" s="198"/>
    </row>
    <row r="18617" spans="1:1" s="199" customFormat="1" ht="12" hidden="1" customHeight="1">
      <c r="A18617" s="198"/>
    </row>
    <row r="18618" spans="1:1" s="199" customFormat="1" ht="12" hidden="1" customHeight="1">
      <c r="A18618" s="198"/>
    </row>
    <row r="18619" spans="1:1" s="199" customFormat="1" ht="12" hidden="1" customHeight="1">
      <c r="A18619" s="198"/>
    </row>
    <row r="18620" spans="1:1" s="199" customFormat="1" ht="12" hidden="1" customHeight="1">
      <c r="A18620" s="198"/>
    </row>
    <row r="18621" spans="1:1" s="199" customFormat="1" ht="12" hidden="1" customHeight="1">
      <c r="A18621" s="198"/>
    </row>
    <row r="18622" spans="1:1" s="199" customFormat="1" ht="12" hidden="1" customHeight="1">
      <c r="A18622" s="198"/>
    </row>
    <row r="18623" spans="1:1" s="199" customFormat="1" ht="12" hidden="1" customHeight="1">
      <c r="A18623" s="198"/>
    </row>
    <row r="18624" spans="1:1" s="199" customFormat="1" ht="12" hidden="1" customHeight="1">
      <c r="A18624" s="198"/>
    </row>
    <row r="18625" spans="1:1" s="199" customFormat="1" ht="12" hidden="1" customHeight="1">
      <c r="A18625" s="198"/>
    </row>
    <row r="18626" spans="1:1" s="199" customFormat="1" ht="12" hidden="1" customHeight="1">
      <c r="A18626" s="198"/>
    </row>
    <row r="18627" spans="1:1" s="199" customFormat="1" ht="12" hidden="1" customHeight="1">
      <c r="A18627" s="198"/>
    </row>
    <row r="18628" spans="1:1" s="199" customFormat="1" ht="12" hidden="1" customHeight="1">
      <c r="A18628" s="198"/>
    </row>
    <row r="18629" spans="1:1" s="199" customFormat="1" ht="12" hidden="1" customHeight="1">
      <c r="A18629" s="198"/>
    </row>
    <row r="18630" spans="1:1" s="199" customFormat="1" ht="12" hidden="1" customHeight="1">
      <c r="A18630" s="198"/>
    </row>
    <row r="18631" spans="1:1" s="199" customFormat="1" ht="12" hidden="1" customHeight="1">
      <c r="A18631" s="198"/>
    </row>
    <row r="18632" spans="1:1" s="199" customFormat="1" ht="12" hidden="1" customHeight="1">
      <c r="A18632" s="198"/>
    </row>
    <row r="18633" spans="1:1" s="199" customFormat="1" ht="12" hidden="1" customHeight="1">
      <c r="A18633" s="198"/>
    </row>
    <row r="18634" spans="1:1" s="199" customFormat="1" ht="12" hidden="1" customHeight="1">
      <c r="A18634" s="198"/>
    </row>
    <row r="18635" spans="1:1" s="199" customFormat="1" ht="12" hidden="1" customHeight="1">
      <c r="A18635" s="198"/>
    </row>
    <row r="18636" spans="1:1" s="199" customFormat="1" ht="12" hidden="1" customHeight="1">
      <c r="A18636" s="198"/>
    </row>
    <row r="18637" spans="1:1" s="199" customFormat="1" ht="12" hidden="1" customHeight="1">
      <c r="A18637" s="198"/>
    </row>
    <row r="18638" spans="1:1" s="199" customFormat="1" ht="12" hidden="1" customHeight="1">
      <c r="A18638" s="198"/>
    </row>
    <row r="18639" spans="1:1" s="199" customFormat="1" ht="12" hidden="1" customHeight="1">
      <c r="A18639" s="198"/>
    </row>
    <row r="18640" spans="1:1" s="199" customFormat="1" ht="12" hidden="1" customHeight="1">
      <c r="A18640" s="198"/>
    </row>
    <row r="18641" spans="1:1" s="199" customFormat="1" ht="12" hidden="1" customHeight="1">
      <c r="A18641" s="198"/>
    </row>
    <row r="18642" spans="1:1" s="199" customFormat="1" ht="12" hidden="1" customHeight="1">
      <c r="A18642" s="198"/>
    </row>
    <row r="18643" spans="1:1" s="199" customFormat="1" ht="12" hidden="1" customHeight="1">
      <c r="A18643" s="198"/>
    </row>
    <row r="18644" spans="1:1" s="199" customFormat="1" ht="12" hidden="1" customHeight="1">
      <c r="A18644" s="198"/>
    </row>
    <row r="18645" spans="1:1" s="199" customFormat="1" ht="12" hidden="1" customHeight="1">
      <c r="A18645" s="198"/>
    </row>
    <row r="18646" spans="1:1" s="199" customFormat="1" ht="12" hidden="1" customHeight="1">
      <c r="A18646" s="198"/>
    </row>
    <row r="18647" spans="1:1" s="199" customFormat="1" ht="12" hidden="1" customHeight="1">
      <c r="A18647" s="198"/>
    </row>
    <row r="18648" spans="1:1" s="199" customFormat="1" ht="12" hidden="1" customHeight="1">
      <c r="A18648" s="198"/>
    </row>
    <row r="18649" spans="1:1" s="199" customFormat="1" ht="12" hidden="1" customHeight="1">
      <c r="A18649" s="198"/>
    </row>
    <row r="18650" spans="1:1" s="199" customFormat="1" ht="12" hidden="1" customHeight="1">
      <c r="A18650" s="198"/>
    </row>
    <row r="18651" spans="1:1" s="199" customFormat="1" ht="12" hidden="1" customHeight="1">
      <c r="A18651" s="198"/>
    </row>
    <row r="18652" spans="1:1" s="199" customFormat="1" ht="12" hidden="1" customHeight="1">
      <c r="A18652" s="198"/>
    </row>
    <row r="18653" spans="1:1" s="199" customFormat="1" ht="12" hidden="1" customHeight="1">
      <c r="A18653" s="198"/>
    </row>
    <row r="18654" spans="1:1" s="199" customFormat="1" ht="12" hidden="1" customHeight="1">
      <c r="A18654" s="198"/>
    </row>
    <row r="18655" spans="1:1" s="199" customFormat="1" ht="12" hidden="1" customHeight="1">
      <c r="A18655" s="198"/>
    </row>
    <row r="18656" spans="1:1" s="199" customFormat="1" ht="12" hidden="1" customHeight="1">
      <c r="A18656" s="198"/>
    </row>
    <row r="18657" spans="1:1" s="199" customFormat="1" ht="12" hidden="1" customHeight="1">
      <c r="A18657" s="198"/>
    </row>
    <row r="18658" spans="1:1" s="199" customFormat="1" ht="12" hidden="1" customHeight="1">
      <c r="A18658" s="198"/>
    </row>
    <row r="18659" spans="1:1" s="199" customFormat="1" ht="12" hidden="1" customHeight="1">
      <c r="A18659" s="198"/>
    </row>
    <row r="18660" spans="1:1" s="199" customFormat="1" ht="12" hidden="1" customHeight="1">
      <c r="A18660" s="198"/>
    </row>
    <row r="18661" spans="1:1" s="199" customFormat="1" ht="12" hidden="1" customHeight="1">
      <c r="A18661" s="198"/>
    </row>
    <row r="18662" spans="1:1" s="199" customFormat="1" ht="12" hidden="1" customHeight="1">
      <c r="A18662" s="198"/>
    </row>
    <row r="18663" spans="1:1" s="199" customFormat="1" ht="12" hidden="1" customHeight="1">
      <c r="A18663" s="198"/>
    </row>
    <row r="18664" spans="1:1" s="199" customFormat="1" ht="12" hidden="1" customHeight="1">
      <c r="A18664" s="198"/>
    </row>
    <row r="18665" spans="1:1" s="199" customFormat="1" ht="12" hidden="1" customHeight="1">
      <c r="A18665" s="198"/>
    </row>
    <row r="18666" spans="1:1" s="199" customFormat="1" ht="12" hidden="1" customHeight="1">
      <c r="A18666" s="198"/>
    </row>
    <row r="18667" spans="1:1" s="199" customFormat="1" ht="12" hidden="1" customHeight="1">
      <c r="A18667" s="198"/>
    </row>
    <row r="18668" spans="1:1" s="199" customFormat="1" ht="12" hidden="1" customHeight="1">
      <c r="A18668" s="198"/>
    </row>
    <row r="18669" spans="1:1" s="199" customFormat="1" ht="12" hidden="1" customHeight="1">
      <c r="A18669" s="198"/>
    </row>
    <row r="18670" spans="1:1" s="199" customFormat="1" ht="12" hidden="1" customHeight="1">
      <c r="A18670" s="198"/>
    </row>
    <row r="18671" spans="1:1" s="199" customFormat="1" ht="12" hidden="1" customHeight="1">
      <c r="A18671" s="198"/>
    </row>
    <row r="18672" spans="1:1" s="199" customFormat="1" ht="12" hidden="1" customHeight="1">
      <c r="A18672" s="198"/>
    </row>
    <row r="18673" spans="1:1" s="199" customFormat="1" ht="12" hidden="1" customHeight="1">
      <c r="A18673" s="198"/>
    </row>
    <row r="18674" spans="1:1" s="199" customFormat="1" ht="12" hidden="1" customHeight="1">
      <c r="A18674" s="198"/>
    </row>
    <row r="18675" spans="1:1" s="199" customFormat="1" ht="12" hidden="1" customHeight="1">
      <c r="A18675" s="198"/>
    </row>
    <row r="18676" spans="1:1" s="199" customFormat="1" ht="12" hidden="1" customHeight="1">
      <c r="A18676" s="198"/>
    </row>
    <row r="18677" spans="1:1" s="199" customFormat="1" ht="12" hidden="1" customHeight="1">
      <c r="A18677" s="198"/>
    </row>
    <row r="18678" spans="1:1" s="199" customFormat="1" ht="12" hidden="1" customHeight="1">
      <c r="A18678" s="198"/>
    </row>
    <row r="18679" spans="1:1" s="199" customFormat="1" ht="12" hidden="1" customHeight="1">
      <c r="A18679" s="198"/>
    </row>
    <row r="18680" spans="1:1" s="199" customFormat="1" ht="12" hidden="1" customHeight="1">
      <c r="A18680" s="198"/>
    </row>
    <row r="18681" spans="1:1" s="199" customFormat="1" ht="12" hidden="1" customHeight="1">
      <c r="A18681" s="198"/>
    </row>
    <row r="18682" spans="1:1" s="199" customFormat="1" ht="12" hidden="1" customHeight="1">
      <c r="A18682" s="198"/>
    </row>
    <row r="18683" spans="1:1" s="199" customFormat="1" ht="12" hidden="1" customHeight="1">
      <c r="A18683" s="198"/>
    </row>
    <row r="18684" spans="1:1" s="199" customFormat="1" ht="12" hidden="1" customHeight="1">
      <c r="A18684" s="198"/>
    </row>
    <row r="18685" spans="1:1" s="199" customFormat="1" ht="12" hidden="1" customHeight="1">
      <c r="A18685" s="198"/>
    </row>
    <row r="18686" spans="1:1" s="199" customFormat="1" ht="12" hidden="1" customHeight="1">
      <c r="A18686" s="198"/>
    </row>
    <row r="18687" spans="1:1" s="199" customFormat="1" ht="12" hidden="1" customHeight="1">
      <c r="A18687" s="198"/>
    </row>
    <row r="18688" spans="1:1" s="199" customFormat="1" ht="12" hidden="1" customHeight="1">
      <c r="A18688" s="198"/>
    </row>
    <row r="18689" spans="1:1" s="199" customFormat="1" ht="12" hidden="1" customHeight="1">
      <c r="A18689" s="198"/>
    </row>
    <row r="18690" spans="1:1" s="199" customFormat="1" ht="12" hidden="1" customHeight="1">
      <c r="A18690" s="198"/>
    </row>
    <row r="18691" spans="1:1" s="199" customFormat="1" ht="12" hidden="1" customHeight="1">
      <c r="A18691" s="198"/>
    </row>
    <row r="18692" spans="1:1" s="199" customFormat="1" ht="12" hidden="1" customHeight="1">
      <c r="A18692" s="198"/>
    </row>
    <row r="18693" spans="1:1" s="199" customFormat="1" ht="12" hidden="1" customHeight="1">
      <c r="A18693" s="198"/>
    </row>
    <row r="18694" spans="1:1" s="199" customFormat="1" ht="12" hidden="1" customHeight="1">
      <c r="A18694" s="198"/>
    </row>
    <row r="18695" spans="1:1" s="199" customFormat="1" ht="12" hidden="1" customHeight="1">
      <c r="A18695" s="198"/>
    </row>
    <row r="18696" spans="1:1" s="199" customFormat="1" ht="12" hidden="1" customHeight="1">
      <c r="A18696" s="198"/>
    </row>
    <row r="18697" spans="1:1" s="199" customFormat="1" ht="12" hidden="1" customHeight="1">
      <c r="A18697" s="198"/>
    </row>
    <row r="18698" spans="1:1" s="199" customFormat="1" ht="12" hidden="1" customHeight="1">
      <c r="A18698" s="198"/>
    </row>
    <row r="18699" spans="1:1" s="199" customFormat="1" ht="12" hidden="1" customHeight="1">
      <c r="A18699" s="198"/>
    </row>
    <row r="18700" spans="1:1" s="199" customFormat="1" ht="12" hidden="1" customHeight="1">
      <c r="A18700" s="198"/>
    </row>
    <row r="18701" spans="1:1" s="199" customFormat="1" ht="12" hidden="1" customHeight="1">
      <c r="A18701" s="198"/>
    </row>
    <row r="18702" spans="1:1" s="199" customFormat="1" ht="12" hidden="1" customHeight="1">
      <c r="A18702" s="198"/>
    </row>
    <row r="18703" spans="1:1" s="199" customFormat="1" ht="12" hidden="1" customHeight="1">
      <c r="A18703" s="198"/>
    </row>
    <row r="18704" spans="1:1" s="199" customFormat="1" ht="12" hidden="1" customHeight="1">
      <c r="A18704" s="198"/>
    </row>
    <row r="18705" spans="1:1" s="199" customFormat="1" ht="12" hidden="1" customHeight="1">
      <c r="A18705" s="198"/>
    </row>
    <row r="18706" spans="1:1" s="199" customFormat="1" ht="12" hidden="1" customHeight="1">
      <c r="A18706" s="198"/>
    </row>
    <row r="18707" spans="1:1" s="199" customFormat="1" ht="12" hidden="1" customHeight="1">
      <c r="A18707" s="198"/>
    </row>
    <row r="18708" spans="1:1" s="199" customFormat="1" ht="12" hidden="1" customHeight="1">
      <c r="A18708" s="198"/>
    </row>
    <row r="18709" spans="1:1" s="199" customFormat="1" ht="12" hidden="1" customHeight="1">
      <c r="A18709" s="198"/>
    </row>
    <row r="18710" spans="1:1" s="199" customFormat="1" ht="12" hidden="1" customHeight="1">
      <c r="A18710" s="198"/>
    </row>
    <row r="18711" spans="1:1" s="199" customFormat="1" ht="12" hidden="1" customHeight="1">
      <c r="A18711" s="198"/>
    </row>
    <row r="18712" spans="1:1" s="199" customFormat="1" ht="12" hidden="1" customHeight="1">
      <c r="A18712" s="198"/>
    </row>
    <row r="18713" spans="1:1" s="199" customFormat="1" ht="12" hidden="1" customHeight="1">
      <c r="A18713" s="198"/>
    </row>
    <row r="18714" spans="1:1" s="199" customFormat="1" ht="12" hidden="1" customHeight="1">
      <c r="A18714" s="198"/>
    </row>
    <row r="18715" spans="1:1" s="199" customFormat="1" ht="12" hidden="1" customHeight="1">
      <c r="A18715" s="198"/>
    </row>
    <row r="18716" spans="1:1" s="199" customFormat="1" ht="12" hidden="1" customHeight="1">
      <c r="A18716" s="198"/>
    </row>
    <row r="18717" spans="1:1" s="199" customFormat="1" ht="12" hidden="1" customHeight="1">
      <c r="A18717" s="198"/>
    </row>
    <row r="18718" spans="1:1" s="199" customFormat="1" ht="12" hidden="1" customHeight="1">
      <c r="A18718" s="198"/>
    </row>
    <row r="18719" spans="1:1" s="199" customFormat="1" ht="12" hidden="1" customHeight="1">
      <c r="A18719" s="198"/>
    </row>
    <row r="18720" spans="1:1" s="199" customFormat="1" ht="12" hidden="1" customHeight="1">
      <c r="A18720" s="198"/>
    </row>
    <row r="18721" spans="1:1" s="199" customFormat="1" ht="12" hidden="1" customHeight="1">
      <c r="A18721" s="198"/>
    </row>
    <row r="18722" spans="1:1" s="199" customFormat="1" ht="12" hidden="1" customHeight="1">
      <c r="A18722" s="198"/>
    </row>
    <row r="18723" spans="1:1" s="199" customFormat="1" ht="12" hidden="1" customHeight="1">
      <c r="A18723" s="198"/>
    </row>
    <row r="18724" spans="1:1" s="199" customFormat="1" ht="12" hidden="1" customHeight="1">
      <c r="A18724" s="198"/>
    </row>
    <row r="18725" spans="1:1" s="199" customFormat="1" ht="12" hidden="1" customHeight="1">
      <c r="A18725" s="198"/>
    </row>
    <row r="18726" spans="1:1" s="199" customFormat="1" ht="12" hidden="1" customHeight="1">
      <c r="A18726" s="198"/>
    </row>
    <row r="18727" spans="1:1" s="199" customFormat="1" ht="12" hidden="1" customHeight="1">
      <c r="A18727" s="198"/>
    </row>
    <row r="18728" spans="1:1" s="199" customFormat="1" ht="12" hidden="1" customHeight="1">
      <c r="A18728" s="198"/>
    </row>
    <row r="18729" spans="1:1" s="199" customFormat="1" ht="12" hidden="1" customHeight="1">
      <c r="A18729" s="198"/>
    </row>
    <row r="18730" spans="1:1" s="199" customFormat="1" ht="12" hidden="1" customHeight="1">
      <c r="A18730" s="198"/>
    </row>
    <row r="18731" spans="1:1" s="199" customFormat="1" ht="12" hidden="1" customHeight="1">
      <c r="A18731" s="198"/>
    </row>
    <row r="18732" spans="1:1" s="199" customFormat="1" ht="12" hidden="1" customHeight="1">
      <c r="A18732" s="198"/>
    </row>
    <row r="18733" spans="1:1" s="199" customFormat="1" ht="12" hidden="1" customHeight="1">
      <c r="A18733" s="198"/>
    </row>
    <row r="18734" spans="1:1" s="199" customFormat="1" ht="12" hidden="1" customHeight="1">
      <c r="A18734" s="198"/>
    </row>
    <row r="18735" spans="1:1" s="199" customFormat="1" ht="12" hidden="1" customHeight="1">
      <c r="A18735" s="198"/>
    </row>
    <row r="18736" spans="1:1" s="199" customFormat="1" ht="12" hidden="1" customHeight="1">
      <c r="A18736" s="198"/>
    </row>
    <row r="18737" spans="1:1" s="199" customFormat="1" ht="12" hidden="1" customHeight="1">
      <c r="A18737" s="198"/>
    </row>
    <row r="18738" spans="1:1" s="199" customFormat="1" ht="12" hidden="1" customHeight="1">
      <c r="A18738" s="198"/>
    </row>
    <row r="18739" spans="1:1" s="199" customFormat="1" ht="12" hidden="1" customHeight="1">
      <c r="A18739" s="198"/>
    </row>
    <row r="18740" spans="1:1" s="199" customFormat="1" ht="12" hidden="1" customHeight="1">
      <c r="A18740" s="198"/>
    </row>
    <row r="18741" spans="1:1" s="199" customFormat="1" ht="12" hidden="1" customHeight="1">
      <c r="A18741" s="198"/>
    </row>
    <row r="18742" spans="1:1" s="199" customFormat="1" ht="12" hidden="1" customHeight="1">
      <c r="A18742" s="198"/>
    </row>
    <row r="18743" spans="1:1" s="199" customFormat="1" ht="12" hidden="1" customHeight="1">
      <c r="A18743" s="198"/>
    </row>
    <row r="18744" spans="1:1" s="199" customFormat="1" ht="12" hidden="1" customHeight="1">
      <c r="A18744" s="198"/>
    </row>
    <row r="18745" spans="1:1" s="199" customFormat="1" ht="12" hidden="1" customHeight="1">
      <c r="A18745" s="198"/>
    </row>
    <row r="18746" spans="1:1" s="199" customFormat="1" ht="12" hidden="1" customHeight="1">
      <c r="A18746" s="198"/>
    </row>
    <row r="18747" spans="1:1" s="199" customFormat="1" ht="12" hidden="1" customHeight="1">
      <c r="A18747" s="198"/>
    </row>
    <row r="18748" spans="1:1" s="199" customFormat="1" ht="12" hidden="1" customHeight="1">
      <c r="A18748" s="198"/>
    </row>
    <row r="18749" spans="1:1" s="199" customFormat="1" ht="12" hidden="1" customHeight="1">
      <c r="A18749" s="198"/>
    </row>
    <row r="18750" spans="1:1" s="199" customFormat="1" ht="12" hidden="1" customHeight="1">
      <c r="A18750" s="198"/>
    </row>
    <row r="18751" spans="1:1" s="199" customFormat="1" ht="12" hidden="1" customHeight="1">
      <c r="A18751" s="198"/>
    </row>
    <row r="18752" spans="1:1" s="199" customFormat="1" ht="12" hidden="1" customHeight="1">
      <c r="A18752" s="198"/>
    </row>
    <row r="18753" spans="1:1" s="199" customFormat="1" ht="12" hidden="1" customHeight="1">
      <c r="A18753" s="198"/>
    </row>
    <row r="18754" spans="1:1" s="199" customFormat="1" ht="12" hidden="1" customHeight="1">
      <c r="A18754" s="198"/>
    </row>
    <row r="18755" spans="1:1" s="199" customFormat="1" ht="12" hidden="1" customHeight="1">
      <c r="A18755" s="198"/>
    </row>
    <row r="18756" spans="1:1" s="199" customFormat="1" ht="12" hidden="1" customHeight="1">
      <c r="A18756" s="198"/>
    </row>
    <row r="18757" spans="1:1" s="199" customFormat="1" ht="12" hidden="1" customHeight="1">
      <c r="A18757" s="198"/>
    </row>
    <row r="18758" spans="1:1" s="199" customFormat="1" ht="12" hidden="1" customHeight="1">
      <c r="A18758" s="198"/>
    </row>
    <row r="18759" spans="1:1" s="199" customFormat="1" ht="12" hidden="1" customHeight="1">
      <c r="A18759" s="198"/>
    </row>
    <row r="18760" spans="1:1" s="199" customFormat="1" ht="12" hidden="1" customHeight="1">
      <c r="A18760" s="198"/>
    </row>
    <row r="18761" spans="1:1" s="199" customFormat="1" ht="12" hidden="1" customHeight="1">
      <c r="A18761" s="198"/>
    </row>
    <row r="18762" spans="1:1" s="199" customFormat="1" ht="12" hidden="1" customHeight="1">
      <c r="A18762" s="198"/>
    </row>
    <row r="18763" spans="1:1" s="199" customFormat="1" ht="12" hidden="1" customHeight="1">
      <c r="A18763" s="198"/>
    </row>
    <row r="18764" spans="1:1" s="199" customFormat="1" ht="12" hidden="1" customHeight="1">
      <c r="A18764" s="198"/>
    </row>
    <row r="18765" spans="1:1" s="199" customFormat="1" ht="12" hidden="1" customHeight="1">
      <c r="A18765" s="198"/>
    </row>
    <row r="18766" spans="1:1" s="199" customFormat="1" ht="12" hidden="1" customHeight="1">
      <c r="A18766" s="198"/>
    </row>
    <row r="18767" spans="1:1" s="199" customFormat="1" ht="12" hidden="1" customHeight="1">
      <c r="A18767" s="198"/>
    </row>
    <row r="18768" spans="1:1" s="199" customFormat="1" ht="12" hidden="1" customHeight="1">
      <c r="A18768" s="198"/>
    </row>
    <row r="18769" spans="1:1" s="199" customFormat="1" ht="12" hidden="1" customHeight="1">
      <c r="A18769" s="198"/>
    </row>
    <row r="18770" spans="1:1" s="199" customFormat="1" ht="12" hidden="1" customHeight="1">
      <c r="A18770" s="198"/>
    </row>
    <row r="18771" spans="1:1" s="199" customFormat="1" ht="12" hidden="1" customHeight="1">
      <c r="A18771" s="198"/>
    </row>
    <row r="18772" spans="1:1" s="199" customFormat="1" ht="12" hidden="1" customHeight="1">
      <c r="A18772" s="198"/>
    </row>
    <row r="18773" spans="1:1" s="199" customFormat="1" ht="12" hidden="1" customHeight="1">
      <c r="A18773" s="198"/>
    </row>
    <row r="18774" spans="1:1" s="199" customFormat="1" ht="12" hidden="1" customHeight="1">
      <c r="A18774" s="198"/>
    </row>
    <row r="18775" spans="1:1" s="199" customFormat="1" ht="12" hidden="1" customHeight="1">
      <c r="A18775" s="198"/>
    </row>
    <row r="18776" spans="1:1" s="199" customFormat="1" ht="12" hidden="1" customHeight="1">
      <c r="A18776" s="198"/>
    </row>
    <row r="18777" spans="1:1" s="199" customFormat="1" ht="12" hidden="1" customHeight="1">
      <c r="A18777" s="198"/>
    </row>
    <row r="18778" spans="1:1" s="199" customFormat="1" ht="12" hidden="1" customHeight="1">
      <c r="A18778" s="198"/>
    </row>
    <row r="18779" spans="1:1" s="199" customFormat="1" ht="12" hidden="1" customHeight="1">
      <c r="A18779" s="198"/>
    </row>
    <row r="18780" spans="1:1" s="199" customFormat="1" ht="12" hidden="1" customHeight="1">
      <c r="A18780" s="198"/>
    </row>
    <row r="18781" spans="1:1" s="199" customFormat="1" ht="12" hidden="1" customHeight="1">
      <c r="A18781" s="198"/>
    </row>
    <row r="18782" spans="1:1" s="199" customFormat="1" ht="12" hidden="1" customHeight="1">
      <c r="A18782" s="198"/>
    </row>
    <row r="18783" spans="1:1" s="199" customFormat="1" ht="12" hidden="1" customHeight="1">
      <c r="A18783" s="198"/>
    </row>
    <row r="18784" spans="1:1" s="199" customFormat="1" ht="12" hidden="1" customHeight="1">
      <c r="A18784" s="198"/>
    </row>
    <row r="18785" spans="1:1" s="199" customFormat="1" ht="12" hidden="1" customHeight="1">
      <c r="A18785" s="198"/>
    </row>
    <row r="18786" spans="1:1" s="199" customFormat="1" ht="12" hidden="1" customHeight="1">
      <c r="A18786" s="198"/>
    </row>
    <row r="18787" spans="1:1" s="199" customFormat="1" ht="12" hidden="1" customHeight="1">
      <c r="A18787" s="198"/>
    </row>
    <row r="18788" spans="1:1" s="199" customFormat="1" ht="12" hidden="1" customHeight="1">
      <c r="A18788" s="198"/>
    </row>
    <row r="18789" spans="1:1" s="199" customFormat="1" ht="12" hidden="1" customHeight="1">
      <c r="A18789" s="198"/>
    </row>
    <row r="18790" spans="1:1" s="199" customFormat="1" ht="12" hidden="1" customHeight="1">
      <c r="A18790" s="198"/>
    </row>
    <row r="18791" spans="1:1" s="199" customFormat="1" ht="12" hidden="1" customHeight="1">
      <c r="A18791" s="198"/>
    </row>
    <row r="18792" spans="1:1" s="199" customFormat="1" ht="12" hidden="1" customHeight="1">
      <c r="A18792" s="198"/>
    </row>
    <row r="18793" spans="1:1" s="199" customFormat="1" ht="12" hidden="1" customHeight="1">
      <c r="A18793" s="198"/>
    </row>
    <row r="18794" spans="1:1" s="199" customFormat="1" ht="12" hidden="1" customHeight="1">
      <c r="A18794" s="198"/>
    </row>
    <row r="18795" spans="1:1" s="199" customFormat="1" ht="12" hidden="1" customHeight="1">
      <c r="A18795" s="198"/>
    </row>
    <row r="18796" spans="1:1" s="199" customFormat="1" ht="12" hidden="1" customHeight="1">
      <c r="A18796" s="198"/>
    </row>
    <row r="18797" spans="1:1" s="199" customFormat="1" ht="12" hidden="1" customHeight="1">
      <c r="A18797" s="198"/>
    </row>
    <row r="18798" spans="1:1" s="199" customFormat="1" ht="12" hidden="1" customHeight="1">
      <c r="A18798" s="198"/>
    </row>
    <row r="18799" spans="1:1" s="199" customFormat="1" ht="12" hidden="1" customHeight="1">
      <c r="A18799" s="198"/>
    </row>
    <row r="18800" spans="1:1" s="199" customFormat="1" ht="12" hidden="1" customHeight="1">
      <c r="A18800" s="198"/>
    </row>
    <row r="18801" spans="1:1" s="199" customFormat="1" ht="12" hidden="1" customHeight="1">
      <c r="A18801" s="198"/>
    </row>
    <row r="18802" spans="1:1" s="199" customFormat="1" ht="12" hidden="1" customHeight="1">
      <c r="A18802" s="198"/>
    </row>
    <row r="18803" spans="1:1" s="199" customFormat="1" ht="12" hidden="1" customHeight="1">
      <c r="A18803" s="198"/>
    </row>
    <row r="18804" spans="1:1" s="199" customFormat="1" ht="12" hidden="1" customHeight="1">
      <c r="A18804" s="198"/>
    </row>
    <row r="18805" spans="1:1" s="199" customFormat="1" ht="12" hidden="1" customHeight="1">
      <c r="A18805" s="198"/>
    </row>
    <row r="18806" spans="1:1" s="199" customFormat="1" ht="12" hidden="1" customHeight="1">
      <c r="A18806" s="198"/>
    </row>
    <row r="18807" spans="1:1" s="199" customFormat="1" ht="12" hidden="1" customHeight="1">
      <c r="A18807" s="198"/>
    </row>
    <row r="18808" spans="1:1" s="199" customFormat="1" ht="12" hidden="1" customHeight="1">
      <c r="A18808" s="198"/>
    </row>
    <row r="18809" spans="1:1" s="199" customFormat="1" ht="12" hidden="1" customHeight="1">
      <c r="A18809" s="198"/>
    </row>
    <row r="18810" spans="1:1" s="199" customFormat="1" ht="12" hidden="1" customHeight="1">
      <c r="A18810" s="198"/>
    </row>
    <row r="18811" spans="1:1" s="199" customFormat="1" ht="12" hidden="1" customHeight="1">
      <c r="A18811" s="198"/>
    </row>
    <row r="18812" spans="1:1" s="199" customFormat="1" ht="12" hidden="1" customHeight="1">
      <c r="A18812" s="198"/>
    </row>
    <row r="18813" spans="1:1" s="199" customFormat="1" ht="12" hidden="1" customHeight="1">
      <c r="A18813" s="198"/>
    </row>
    <row r="18814" spans="1:1" s="199" customFormat="1" ht="12" hidden="1" customHeight="1">
      <c r="A18814" s="198"/>
    </row>
    <row r="18815" spans="1:1" s="199" customFormat="1" ht="12" hidden="1" customHeight="1">
      <c r="A18815" s="198"/>
    </row>
    <row r="18816" spans="1:1" s="199" customFormat="1" ht="12" hidden="1" customHeight="1">
      <c r="A18816" s="198"/>
    </row>
    <row r="18817" spans="1:1" s="199" customFormat="1" ht="12" hidden="1" customHeight="1">
      <c r="A18817" s="198"/>
    </row>
    <row r="18818" spans="1:1" s="199" customFormat="1" ht="12" hidden="1" customHeight="1">
      <c r="A18818" s="198"/>
    </row>
    <row r="18819" spans="1:1" s="199" customFormat="1" ht="12" hidden="1" customHeight="1">
      <c r="A18819" s="198"/>
    </row>
    <row r="18820" spans="1:1" s="199" customFormat="1" ht="12" hidden="1" customHeight="1">
      <c r="A18820" s="198"/>
    </row>
    <row r="18821" spans="1:1" s="199" customFormat="1" ht="12" hidden="1" customHeight="1">
      <c r="A18821" s="198"/>
    </row>
    <row r="18822" spans="1:1" s="199" customFormat="1" ht="12" hidden="1" customHeight="1">
      <c r="A18822" s="198"/>
    </row>
    <row r="18823" spans="1:1" s="199" customFormat="1" ht="12" hidden="1" customHeight="1">
      <c r="A18823" s="198"/>
    </row>
    <row r="18824" spans="1:1" s="199" customFormat="1" ht="12" hidden="1" customHeight="1">
      <c r="A18824" s="198"/>
    </row>
    <row r="18825" spans="1:1" s="199" customFormat="1" ht="12" hidden="1" customHeight="1">
      <c r="A18825" s="198"/>
    </row>
    <row r="18826" spans="1:1" s="199" customFormat="1" ht="12" hidden="1" customHeight="1">
      <c r="A18826" s="198"/>
    </row>
    <row r="18827" spans="1:1" s="199" customFormat="1" ht="12" hidden="1" customHeight="1">
      <c r="A18827" s="198"/>
    </row>
    <row r="18828" spans="1:1" s="199" customFormat="1" ht="12" hidden="1" customHeight="1">
      <c r="A18828" s="198"/>
    </row>
    <row r="18829" spans="1:1" s="199" customFormat="1" ht="12" hidden="1" customHeight="1">
      <c r="A18829" s="198"/>
    </row>
    <row r="18830" spans="1:1" s="199" customFormat="1" ht="12" hidden="1" customHeight="1">
      <c r="A18830" s="198"/>
    </row>
    <row r="18831" spans="1:1" s="199" customFormat="1" ht="12" hidden="1" customHeight="1">
      <c r="A18831" s="198"/>
    </row>
    <row r="18832" spans="1:1" s="199" customFormat="1" ht="12" hidden="1" customHeight="1">
      <c r="A18832" s="198"/>
    </row>
    <row r="18833" spans="1:1" s="199" customFormat="1" ht="12" hidden="1" customHeight="1">
      <c r="A18833" s="198"/>
    </row>
    <row r="18834" spans="1:1" s="199" customFormat="1" ht="12" hidden="1" customHeight="1">
      <c r="A18834" s="198"/>
    </row>
    <row r="18835" spans="1:1" s="199" customFormat="1" ht="12" hidden="1" customHeight="1">
      <c r="A18835" s="198"/>
    </row>
    <row r="18836" spans="1:1" s="199" customFormat="1" ht="12" hidden="1" customHeight="1">
      <c r="A18836" s="198"/>
    </row>
    <row r="18837" spans="1:1" s="199" customFormat="1" ht="12" hidden="1" customHeight="1">
      <c r="A18837" s="198"/>
    </row>
    <row r="18838" spans="1:1" s="199" customFormat="1" ht="12" hidden="1" customHeight="1">
      <c r="A18838" s="198"/>
    </row>
    <row r="18839" spans="1:1" s="199" customFormat="1" ht="12" hidden="1" customHeight="1">
      <c r="A18839" s="198"/>
    </row>
    <row r="18840" spans="1:1" s="199" customFormat="1" ht="12" hidden="1" customHeight="1">
      <c r="A18840" s="198"/>
    </row>
    <row r="18841" spans="1:1" s="199" customFormat="1" ht="12" hidden="1" customHeight="1">
      <c r="A18841" s="198"/>
    </row>
    <row r="18842" spans="1:1" s="199" customFormat="1" ht="12" hidden="1" customHeight="1">
      <c r="A18842" s="198"/>
    </row>
    <row r="18843" spans="1:1" s="199" customFormat="1" ht="12" hidden="1" customHeight="1">
      <c r="A18843" s="198"/>
    </row>
    <row r="18844" spans="1:1" s="199" customFormat="1" ht="12" hidden="1" customHeight="1">
      <c r="A18844" s="198"/>
    </row>
    <row r="18845" spans="1:1" s="199" customFormat="1" ht="12" hidden="1" customHeight="1">
      <c r="A18845" s="198"/>
    </row>
    <row r="18846" spans="1:1" s="199" customFormat="1" ht="12" hidden="1" customHeight="1">
      <c r="A18846" s="198"/>
    </row>
    <row r="18847" spans="1:1" s="199" customFormat="1" ht="12" hidden="1" customHeight="1">
      <c r="A18847" s="198"/>
    </row>
    <row r="18848" spans="1:1" s="199" customFormat="1" ht="12" hidden="1" customHeight="1">
      <c r="A18848" s="198"/>
    </row>
    <row r="18849" spans="1:1" s="199" customFormat="1" ht="12" hidden="1" customHeight="1">
      <c r="A18849" s="198"/>
    </row>
    <row r="18850" spans="1:1" s="199" customFormat="1" ht="12" hidden="1" customHeight="1">
      <c r="A18850" s="198"/>
    </row>
    <row r="18851" spans="1:1" s="199" customFormat="1" ht="12" hidden="1" customHeight="1">
      <c r="A18851" s="198"/>
    </row>
    <row r="18852" spans="1:1" s="199" customFormat="1" ht="12" hidden="1" customHeight="1">
      <c r="A18852" s="198"/>
    </row>
    <row r="18853" spans="1:1" s="199" customFormat="1" ht="12" hidden="1" customHeight="1">
      <c r="A18853" s="198"/>
    </row>
    <row r="18854" spans="1:1" s="199" customFormat="1" ht="12" hidden="1" customHeight="1">
      <c r="A18854" s="198"/>
    </row>
    <row r="18855" spans="1:1" s="199" customFormat="1" ht="12" hidden="1" customHeight="1">
      <c r="A18855" s="198"/>
    </row>
    <row r="18856" spans="1:1" s="199" customFormat="1" ht="12" hidden="1" customHeight="1">
      <c r="A18856" s="198"/>
    </row>
    <row r="18857" spans="1:1" s="199" customFormat="1" ht="12" hidden="1" customHeight="1">
      <c r="A18857" s="198"/>
    </row>
    <row r="18858" spans="1:1" s="199" customFormat="1" ht="12" hidden="1" customHeight="1">
      <c r="A18858" s="198"/>
    </row>
    <row r="18859" spans="1:1" s="199" customFormat="1" ht="12" hidden="1" customHeight="1">
      <c r="A18859" s="198"/>
    </row>
    <row r="18860" spans="1:1" s="199" customFormat="1" ht="12" hidden="1" customHeight="1">
      <c r="A18860" s="198"/>
    </row>
    <row r="18861" spans="1:1" s="199" customFormat="1" ht="12" hidden="1" customHeight="1">
      <c r="A18861" s="198"/>
    </row>
    <row r="18862" spans="1:1" s="199" customFormat="1" ht="12" hidden="1" customHeight="1">
      <c r="A18862" s="198"/>
    </row>
    <row r="18863" spans="1:1" s="199" customFormat="1" ht="12" hidden="1" customHeight="1">
      <c r="A18863" s="198"/>
    </row>
    <row r="18864" spans="1:1" s="199" customFormat="1" ht="12" hidden="1" customHeight="1">
      <c r="A18864" s="198"/>
    </row>
    <row r="18865" spans="1:1" s="199" customFormat="1" ht="12" hidden="1" customHeight="1">
      <c r="A18865" s="198"/>
    </row>
    <row r="18866" spans="1:1" s="199" customFormat="1" ht="12" hidden="1" customHeight="1">
      <c r="A18866" s="198"/>
    </row>
    <row r="18867" spans="1:1" s="199" customFormat="1" ht="12" hidden="1" customHeight="1">
      <c r="A18867" s="198"/>
    </row>
    <row r="18868" spans="1:1" s="199" customFormat="1" ht="12" hidden="1" customHeight="1">
      <c r="A18868" s="198"/>
    </row>
    <row r="18869" spans="1:1" s="199" customFormat="1" ht="12" hidden="1" customHeight="1">
      <c r="A18869" s="198"/>
    </row>
    <row r="18870" spans="1:1" s="199" customFormat="1" ht="12" hidden="1" customHeight="1">
      <c r="A18870" s="198"/>
    </row>
    <row r="18871" spans="1:1" s="199" customFormat="1" ht="12" hidden="1" customHeight="1">
      <c r="A18871" s="198"/>
    </row>
    <row r="18872" spans="1:1" s="199" customFormat="1" ht="12" hidden="1" customHeight="1">
      <c r="A18872" s="198"/>
    </row>
    <row r="18873" spans="1:1" s="199" customFormat="1" ht="12" hidden="1" customHeight="1">
      <c r="A18873" s="198"/>
    </row>
    <row r="18874" spans="1:1" s="199" customFormat="1" ht="12" hidden="1" customHeight="1">
      <c r="A18874" s="198"/>
    </row>
    <row r="18875" spans="1:1" s="199" customFormat="1" ht="12" hidden="1" customHeight="1">
      <c r="A18875" s="198"/>
    </row>
    <row r="18876" spans="1:1" s="199" customFormat="1" ht="12" hidden="1" customHeight="1">
      <c r="A18876" s="198"/>
    </row>
    <row r="18877" spans="1:1" s="199" customFormat="1" ht="12" hidden="1" customHeight="1">
      <c r="A18877" s="198"/>
    </row>
    <row r="18878" spans="1:1" s="199" customFormat="1" ht="12" hidden="1" customHeight="1">
      <c r="A18878" s="198"/>
    </row>
    <row r="18879" spans="1:1" s="199" customFormat="1" ht="12" hidden="1" customHeight="1">
      <c r="A18879" s="198"/>
    </row>
    <row r="18880" spans="1:1" s="199" customFormat="1" ht="12" hidden="1" customHeight="1">
      <c r="A18880" s="198"/>
    </row>
    <row r="18881" spans="1:1" s="199" customFormat="1" ht="12" hidden="1" customHeight="1">
      <c r="A18881" s="198"/>
    </row>
    <row r="18882" spans="1:1" s="199" customFormat="1" ht="12" hidden="1" customHeight="1">
      <c r="A18882" s="198"/>
    </row>
    <row r="18883" spans="1:1" s="199" customFormat="1" ht="12" hidden="1" customHeight="1">
      <c r="A18883" s="198"/>
    </row>
    <row r="18884" spans="1:1" s="199" customFormat="1" ht="12" hidden="1" customHeight="1">
      <c r="A18884" s="198"/>
    </row>
    <row r="18885" spans="1:1" s="199" customFormat="1" ht="12" hidden="1" customHeight="1">
      <c r="A18885" s="198"/>
    </row>
    <row r="18886" spans="1:1" s="199" customFormat="1" ht="12" hidden="1" customHeight="1">
      <c r="A18886" s="198"/>
    </row>
    <row r="18887" spans="1:1" s="199" customFormat="1" ht="12" hidden="1" customHeight="1">
      <c r="A18887" s="198"/>
    </row>
    <row r="18888" spans="1:1" s="199" customFormat="1" ht="12" hidden="1" customHeight="1">
      <c r="A18888" s="198"/>
    </row>
    <row r="18889" spans="1:1" s="199" customFormat="1" ht="12" hidden="1" customHeight="1">
      <c r="A18889" s="198"/>
    </row>
    <row r="18890" spans="1:1" s="199" customFormat="1" ht="12" hidden="1" customHeight="1">
      <c r="A18890" s="198"/>
    </row>
    <row r="18891" spans="1:1" s="199" customFormat="1" ht="12" hidden="1" customHeight="1">
      <c r="A18891" s="198"/>
    </row>
    <row r="18892" spans="1:1" s="199" customFormat="1" ht="12" hidden="1" customHeight="1">
      <c r="A18892" s="198"/>
    </row>
    <row r="18893" spans="1:1" s="199" customFormat="1" ht="12" hidden="1" customHeight="1">
      <c r="A18893" s="198"/>
    </row>
    <row r="18894" spans="1:1" s="199" customFormat="1" ht="12" hidden="1" customHeight="1">
      <c r="A18894" s="198"/>
    </row>
    <row r="18895" spans="1:1" s="199" customFormat="1" ht="12" hidden="1" customHeight="1">
      <c r="A18895" s="198"/>
    </row>
    <row r="18896" spans="1:1" s="199" customFormat="1" ht="12" hidden="1" customHeight="1">
      <c r="A18896" s="198"/>
    </row>
    <row r="18897" spans="1:1" s="199" customFormat="1" ht="12" hidden="1" customHeight="1">
      <c r="A18897" s="198"/>
    </row>
    <row r="18898" spans="1:1" s="199" customFormat="1" ht="12" hidden="1" customHeight="1">
      <c r="A18898" s="198"/>
    </row>
    <row r="18899" spans="1:1" s="199" customFormat="1" ht="12" hidden="1" customHeight="1">
      <c r="A18899" s="198"/>
    </row>
    <row r="18900" spans="1:1" s="199" customFormat="1" ht="12" hidden="1" customHeight="1">
      <c r="A18900" s="198"/>
    </row>
    <row r="18901" spans="1:1" s="199" customFormat="1" ht="12" hidden="1" customHeight="1">
      <c r="A18901" s="198"/>
    </row>
    <row r="18902" spans="1:1" s="199" customFormat="1" ht="12" hidden="1" customHeight="1">
      <c r="A18902" s="198"/>
    </row>
    <row r="18903" spans="1:1" s="199" customFormat="1" ht="12" hidden="1" customHeight="1">
      <c r="A18903" s="198"/>
    </row>
    <row r="18904" spans="1:1" s="199" customFormat="1" ht="12" hidden="1" customHeight="1">
      <c r="A18904" s="198"/>
    </row>
    <row r="18905" spans="1:1" s="199" customFormat="1" ht="12" hidden="1" customHeight="1">
      <c r="A18905" s="198"/>
    </row>
    <row r="18906" spans="1:1" s="199" customFormat="1" ht="12" hidden="1" customHeight="1">
      <c r="A18906" s="198"/>
    </row>
    <row r="18907" spans="1:1" s="199" customFormat="1" ht="12" hidden="1" customHeight="1">
      <c r="A18907" s="198"/>
    </row>
    <row r="18908" spans="1:1" s="199" customFormat="1" ht="12" hidden="1" customHeight="1">
      <c r="A18908" s="198"/>
    </row>
    <row r="18909" spans="1:1" s="199" customFormat="1" ht="12" hidden="1" customHeight="1">
      <c r="A18909" s="198"/>
    </row>
    <row r="18910" spans="1:1" s="199" customFormat="1" ht="12" hidden="1" customHeight="1">
      <c r="A18910" s="198"/>
    </row>
    <row r="18911" spans="1:1" s="199" customFormat="1" ht="12" hidden="1" customHeight="1">
      <c r="A18911" s="198"/>
    </row>
    <row r="18912" spans="1:1" s="199" customFormat="1" ht="12" hidden="1" customHeight="1">
      <c r="A18912" s="198"/>
    </row>
    <row r="18913" spans="1:1" s="199" customFormat="1" ht="12" hidden="1" customHeight="1">
      <c r="A18913" s="198"/>
    </row>
    <row r="18914" spans="1:1" s="199" customFormat="1" ht="12" hidden="1" customHeight="1">
      <c r="A18914" s="198"/>
    </row>
    <row r="18915" spans="1:1" s="199" customFormat="1" ht="12" hidden="1" customHeight="1">
      <c r="A18915" s="198"/>
    </row>
    <row r="18916" spans="1:1" s="199" customFormat="1" ht="12" hidden="1" customHeight="1">
      <c r="A18916" s="198"/>
    </row>
    <row r="18917" spans="1:1" s="199" customFormat="1" ht="12" hidden="1" customHeight="1">
      <c r="A18917" s="198"/>
    </row>
    <row r="18918" spans="1:1" s="199" customFormat="1" ht="12" hidden="1" customHeight="1">
      <c r="A18918" s="198"/>
    </row>
    <row r="18919" spans="1:1" s="199" customFormat="1" ht="12" hidden="1" customHeight="1">
      <c r="A18919" s="198"/>
    </row>
    <row r="18920" spans="1:1" s="199" customFormat="1" ht="12" hidden="1" customHeight="1">
      <c r="A18920" s="198"/>
    </row>
    <row r="18921" spans="1:1" s="199" customFormat="1" ht="12" hidden="1" customHeight="1">
      <c r="A18921" s="198"/>
    </row>
    <row r="18922" spans="1:1" s="199" customFormat="1" ht="12" hidden="1" customHeight="1">
      <c r="A18922" s="198"/>
    </row>
    <row r="18923" spans="1:1" s="199" customFormat="1" ht="12" hidden="1" customHeight="1">
      <c r="A18923" s="198"/>
    </row>
    <row r="18924" spans="1:1" s="199" customFormat="1" ht="12" hidden="1" customHeight="1">
      <c r="A18924" s="198"/>
    </row>
    <row r="18925" spans="1:1" s="199" customFormat="1" ht="12" hidden="1" customHeight="1">
      <c r="A18925" s="198"/>
    </row>
    <row r="18926" spans="1:1" s="199" customFormat="1" ht="12" hidden="1" customHeight="1">
      <c r="A18926" s="198"/>
    </row>
    <row r="18927" spans="1:1" s="199" customFormat="1" ht="12" hidden="1" customHeight="1">
      <c r="A18927" s="198"/>
    </row>
    <row r="18928" spans="1:1" s="199" customFormat="1" ht="12" hidden="1" customHeight="1">
      <c r="A18928" s="198"/>
    </row>
    <row r="18929" spans="1:1" s="199" customFormat="1" ht="12" hidden="1" customHeight="1">
      <c r="A18929" s="198"/>
    </row>
    <row r="18930" spans="1:1" s="199" customFormat="1" ht="12" hidden="1" customHeight="1">
      <c r="A18930" s="198"/>
    </row>
    <row r="18931" spans="1:1" s="199" customFormat="1" ht="12" hidden="1" customHeight="1">
      <c r="A18931" s="198"/>
    </row>
    <row r="18932" spans="1:1" s="199" customFormat="1" ht="12" hidden="1" customHeight="1">
      <c r="A18932" s="198"/>
    </row>
    <row r="18933" spans="1:1" s="199" customFormat="1" ht="12" hidden="1" customHeight="1">
      <c r="A18933" s="198"/>
    </row>
    <row r="18934" spans="1:1" s="199" customFormat="1" ht="12" hidden="1" customHeight="1">
      <c r="A18934" s="198"/>
    </row>
    <row r="18935" spans="1:1" s="199" customFormat="1" ht="12" hidden="1" customHeight="1">
      <c r="A18935" s="198"/>
    </row>
    <row r="18936" spans="1:1" s="199" customFormat="1" ht="12" hidden="1" customHeight="1">
      <c r="A18936" s="198"/>
    </row>
    <row r="18937" spans="1:1" s="199" customFormat="1" ht="12" hidden="1" customHeight="1">
      <c r="A18937" s="198"/>
    </row>
    <row r="18938" spans="1:1" s="199" customFormat="1" ht="12" hidden="1" customHeight="1">
      <c r="A18938" s="198"/>
    </row>
    <row r="18939" spans="1:1" s="199" customFormat="1" ht="12" hidden="1" customHeight="1">
      <c r="A18939" s="198"/>
    </row>
    <row r="18940" spans="1:1" s="199" customFormat="1" ht="12" hidden="1" customHeight="1">
      <c r="A18940" s="198"/>
    </row>
    <row r="18941" spans="1:1" s="199" customFormat="1" ht="12" hidden="1" customHeight="1">
      <c r="A18941" s="198"/>
    </row>
    <row r="18942" spans="1:1" s="199" customFormat="1" ht="12" hidden="1" customHeight="1">
      <c r="A18942" s="198"/>
    </row>
    <row r="18943" spans="1:1" s="199" customFormat="1" ht="12" hidden="1" customHeight="1">
      <c r="A18943" s="198"/>
    </row>
    <row r="18944" spans="1:1" s="199" customFormat="1" ht="12" hidden="1" customHeight="1">
      <c r="A18944" s="198"/>
    </row>
    <row r="18945" spans="1:1" s="199" customFormat="1" ht="12" hidden="1" customHeight="1">
      <c r="A18945" s="198"/>
    </row>
    <row r="18946" spans="1:1" s="199" customFormat="1" ht="12" hidden="1" customHeight="1">
      <c r="A18946" s="198"/>
    </row>
    <row r="18947" spans="1:1" s="199" customFormat="1" ht="12" hidden="1" customHeight="1">
      <c r="A18947" s="198"/>
    </row>
    <row r="18948" spans="1:1" s="199" customFormat="1" ht="12" hidden="1" customHeight="1">
      <c r="A18948" s="198"/>
    </row>
    <row r="18949" spans="1:1" s="199" customFormat="1" ht="12" hidden="1" customHeight="1">
      <c r="A18949" s="198"/>
    </row>
    <row r="18950" spans="1:1" s="199" customFormat="1" ht="12" hidden="1" customHeight="1">
      <c r="A18950" s="198"/>
    </row>
    <row r="18951" spans="1:1" s="199" customFormat="1" ht="12" hidden="1" customHeight="1">
      <c r="A18951" s="198"/>
    </row>
    <row r="18952" spans="1:1" s="199" customFormat="1" ht="12" hidden="1" customHeight="1">
      <c r="A18952" s="198"/>
    </row>
    <row r="18953" spans="1:1" s="199" customFormat="1" ht="12" hidden="1" customHeight="1">
      <c r="A18953" s="198"/>
    </row>
    <row r="18954" spans="1:1" s="199" customFormat="1" ht="12" hidden="1" customHeight="1">
      <c r="A18954" s="198"/>
    </row>
    <row r="18955" spans="1:1" s="199" customFormat="1" ht="12" hidden="1" customHeight="1">
      <c r="A18955" s="198"/>
    </row>
    <row r="18956" spans="1:1" s="199" customFormat="1" ht="12" hidden="1" customHeight="1">
      <c r="A18956" s="198"/>
    </row>
    <row r="18957" spans="1:1" s="199" customFormat="1" ht="12" hidden="1" customHeight="1">
      <c r="A18957" s="198"/>
    </row>
    <row r="18958" spans="1:1" s="199" customFormat="1" ht="12" hidden="1" customHeight="1">
      <c r="A18958" s="198"/>
    </row>
    <row r="18959" spans="1:1" s="199" customFormat="1" ht="12" hidden="1" customHeight="1">
      <c r="A18959" s="198"/>
    </row>
    <row r="18960" spans="1:1" s="199" customFormat="1" ht="12" hidden="1" customHeight="1">
      <c r="A18960" s="198"/>
    </row>
    <row r="18961" spans="1:1" s="199" customFormat="1" ht="12" hidden="1" customHeight="1">
      <c r="A18961" s="198"/>
    </row>
    <row r="18962" spans="1:1" s="199" customFormat="1" ht="12" hidden="1" customHeight="1">
      <c r="A18962" s="198"/>
    </row>
    <row r="18963" spans="1:1" s="199" customFormat="1" ht="12" hidden="1" customHeight="1">
      <c r="A18963" s="198"/>
    </row>
    <row r="18964" spans="1:1" s="199" customFormat="1" ht="12" hidden="1" customHeight="1">
      <c r="A18964" s="198"/>
    </row>
    <row r="18965" spans="1:1" s="199" customFormat="1" ht="12" hidden="1" customHeight="1">
      <c r="A18965" s="198"/>
    </row>
    <row r="18966" spans="1:1" s="199" customFormat="1" ht="12" hidden="1" customHeight="1">
      <c r="A18966" s="198"/>
    </row>
    <row r="18967" spans="1:1" s="199" customFormat="1" ht="12" hidden="1" customHeight="1">
      <c r="A18967" s="198"/>
    </row>
    <row r="18968" spans="1:1" s="199" customFormat="1" ht="12" hidden="1" customHeight="1">
      <c r="A18968" s="198"/>
    </row>
    <row r="18969" spans="1:1" s="199" customFormat="1" ht="12" hidden="1" customHeight="1">
      <c r="A18969" s="198"/>
    </row>
    <row r="18970" spans="1:1" s="199" customFormat="1" ht="12" hidden="1" customHeight="1">
      <c r="A18970" s="198"/>
    </row>
    <row r="18971" spans="1:1" s="199" customFormat="1" ht="12" hidden="1" customHeight="1">
      <c r="A18971" s="198"/>
    </row>
    <row r="18972" spans="1:1" s="199" customFormat="1" ht="12" hidden="1" customHeight="1">
      <c r="A18972" s="198"/>
    </row>
    <row r="18973" spans="1:1" s="199" customFormat="1" ht="12" hidden="1" customHeight="1">
      <c r="A18973" s="198"/>
    </row>
    <row r="18974" spans="1:1" s="199" customFormat="1" ht="12" hidden="1" customHeight="1">
      <c r="A18974" s="198"/>
    </row>
    <row r="18975" spans="1:1" s="199" customFormat="1" ht="12" hidden="1" customHeight="1">
      <c r="A18975" s="198"/>
    </row>
    <row r="18976" spans="1:1" s="199" customFormat="1" ht="12" hidden="1" customHeight="1">
      <c r="A18976" s="198"/>
    </row>
    <row r="18977" spans="1:1" s="199" customFormat="1" ht="12" hidden="1" customHeight="1">
      <c r="A18977" s="198"/>
    </row>
    <row r="18978" spans="1:1" s="199" customFormat="1" ht="12" hidden="1" customHeight="1">
      <c r="A18978" s="198"/>
    </row>
    <row r="18979" spans="1:1" s="199" customFormat="1" ht="12" hidden="1" customHeight="1">
      <c r="A18979" s="198"/>
    </row>
    <row r="18980" spans="1:1" s="199" customFormat="1" ht="12" hidden="1" customHeight="1">
      <c r="A18980" s="198"/>
    </row>
    <row r="18981" spans="1:1" s="199" customFormat="1" ht="12" hidden="1" customHeight="1">
      <c r="A18981" s="198"/>
    </row>
    <row r="18982" spans="1:1" s="199" customFormat="1" ht="12" hidden="1" customHeight="1">
      <c r="A18982" s="198"/>
    </row>
    <row r="18983" spans="1:1" s="199" customFormat="1" ht="12" hidden="1" customHeight="1">
      <c r="A18983" s="198"/>
    </row>
    <row r="18984" spans="1:1" s="199" customFormat="1" ht="12" hidden="1" customHeight="1">
      <c r="A18984" s="198"/>
    </row>
    <row r="18985" spans="1:1" s="199" customFormat="1" ht="12" hidden="1" customHeight="1">
      <c r="A18985" s="198"/>
    </row>
    <row r="18986" spans="1:1" s="199" customFormat="1" ht="12" hidden="1" customHeight="1">
      <c r="A18986" s="198"/>
    </row>
    <row r="18987" spans="1:1" s="199" customFormat="1" ht="12" hidden="1" customHeight="1">
      <c r="A18987" s="198"/>
    </row>
    <row r="18988" spans="1:1" s="199" customFormat="1" ht="12" hidden="1" customHeight="1">
      <c r="A18988" s="198"/>
    </row>
    <row r="18989" spans="1:1" s="199" customFormat="1" ht="12" hidden="1" customHeight="1">
      <c r="A18989" s="198"/>
    </row>
    <row r="18990" spans="1:1" s="199" customFormat="1" ht="12" hidden="1" customHeight="1">
      <c r="A18990" s="198"/>
    </row>
    <row r="18991" spans="1:1" s="199" customFormat="1" ht="12" hidden="1" customHeight="1">
      <c r="A18991" s="198"/>
    </row>
    <row r="18992" spans="1:1" s="199" customFormat="1" ht="12" hidden="1" customHeight="1">
      <c r="A18992" s="198"/>
    </row>
    <row r="18993" spans="1:1" s="199" customFormat="1" ht="12" hidden="1" customHeight="1">
      <c r="A18993" s="198"/>
    </row>
    <row r="18994" spans="1:1" s="199" customFormat="1" ht="12" hidden="1" customHeight="1">
      <c r="A18994" s="198"/>
    </row>
    <row r="18995" spans="1:1" s="199" customFormat="1" ht="12" hidden="1" customHeight="1">
      <c r="A18995" s="198"/>
    </row>
    <row r="18996" spans="1:1" s="199" customFormat="1" ht="12" hidden="1" customHeight="1">
      <c r="A18996" s="198"/>
    </row>
    <row r="18997" spans="1:1" s="199" customFormat="1" ht="12" hidden="1" customHeight="1">
      <c r="A18997" s="198"/>
    </row>
    <row r="18998" spans="1:1" s="199" customFormat="1" ht="12" hidden="1" customHeight="1">
      <c r="A18998" s="198"/>
    </row>
    <row r="18999" spans="1:1" s="199" customFormat="1" ht="12" hidden="1" customHeight="1">
      <c r="A18999" s="198"/>
    </row>
    <row r="19000" spans="1:1" s="199" customFormat="1" ht="12" hidden="1" customHeight="1">
      <c r="A19000" s="198"/>
    </row>
    <row r="19001" spans="1:1" s="199" customFormat="1" ht="12" hidden="1" customHeight="1">
      <c r="A19001" s="198"/>
    </row>
    <row r="19002" spans="1:1" s="199" customFormat="1" ht="12" hidden="1" customHeight="1">
      <c r="A19002" s="198"/>
    </row>
    <row r="19003" spans="1:1" s="199" customFormat="1" ht="12" hidden="1" customHeight="1">
      <c r="A19003" s="198"/>
    </row>
    <row r="19004" spans="1:1" s="199" customFormat="1" ht="12" hidden="1" customHeight="1">
      <c r="A19004" s="198"/>
    </row>
    <row r="19005" spans="1:1" s="199" customFormat="1" ht="12" hidden="1" customHeight="1">
      <c r="A19005" s="198"/>
    </row>
    <row r="19006" spans="1:1" s="199" customFormat="1" ht="12" hidden="1" customHeight="1">
      <c r="A19006" s="198"/>
    </row>
    <row r="19007" spans="1:1" s="199" customFormat="1" ht="12" hidden="1" customHeight="1">
      <c r="A19007" s="198"/>
    </row>
    <row r="19008" spans="1:1" s="199" customFormat="1" ht="12" hidden="1" customHeight="1">
      <c r="A19008" s="198"/>
    </row>
    <row r="19009" spans="1:1" s="199" customFormat="1" ht="12" hidden="1" customHeight="1">
      <c r="A19009" s="198"/>
    </row>
    <row r="19010" spans="1:1" s="199" customFormat="1" ht="12" hidden="1" customHeight="1">
      <c r="A19010" s="198"/>
    </row>
    <row r="19011" spans="1:1" s="199" customFormat="1" ht="12" hidden="1" customHeight="1">
      <c r="A19011" s="198"/>
    </row>
    <row r="19012" spans="1:1" s="199" customFormat="1" ht="12" hidden="1" customHeight="1">
      <c r="A19012" s="198"/>
    </row>
    <row r="19013" spans="1:1" s="199" customFormat="1" ht="12" hidden="1" customHeight="1">
      <c r="A19013" s="198"/>
    </row>
    <row r="19014" spans="1:1" s="199" customFormat="1" ht="12" hidden="1" customHeight="1">
      <c r="A19014" s="198"/>
    </row>
    <row r="19015" spans="1:1" s="199" customFormat="1" ht="12" hidden="1" customHeight="1">
      <c r="A19015" s="198"/>
    </row>
    <row r="19016" spans="1:1" s="199" customFormat="1" ht="12" hidden="1" customHeight="1">
      <c r="A19016" s="198"/>
    </row>
    <row r="19017" spans="1:1" s="199" customFormat="1" ht="12" hidden="1" customHeight="1">
      <c r="A19017" s="198"/>
    </row>
    <row r="19018" spans="1:1" s="199" customFormat="1" ht="12" hidden="1" customHeight="1">
      <c r="A19018" s="198"/>
    </row>
    <row r="19019" spans="1:1" s="199" customFormat="1" ht="12" hidden="1" customHeight="1">
      <c r="A19019" s="198"/>
    </row>
    <row r="19020" spans="1:1" s="199" customFormat="1" ht="12" hidden="1" customHeight="1">
      <c r="A19020" s="198"/>
    </row>
    <row r="19021" spans="1:1" s="199" customFormat="1" ht="12" hidden="1" customHeight="1">
      <c r="A19021" s="198"/>
    </row>
    <row r="19022" spans="1:1" s="199" customFormat="1" ht="12" hidden="1" customHeight="1">
      <c r="A19022" s="198"/>
    </row>
    <row r="19023" spans="1:1" s="199" customFormat="1" ht="12" hidden="1" customHeight="1">
      <c r="A19023" s="198"/>
    </row>
    <row r="19024" spans="1:1" s="199" customFormat="1" ht="12" hidden="1" customHeight="1">
      <c r="A19024" s="198"/>
    </row>
    <row r="19025" spans="1:1" s="199" customFormat="1" ht="12" hidden="1" customHeight="1">
      <c r="A19025" s="198"/>
    </row>
    <row r="19026" spans="1:1" s="199" customFormat="1" ht="12" hidden="1" customHeight="1">
      <c r="A19026" s="198"/>
    </row>
    <row r="19027" spans="1:1" s="199" customFormat="1" ht="12" hidden="1" customHeight="1">
      <c r="A19027" s="198"/>
    </row>
    <row r="19028" spans="1:1" s="199" customFormat="1" ht="12" hidden="1" customHeight="1">
      <c r="A19028" s="198"/>
    </row>
    <row r="19029" spans="1:1" s="199" customFormat="1" ht="12" hidden="1" customHeight="1">
      <c r="A19029" s="198"/>
    </row>
    <row r="19030" spans="1:1" s="199" customFormat="1" ht="12" hidden="1" customHeight="1">
      <c r="A19030" s="198"/>
    </row>
    <row r="19031" spans="1:1" s="199" customFormat="1" ht="12" hidden="1" customHeight="1">
      <c r="A19031" s="198"/>
    </row>
    <row r="19032" spans="1:1" s="199" customFormat="1" ht="12" hidden="1" customHeight="1">
      <c r="A19032" s="198"/>
    </row>
    <row r="19033" spans="1:1" s="199" customFormat="1" ht="12" hidden="1" customHeight="1">
      <c r="A19033" s="198"/>
    </row>
    <row r="19034" spans="1:1" s="199" customFormat="1" ht="12" hidden="1" customHeight="1">
      <c r="A19034" s="198"/>
    </row>
    <row r="19035" spans="1:1" s="199" customFormat="1" ht="12" hidden="1" customHeight="1">
      <c r="A19035" s="198"/>
    </row>
    <row r="19036" spans="1:1" s="199" customFormat="1" ht="12" hidden="1" customHeight="1">
      <c r="A19036" s="198"/>
    </row>
    <row r="19037" spans="1:1" s="199" customFormat="1" ht="12" hidden="1" customHeight="1">
      <c r="A19037" s="198"/>
    </row>
    <row r="19038" spans="1:1" s="199" customFormat="1" ht="12" hidden="1" customHeight="1">
      <c r="A19038" s="198"/>
    </row>
    <row r="19039" spans="1:1" s="199" customFormat="1" ht="12" hidden="1" customHeight="1">
      <c r="A19039" s="198"/>
    </row>
    <row r="19040" spans="1:1" s="199" customFormat="1" ht="12" hidden="1" customHeight="1">
      <c r="A19040" s="198"/>
    </row>
    <row r="19041" spans="1:1" s="199" customFormat="1" ht="12" hidden="1" customHeight="1">
      <c r="A19041" s="198"/>
    </row>
    <row r="19042" spans="1:1" s="199" customFormat="1" ht="12" hidden="1" customHeight="1">
      <c r="A19042" s="198"/>
    </row>
    <row r="19043" spans="1:1" s="199" customFormat="1" ht="12" hidden="1" customHeight="1">
      <c r="A19043" s="198"/>
    </row>
    <row r="19044" spans="1:1" s="199" customFormat="1" ht="12" hidden="1" customHeight="1">
      <c r="A19044" s="198"/>
    </row>
    <row r="19045" spans="1:1" s="199" customFormat="1" ht="12" hidden="1" customHeight="1">
      <c r="A19045" s="198"/>
    </row>
    <row r="19046" spans="1:1" s="199" customFormat="1" ht="12" hidden="1" customHeight="1">
      <c r="A19046" s="198"/>
    </row>
    <row r="19047" spans="1:1" s="199" customFormat="1" ht="12" hidden="1" customHeight="1">
      <c r="A19047" s="198"/>
    </row>
    <row r="19048" spans="1:1" s="199" customFormat="1" ht="12" hidden="1" customHeight="1">
      <c r="A19048" s="198"/>
    </row>
    <row r="19049" spans="1:1" s="199" customFormat="1" ht="12" hidden="1" customHeight="1">
      <c r="A19049" s="198"/>
    </row>
    <row r="19050" spans="1:1" s="199" customFormat="1" ht="12" hidden="1" customHeight="1">
      <c r="A19050" s="198"/>
    </row>
    <row r="19051" spans="1:1" s="199" customFormat="1" ht="12" hidden="1" customHeight="1">
      <c r="A19051" s="198"/>
    </row>
    <row r="19052" spans="1:1" s="199" customFormat="1" ht="12" hidden="1" customHeight="1">
      <c r="A19052" s="198"/>
    </row>
    <row r="19053" spans="1:1" s="199" customFormat="1" ht="12" hidden="1" customHeight="1">
      <c r="A19053" s="198"/>
    </row>
    <row r="19054" spans="1:1" s="199" customFormat="1" ht="12" hidden="1" customHeight="1">
      <c r="A19054" s="198"/>
    </row>
    <row r="19055" spans="1:1" s="199" customFormat="1" ht="12" hidden="1" customHeight="1">
      <c r="A19055" s="198"/>
    </row>
    <row r="19056" spans="1:1" s="199" customFormat="1" ht="12" hidden="1" customHeight="1">
      <c r="A19056" s="198"/>
    </row>
    <row r="19057" spans="1:1" s="199" customFormat="1" ht="12" hidden="1" customHeight="1">
      <c r="A19057" s="198"/>
    </row>
    <row r="19058" spans="1:1" s="199" customFormat="1" ht="12" hidden="1" customHeight="1">
      <c r="A19058" s="198"/>
    </row>
    <row r="19059" spans="1:1" s="199" customFormat="1" ht="12" hidden="1" customHeight="1">
      <c r="A19059" s="198"/>
    </row>
    <row r="19060" spans="1:1" s="199" customFormat="1" ht="12" hidden="1" customHeight="1">
      <c r="A19060" s="198"/>
    </row>
    <row r="19061" spans="1:1" s="199" customFormat="1" ht="12" hidden="1" customHeight="1">
      <c r="A19061" s="198"/>
    </row>
    <row r="19062" spans="1:1" s="199" customFormat="1" ht="12" hidden="1" customHeight="1">
      <c r="A19062" s="198"/>
    </row>
    <row r="19063" spans="1:1" s="199" customFormat="1" ht="12" hidden="1" customHeight="1">
      <c r="A19063" s="198"/>
    </row>
    <row r="19064" spans="1:1" s="199" customFormat="1" ht="12" hidden="1" customHeight="1">
      <c r="A19064" s="198"/>
    </row>
    <row r="19065" spans="1:1" s="199" customFormat="1" ht="12" hidden="1" customHeight="1">
      <c r="A19065" s="198"/>
    </row>
    <row r="19066" spans="1:1" s="199" customFormat="1" ht="12" hidden="1" customHeight="1">
      <c r="A19066" s="198"/>
    </row>
    <row r="19067" spans="1:1" s="199" customFormat="1" ht="12" hidden="1" customHeight="1">
      <c r="A19067" s="198"/>
    </row>
    <row r="19068" spans="1:1" s="199" customFormat="1" ht="12" hidden="1" customHeight="1">
      <c r="A19068" s="198"/>
    </row>
    <row r="19069" spans="1:1" s="199" customFormat="1" ht="12" hidden="1" customHeight="1">
      <c r="A19069" s="198"/>
    </row>
    <row r="19070" spans="1:1" s="199" customFormat="1" ht="12" hidden="1" customHeight="1">
      <c r="A19070" s="198"/>
    </row>
    <row r="19071" spans="1:1" s="199" customFormat="1" ht="12" hidden="1" customHeight="1">
      <c r="A19071" s="198"/>
    </row>
    <row r="19072" spans="1:1" s="199" customFormat="1" ht="12" hidden="1" customHeight="1">
      <c r="A19072" s="198"/>
    </row>
    <row r="19073" spans="1:1" s="199" customFormat="1" ht="12" hidden="1" customHeight="1">
      <c r="A19073" s="198"/>
    </row>
    <row r="19074" spans="1:1" s="199" customFormat="1" ht="12" hidden="1" customHeight="1">
      <c r="A19074" s="198"/>
    </row>
    <row r="19075" spans="1:1" s="199" customFormat="1" ht="12" hidden="1" customHeight="1">
      <c r="A19075" s="198"/>
    </row>
    <row r="19076" spans="1:1" s="199" customFormat="1" ht="12" hidden="1" customHeight="1">
      <c r="A19076" s="198"/>
    </row>
    <row r="19077" spans="1:1" s="199" customFormat="1" ht="12" hidden="1" customHeight="1">
      <c r="A19077" s="198"/>
    </row>
    <row r="19078" spans="1:1" s="199" customFormat="1" ht="12" hidden="1" customHeight="1">
      <c r="A19078" s="198"/>
    </row>
    <row r="19079" spans="1:1" s="199" customFormat="1" ht="12" hidden="1" customHeight="1">
      <c r="A19079" s="198"/>
    </row>
    <row r="19080" spans="1:1" s="199" customFormat="1" ht="12" hidden="1" customHeight="1">
      <c r="A19080" s="198"/>
    </row>
    <row r="19081" spans="1:1" s="199" customFormat="1" ht="12" hidden="1" customHeight="1">
      <c r="A19081" s="198"/>
    </row>
    <row r="19082" spans="1:1" s="199" customFormat="1" ht="12" hidden="1" customHeight="1">
      <c r="A19082" s="198"/>
    </row>
    <row r="19083" spans="1:1" s="199" customFormat="1" ht="12" hidden="1" customHeight="1">
      <c r="A19083" s="198"/>
    </row>
    <row r="19084" spans="1:1" s="199" customFormat="1" ht="12" hidden="1" customHeight="1">
      <c r="A19084" s="198"/>
    </row>
    <row r="19085" spans="1:1" s="199" customFormat="1" ht="12" hidden="1" customHeight="1">
      <c r="A19085" s="198"/>
    </row>
    <row r="19086" spans="1:1" s="199" customFormat="1" ht="12" hidden="1" customHeight="1">
      <c r="A19086" s="198"/>
    </row>
    <row r="19087" spans="1:1" s="199" customFormat="1" ht="12" hidden="1" customHeight="1">
      <c r="A19087" s="198"/>
    </row>
    <row r="19088" spans="1:1" s="199" customFormat="1" ht="12" hidden="1" customHeight="1">
      <c r="A19088" s="198"/>
    </row>
    <row r="19089" spans="1:1" s="199" customFormat="1" ht="12" hidden="1" customHeight="1">
      <c r="A19089" s="198"/>
    </row>
    <row r="19090" spans="1:1" s="199" customFormat="1" ht="12" hidden="1" customHeight="1">
      <c r="A19090" s="198"/>
    </row>
    <row r="19091" spans="1:1" s="199" customFormat="1" ht="12" hidden="1" customHeight="1">
      <c r="A19091" s="198"/>
    </row>
    <row r="19092" spans="1:1" s="199" customFormat="1" ht="12" hidden="1" customHeight="1">
      <c r="A19092" s="198"/>
    </row>
    <row r="19093" spans="1:1" s="199" customFormat="1" ht="12" hidden="1" customHeight="1">
      <c r="A19093" s="198"/>
    </row>
    <row r="19094" spans="1:1" s="199" customFormat="1" ht="12" hidden="1" customHeight="1">
      <c r="A19094" s="198"/>
    </row>
    <row r="19095" spans="1:1" s="199" customFormat="1" ht="12" hidden="1" customHeight="1">
      <c r="A19095" s="198"/>
    </row>
    <row r="19096" spans="1:1" s="199" customFormat="1" ht="12" hidden="1" customHeight="1">
      <c r="A19096" s="198"/>
    </row>
    <row r="19097" spans="1:1" s="199" customFormat="1" ht="12" hidden="1" customHeight="1">
      <c r="A19097" s="198"/>
    </row>
    <row r="19098" spans="1:1" s="199" customFormat="1" ht="12" hidden="1" customHeight="1">
      <c r="A19098" s="198"/>
    </row>
    <row r="19099" spans="1:1" s="199" customFormat="1" ht="12" hidden="1" customHeight="1">
      <c r="A19099" s="198"/>
    </row>
    <row r="19100" spans="1:1" s="199" customFormat="1" ht="12" hidden="1" customHeight="1">
      <c r="A19100" s="198"/>
    </row>
    <row r="19101" spans="1:1" s="199" customFormat="1" ht="12" hidden="1" customHeight="1">
      <c r="A19101" s="198"/>
    </row>
    <row r="19102" spans="1:1" s="199" customFormat="1" ht="12" hidden="1" customHeight="1">
      <c r="A19102" s="198"/>
    </row>
    <row r="19103" spans="1:1" s="199" customFormat="1" ht="12" hidden="1" customHeight="1">
      <c r="A19103" s="198"/>
    </row>
    <row r="19104" spans="1:1" s="199" customFormat="1" ht="12" hidden="1" customHeight="1">
      <c r="A19104" s="198"/>
    </row>
    <row r="19105" spans="1:1" s="199" customFormat="1" ht="12" hidden="1" customHeight="1">
      <c r="A19105" s="198"/>
    </row>
    <row r="19106" spans="1:1" s="199" customFormat="1" ht="12" hidden="1" customHeight="1">
      <c r="A19106" s="198"/>
    </row>
    <row r="19107" spans="1:1" s="199" customFormat="1" ht="12" hidden="1" customHeight="1">
      <c r="A19107" s="198"/>
    </row>
    <row r="19108" spans="1:1" s="199" customFormat="1" ht="12" hidden="1" customHeight="1">
      <c r="A19108" s="198"/>
    </row>
    <row r="19109" spans="1:1" s="199" customFormat="1" ht="12" hidden="1" customHeight="1">
      <c r="A19109" s="198"/>
    </row>
    <row r="19110" spans="1:1" s="199" customFormat="1" ht="12" hidden="1" customHeight="1">
      <c r="A19110" s="198"/>
    </row>
    <row r="19111" spans="1:1" s="199" customFormat="1" ht="12" hidden="1" customHeight="1">
      <c r="A19111" s="198"/>
    </row>
    <row r="19112" spans="1:1" s="199" customFormat="1" ht="12" hidden="1" customHeight="1">
      <c r="A19112" s="198"/>
    </row>
    <row r="19113" spans="1:1" s="199" customFormat="1" ht="12" hidden="1" customHeight="1">
      <c r="A19113" s="198"/>
    </row>
    <row r="19114" spans="1:1" s="199" customFormat="1" ht="12" hidden="1" customHeight="1">
      <c r="A19114" s="198"/>
    </row>
    <row r="19115" spans="1:1" s="199" customFormat="1" ht="12" hidden="1" customHeight="1">
      <c r="A19115" s="198"/>
    </row>
    <row r="19116" spans="1:1" s="199" customFormat="1" ht="12" hidden="1" customHeight="1">
      <c r="A19116" s="198"/>
    </row>
    <row r="19117" spans="1:1" s="199" customFormat="1" ht="12" hidden="1" customHeight="1">
      <c r="A19117" s="198"/>
    </row>
    <row r="19118" spans="1:1" s="199" customFormat="1" ht="12" hidden="1" customHeight="1">
      <c r="A19118" s="198"/>
    </row>
    <row r="19119" spans="1:1" s="199" customFormat="1" ht="12" hidden="1" customHeight="1">
      <c r="A19119" s="198"/>
    </row>
    <row r="19120" spans="1:1" s="199" customFormat="1" ht="12" hidden="1" customHeight="1">
      <c r="A19120" s="198"/>
    </row>
    <row r="19121" spans="1:1" s="199" customFormat="1" ht="12" hidden="1" customHeight="1">
      <c r="A19121" s="198"/>
    </row>
    <row r="19122" spans="1:1" s="199" customFormat="1" ht="12" hidden="1" customHeight="1">
      <c r="A19122" s="198"/>
    </row>
    <row r="19123" spans="1:1" s="199" customFormat="1" ht="12" hidden="1" customHeight="1">
      <c r="A19123" s="198"/>
    </row>
    <row r="19124" spans="1:1" s="199" customFormat="1" ht="12" hidden="1" customHeight="1">
      <c r="A19124" s="198"/>
    </row>
    <row r="19125" spans="1:1" s="199" customFormat="1" ht="12" hidden="1" customHeight="1">
      <c r="A19125" s="198"/>
    </row>
    <row r="19126" spans="1:1" s="199" customFormat="1" ht="12" hidden="1" customHeight="1">
      <c r="A19126" s="198"/>
    </row>
    <row r="19127" spans="1:1" s="199" customFormat="1" ht="12" hidden="1" customHeight="1">
      <c r="A19127" s="198"/>
    </row>
    <row r="19128" spans="1:1" s="199" customFormat="1" ht="12" hidden="1" customHeight="1">
      <c r="A19128" s="198"/>
    </row>
    <row r="19129" spans="1:1" s="199" customFormat="1" ht="12" hidden="1" customHeight="1">
      <c r="A19129" s="198"/>
    </row>
    <row r="19130" spans="1:1" s="199" customFormat="1" ht="12" hidden="1" customHeight="1">
      <c r="A19130" s="198"/>
    </row>
    <row r="19131" spans="1:1" s="199" customFormat="1" ht="12" hidden="1" customHeight="1">
      <c r="A19131" s="198"/>
    </row>
    <row r="19132" spans="1:1" s="199" customFormat="1" ht="12" hidden="1" customHeight="1">
      <c r="A19132" s="198"/>
    </row>
    <row r="19133" spans="1:1" s="199" customFormat="1" ht="12" hidden="1" customHeight="1">
      <c r="A19133" s="198"/>
    </row>
    <row r="19134" spans="1:1" s="199" customFormat="1" ht="12" hidden="1" customHeight="1">
      <c r="A19134" s="198"/>
    </row>
    <row r="19135" spans="1:1" s="199" customFormat="1" ht="12" hidden="1" customHeight="1">
      <c r="A19135" s="198"/>
    </row>
    <row r="19136" spans="1:1" s="199" customFormat="1" ht="12" hidden="1" customHeight="1">
      <c r="A19136" s="198"/>
    </row>
    <row r="19137" spans="1:1" s="199" customFormat="1" ht="12" hidden="1" customHeight="1">
      <c r="A19137" s="198"/>
    </row>
    <row r="19138" spans="1:1" s="199" customFormat="1" ht="12" hidden="1" customHeight="1">
      <c r="A19138" s="198"/>
    </row>
    <row r="19139" spans="1:1" s="199" customFormat="1" ht="12" hidden="1" customHeight="1">
      <c r="A19139" s="198"/>
    </row>
    <row r="19140" spans="1:1" s="199" customFormat="1" ht="12" hidden="1" customHeight="1">
      <c r="A19140" s="198"/>
    </row>
    <row r="19141" spans="1:1" s="199" customFormat="1" ht="12" hidden="1" customHeight="1">
      <c r="A19141" s="198"/>
    </row>
    <row r="19142" spans="1:1" s="199" customFormat="1" ht="12" hidden="1" customHeight="1">
      <c r="A19142" s="198"/>
    </row>
    <row r="19143" spans="1:1" s="199" customFormat="1" ht="12" hidden="1" customHeight="1">
      <c r="A19143" s="198"/>
    </row>
    <row r="19144" spans="1:1" s="199" customFormat="1" ht="12" hidden="1" customHeight="1">
      <c r="A19144" s="198"/>
    </row>
    <row r="19145" spans="1:1" s="199" customFormat="1" ht="12" hidden="1" customHeight="1">
      <c r="A19145" s="198"/>
    </row>
    <row r="19146" spans="1:1" s="199" customFormat="1" ht="12" hidden="1" customHeight="1">
      <c r="A19146" s="198"/>
    </row>
    <row r="19147" spans="1:1" s="199" customFormat="1" ht="12" hidden="1" customHeight="1">
      <c r="A19147" s="198"/>
    </row>
    <row r="19148" spans="1:1" s="199" customFormat="1" ht="12" hidden="1" customHeight="1">
      <c r="A19148" s="198"/>
    </row>
    <row r="19149" spans="1:1" s="199" customFormat="1" ht="12" hidden="1" customHeight="1">
      <c r="A19149" s="198"/>
    </row>
    <row r="19150" spans="1:1" s="199" customFormat="1" ht="12" hidden="1" customHeight="1">
      <c r="A19150" s="198"/>
    </row>
    <row r="19151" spans="1:1" s="199" customFormat="1" ht="12" hidden="1" customHeight="1">
      <c r="A19151" s="198"/>
    </row>
    <row r="19152" spans="1:1" s="199" customFormat="1" ht="12" hidden="1" customHeight="1">
      <c r="A19152" s="198"/>
    </row>
    <row r="19153" spans="1:1" s="199" customFormat="1" ht="12" hidden="1" customHeight="1">
      <c r="A19153" s="198"/>
    </row>
    <row r="19154" spans="1:1" s="199" customFormat="1" ht="12" hidden="1" customHeight="1">
      <c r="A19154" s="198"/>
    </row>
    <row r="19155" spans="1:1" s="199" customFormat="1" ht="12" hidden="1" customHeight="1">
      <c r="A19155" s="198"/>
    </row>
    <row r="19156" spans="1:1" s="199" customFormat="1" ht="12" hidden="1" customHeight="1">
      <c r="A19156" s="198"/>
    </row>
    <row r="19157" spans="1:1" s="199" customFormat="1" ht="12" hidden="1" customHeight="1">
      <c r="A19157" s="198"/>
    </row>
    <row r="19158" spans="1:1" s="199" customFormat="1" ht="12" hidden="1" customHeight="1">
      <c r="A19158" s="198"/>
    </row>
    <row r="19159" spans="1:1" s="199" customFormat="1" ht="12" hidden="1" customHeight="1">
      <c r="A19159" s="198"/>
    </row>
    <row r="19160" spans="1:1" s="199" customFormat="1" ht="12" hidden="1" customHeight="1">
      <c r="A19160" s="198"/>
    </row>
    <row r="19161" spans="1:1" s="199" customFormat="1" ht="12" hidden="1" customHeight="1">
      <c r="A19161" s="198"/>
    </row>
    <row r="19162" spans="1:1" s="199" customFormat="1" ht="12" hidden="1" customHeight="1">
      <c r="A19162" s="198"/>
    </row>
    <row r="19163" spans="1:1" s="199" customFormat="1" ht="12" hidden="1" customHeight="1">
      <c r="A19163" s="198"/>
    </row>
    <row r="19164" spans="1:1" s="199" customFormat="1" ht="12" hidden="1" customHeight="1">
      <c r="A19164" s="198"/>
    </row>
    <row r="19165" spans="1:1" s="199" customFormat="1" ht="12" hidden="1" customHeight="1">
      <c r="A19165" s="198"/>
    </row>
    <row r="19166" spans="1:1" s="199" customFormat="1" ht="12" hidden="1" customHeight="1">
      <c r="A19166" s="198"/>
    </row>
    <row r="19167" spans="1:1" s="199" customFormat="1" ht="12" hidden="1" customHeight="1">
      <c r="A19167" s="198"/>
    </row>
    <row r="19168" spans="1:1" s="199" customFormat="1" ht="12" hidden="1" customHeight="1">
      <c r="A19168" s="198"/>
    </row>
    <row r="19169" spans="1:1" s="199" customFormat="1" ht="12" hidden="1" customHeight="1">
      <c r="A19169" s="198"/>
    </row>
    <row r="19170" spans="1:1" s="199" customFormat="1" ht="12" hidden="1" customHeight="1">
      <c r="A19170" s="198"/>
    </row>
    <row r="19171" spans="1:1" s="199" customFormat="1" ht="12" hidden="1" customHeight="1">
      <c r="A19171" s="198"/>
    </row>
    <row r="19172" spans="1:1" s="199" customFormat="1" ht="12" hidden="1" customHeight="1">
      <c r="A19172" s="198"/>
    </row>
    <row r="19173" spans="1:1" s="199" customFormat="1" ht="12" hidden="1" customHeight="1">
      <c r="A19173" s="198"/>
    </row>
    <row r="19174" spans="1:1" s="199" customFormat="1" ht="12" hidden="1" customHeight="1">
      <c r="A19174" s="198"/>
    </row>
    <row r="19175" spans="1:1" s="199" customFormat="1" ht="12" hidden="1" customHeight="1">
      <c r="A19175" s="198"/>
    </row>
    <row r="19176" spans="1:1" s="199" customFormat="1" ht="12" hidden="1" customHeight="1">
      <c r="A19176" s="198"/>
    </row>
    <row r="19177" spans="1:1" s="199" customFormat="1" ht="12" hidden="1" customHeight="1">
      <c r="A19177" s="198"/>
    </row>
    <row r="19178" spans="1:1" s="199" customFormat="1" ht="12" hidden="1" customHeight="1">
      <c r="A19178" s="198"/>
    </row>
    <row r="19179" spans="1:1" s="199" customFormat="1" ht="12" hidden="1" customHeight="1">
      <c r="A19179" s="198"/>
    </row>
    <row r="19180" spans="1:1" s="199" customFormat="1" ht="12" hidden="1" customHeight="1">
      <c r="A19180" s="198"/>
    </row>
    <row r="19181" spans="1:1" s="199" customFormat="1" ht="12" hidden="1" customHeight="1">
      <c r="A19181" s="198"/>
    </row>
    <row r="19182" spans="1:1" s="199" customFormat="1" ht="12" hidden="1" customHeight="1">
      <c r="A19182" s="198"/>
    </row>
    <row r="19183" spans="1:1" s="199" customFormat="1" ht="12" hidden="1" customHeight="1">
      <c r="A19183" s="198"/>
    </row>
    <row r="19184" spans="1:1" s="199" customFormat="1" ht="12" hidden="1" customHeight="1">
      <c r="A19184" s="198"/>
    </row>
    <row r="19185" spans="1:1" s="199" customFormat="1" ht="12" hidden="1" customHeight="1">
      <c r="A19185" s="198"/>
    </row>
    <row r="19186" spans="1:1" s="199" customFormat="1" ht="12" hidden="1" customHeight="1">
      <c r="A19186" s="198"/>
    </row>
    <row r="19187" spans="1:1" s="199" customFormat="1" ht="12" hidden="1" customHeight="1">
      <c r="A19187" s="198"/>
    </row>
    <row r="19188" spans="1:1" s="199" customFormat="1" ht="12" hidden="1" customHeight="1">
      <c r="A19188" s="198"/>
    </row>
    <row r="19189" spans="1:1" s="199" customFormat="1" ht="12" hidden="1" customHeight="1">
      <c r="A19189" s="198"/>
    </row>
    <row r="19190" spans="1:1" s="199" customFormat="1" ht="12" hidden="1" customHeight="1">
      <c r="A19190" s="198"/>
    </row>
    <row r="19191" spans="1:1" s="199" customFormat="1" ht="12" hidden="1" customHeight="1">
      <c r="A19191" s="198"/>
    </row>
    <row r="19192" spans="1:1" s="199" customFormat="1" ht="12" hidden="1" customHeight="1">
      <c r="A19192" s="198"/>
    </row>
    <row r="19193" spans="1:1" s="199" customFormat="1" ht="12" hidden="1" customHeight="1">
      <c r="A19193" s="198"/>
    </row>
    <row r="19194" spans="1:1" s="199" customFormat="1" ht="12" hidden="1" customHeight="1">
      <c r="A19194" s="198"/>
    </row>
    <row r="19195" spans="1:1" s="199" customFormat="1" ht="12" hidden="1" customHeight="1">
      <c r="A19195" s="198"/>
    </row>
    <row r="19196" spans="1:1" s="199" customFormat="1" ht="12" hidden="1" customHeight="1">
      <c r="A19196" s="198"/>
    </row>
    <row r="19197" spans="1:1" s="199" customFormat="1" ht="12" hidden="1" customHeight="1">
      <c r="A19197" s="198"/>
    </row>
    <row r="19198" spans="1:1" s="199" customFormat="1" ht="12" hidden="1" customHeight="1">
      <c r="A19198" s="198"/>
    </row>
    <row r="19199" spans="1:1" s="199" customFormat="1" ht="12" hidden="1" customHeight="1">
      <c r="A19199" s="198"/>
    </row>
    <row r="19200" spans="1:1" s="199" customFormat="1" ht="12" hidden="1" customHeight="1">
      <c r="A19200" s="198"/>
    </row>
    <row r="19201" spans="1:1" s="199" customFormat="1" ht="12" hidden="1" customHeight="1">
      <c r="A19201" s="198"/>
    </row>
    <row r="19202" spans="1:1" s="199" customFormat="1" ht="12" hidden="1" customHeight="1">
      <c r="A19202" s="198"/>
    </row>
    <row r="19203" spans="1:1" s="199" customFormat="1" ht="12" hidden="1" customHeight="1">
      <c r="A19203" s="198"/>
    </row>
    <row r="19204" spans="1:1" s="199" customFormat="1" ht="12" hidden="1" customHeight="1">
      <c r="A19204" s="198"/>
    </row>
    <row r="19205" spans="1:1" s="199" customFormat="1" ht="12" hidden="1" customHeight="1">
      <c r="A19205" s="198"/>
    </row>
    <row r="19206" spans="1:1" s="199" customFormat="1" ht="12" hidden="1" customHeight="1">
      <c r="A19206" s="198"/>
    </row>
    <row r="19207" spans="1:1" s="199" customFormat="1" ht="12" hidden="1" customHeight="1">
      <c r="A19207" s="198"/>
    </row>
    <row r="19208" spans="1:1" s="199" customFormat="1" ht="12" hidden="1" customHeight="1">
      <c r="A19208" s="198"/>
    </row>
    <row r="19209" spans="1:1" s="199" customFormat="1" ht="12" hidden="1" customHeight="1">
      <c r="A19209" s="198"/>
    </row>
    <row r="19210" spans="1:1" s="199" customFormat="1" ht="12" hidden="1" customHeight="1">
      <c r="A19210" s="198"/>
    </row>
    <row r="19211" spans="1:1" s="199" customFormat="1" ht="12" hidden="1" customHeight="1">
      <c r="A19211" s="198"/>
    </row>
    <row r="19212" spans="1:1" s="199" customFormat="1" ht="12" hidden="1" customHeight="1">
      <c r="A19212" s="198"/>
    </row>
    <row r="19213" spans="1:1" s="199" customFormat="1" ht="12" hidden="1" customHeight="1">
      <c r="A19213" s="198"/>
    </row>
    <row r="19214" spans="1:1" s="199" customFormat="1" ht="12" hidden="1" customHeight="1">
      <c r="A19214" s="198"/>
    </row>
    <row r="19215" spans="1:1" s="199" customFormat="1" ht="12" hidden="1" customHeight="1">
      <c r="A19215" s="198"/>
    </row>
    <row r="19216" spans="1:1" s="199" customFormat="1" ht="12" hidden="1" customHeight="1">
      <c r="A19216" s="198"/>
    </row>
    <row r="19217" spans="1:1" s="199" customFormat="1" ht="12" hidden="1" customHeight="1">
      <c r="A19217" s="198"/>
    </row>
    <row r="19218" spans="1:1" s="199" customFormat="1" ht="12" hidden="1" customHeight="1">
      <c r="A19218" s="198"/>
    </row>
    <row r="19219" spans="1:1" s="199" customFormat="1" ht="12" hidden="1" customHeight="1">
      <c r="A19219" s="198"/>
    </row>
    <row r="19220" spans="1:1" s="199" customFormat="1" ht="12" hidden="1" customHeight="1">
      <c r="A19220" s="198"/>
    </row>
    <row r="19221" spans="1:1" s="199" customFormat="1" ht="12" hidden="1" customHeight="1">
      <c r="A19221" s="198"/>
    </row>
    <row r="19222" spans="1:1" s="199" customFormat="1" ht="12" hidden="1" customHeight="1">
      <c r="A19222" s="198"/>
    </row>
    <row r="19223" spans="1:1" s="199" customFormat="1" ht="12" hidden="1" customHeight="1">
      <c r="A19223" s="198"/>
    </row>
    <row r="19224" spans="1:1" s="199" customFormat="1" ht="12" hidden="1" customHeight="1">
      <c r="A19224" s="198"/>
    </row>
    <row r="19225" spans="1:1" s="199" customFormat="1" ht="12" hidden="1" customHeight="1">
      <c r="A19225" s="198"/>
    </row>
    <row r="19226" spans="1:1" s="199" customFormat="1" ht="12" hidden="1" customHeight="1">
      <c r="A19226" s="198"/>
    </row>
    <row r="19227" spans="1:1" s="199" customFormat="1" ht="12" hidden="1" customHeight="1">
      <c r="A19227" s="198"/>
    </row>
    <row r="19228" spans="1:1" s="199" customFormat="1" ht="12" hidden="1" customHeight="1">
      <c r="A19228" s="198"/>
    </row>
    <row r="19229" spans="1:1" s="199" customFormat="1" ht="12" hidden="1" customHeight="1">
      <c r="A19229" s="198"/>
    </row>
    <row r="19230" spans="1:1" s="199" customFormat="1" ht="12" hidden="1" customHeight="1">
      <c r="A19230" s="198"/>
    </row>
    <row r="19231" spans="1:1" s="199" customFormat="1" ht="12" hidden="1" customHeight="1">
      <c r="A19231" s="198"/>
    </row>
    <row r="19232" spans="1:1" s="199" customFormat="1" ht="12" hidden="1" customHeight="1">
      <c r="A19232" s="198"/>
    </row>
    <row r="19233" spans="1:1" s="199" customFormat="1" ht="12" hidden="1" customHeight="1">
      <c r="A19233" s="198"/>
    </row>
    <row r="19234" spans="1:1" s="199" customFormat="1" ht="12" hidden="1" customHeight="1">
      <c r="A19234" s="198"/>
    </row>
    <row r="19235" spans="1:1" s="199" customFormat="1" ht="12" hidden="1" customHeight="1">
      <c r="A19235" s="198"/>
    </row>
    <row r="19236" spans="1:1" s="199" customFormat="1" ht="12" hidden="1" customHeight="1">
      <c r="A19236" s="198"/>
    </row>
    <row r="19237" spans="1:1" s="199" customFormat="1" ht="12" hidden="1" customHeight="1">
      <c r="A19237" s="198"/>
    </row>
    <row r="19238" spans="1:1" s="199" customFormat="1" ht="12" hidden="1" customHeight="1">
      <c r="A19238" s="198"/>
    </row>
    <row r="19239" spans="1:1" s="199" customFormat="1" ht="12" hidden="1" customHeight="1">
      <c r="A19239" s="198"/>
    </row>
    <row r="19240" spans="1:1" s="199" customFormat="1" ht="12" hidden="1" customHeight="1">
      <c r="A19240" s="198"/>
    </row>
    <row r="19241" spans="1:1" s="199" customFormat="1" ht="12" hidden="1" customHeight="1">
      <c r="A19241" s="198"/>
    </row>
    <row r="19242" spans="1:1" s="199" customFormat="1" ht="12" hidden="1" customHeight="1">
      <c r="A19242" s="198"/>
    </row>
    <row r="19243" spans="1:1" s="199" customFormat="1" ht="12" hidden="1" customHeight="1">
      <c r="A19243" s="198"/>
    </row>
    <row r="19244" spans="1:1" s="199" customFormat="1" ht="12" hidden="1" customHeight="1">
      <c r="A19244" s="198"/>
    </row>
    <row r="19245" spans="1:1" s="199" customFormat="1" ht="12" hidden="1" customHeight="1">
      <c r="A19245" s="198"/>
    </row>
    <row r="19246" spans="1:1" s="199" customFormat="1" ht="12" hidden="1" customHeight="1">
      <c r="A19246" s="198"/>
    </row>
    <row r="19247" spans="1:1" s="199" customFormat="1" ht="12" hidden="1" customHeight="1">
      <c r="A19247" s="198"/>
    </row>
    <row r="19248" spans="1:1" s="199" customFormat="1" ht="12" hidden="1" customHeight="1">
      <c r="A19248" s="198"/>
    </row>
    <row r="19249" spans="1:1" s="199" customFormat="1" ht="12" hidden="1" customHeight="1">
      <c r="A19249" s="198"/>
    </row>
    <row r="19250" spans="1:1" s="199" customFormat="1" ht="12" hidden="1" customHeight="1">
      <c r="A19250" s="198"/>
    </row>
    <row r="19251" spans="1:1" s="199" customFormat="1" ht="12" hidden="1" customHeight="1">
      <c r="A19251" s="198"/>
    </row>
    <row r="19252" spans="1:1" s="199" customFormat="1" ht="12" hidden="1" customHeight="1">
      <c r="A19252" s="198"/>
    </row>
    <row r="19253" spans="1:1" s="199" customFormat="1" ht="12" hidden="1" customHeight="1">
      <c r="A19253" s="198"/>
    </row>
    <row r="19254" spans="1:1" s="199" customFormat="1" ht="12" hidden="1" customHeight="1">
      <c r="A19254" s="198"/>
    </row>
    <row r="19255" spans="1:1" s="199" customFormat="1" ht="12" hidden="1" customHeight="1">
      <c r="A19255" s="198"/>
    </row>
    <row r="19256" spans="1:1" s="199" customFormat="1" ht="12" hidden="1" customHeight="1">
      <c r="A19256" s="198"/>
    </row>
    <row r="19257" spans="1:1" s="199" customFormat="1" ht="12" hidden="1" customHeight="1">
      <c r="A19257" s="198"/>
    </row>
    <row r="19258" spans="1:1" s="199" customFormat="1" ht="12" hidden="1" customHeight="1">
      <c r="A19258" s="198"/>
    </row>
    <row r="19259" spans="1:1" s="199" customFormat="1" ht="12" hidden="1" customHeight="1">
      <c r="A19259" s="198"/>
    </row>
    <row r="19260" spans="1:1" s="199" customFormat="1" ht="12" hidden="1" customHeight="1">
      <c r="A19260" s="198"/>
    </row>
    <row r="19261" spans="1:1" s="199" customFormat="1" ht="12" hidden="1" customHeight="1">
      <c r="A19261" s="198"/>
    </row>
    <row r="19262" spans="1:1" s="199" customFormat="1" ht="12" hidden="1" customHeight="1">
      <c r="A19262" s="198"/>
    </row>
    <row r="19263" spans="1:1" s="199" customFormat="1" ht="12" hidden="1" customHeight="1">
      <c r="A19263" s="198"/>
    </row>
    <row r="19264" spans="1:1" s="199" customFormat="1" ht="12" hidden="1" customHeight="1">
      <c r="A19264" s="198"/>
    </row>
    <row r="19265" spans="1:1" s="199" customFormat="1" ht="12" hidden="1" customHeight="1">
      <c r="A19265" s="198"/>
    </row>
    <row r="19266" spans="1:1" s="199" customFormat="1" ht="12" hidden="1" customHeight="1">
      <c r="A19266" s="198"/>
    </row>
    <row r="19267" spans="1:1" s="199" customFormat="1" ht="12" hidden="1" customHeight="1">
      <c r="A19267" s="198"/>
    </row>
    <row r="19268" spans="1:1" s="199" customFormat="1" ht="12" hidden="1" customHeight="1">
      <c r="A19268" s="198"/>
    </row>
    <row r="19269" spans="1:1" s="199" customFormat="1" ht="12" hidden="1" customHeight="1">
      <c r="A19269" s="198"/>
    </row>
    <row r="19270" spans="1:1" s="199" customFormat="1" ht="12" hidden="1" customHeight="1">
      <c r="A19270" s="198"/>
    </row>
    <row r="19271" spans="1:1" s="199" customFormat="1" ht="12" hidden="1" customHeight="1">
      <c r="A19271" s="198"/>
    </row>
    <row r="19272" spans="1:1" s="199" customFormat="1" ht="12" hidden="1" customHeight="1">
      <c r="A19272" s="198"/>
    </row>
    <row r="19273" spans="1:1" s="199" customFormat="1" ht="12" hidden="1" customHeight="1">
      <c r="A19273" s="198"/>
    </row>
    <row r="19274" spans="1:1" s="199" customFormat="1" ht="12" hidden="1" customHeight="1">
      <c r="A19274" s="198"/>
    </row>
    <row r="19275" spans="1:1" s="199" customFormat="1" ht="12" hidden="1" customHeight="1">
      <c r="A19275" s="198"/>
    </row>
    <row r="19276" spans="1:1" s="199" customFormat="1" ht="12" hidden="1" customHeight="1">
      <c r="A19276" s="198"/>
    </row>
    <row r="19277" spans="1:1" s="199" customFormat="1" ht="12" hidden="1" customHeight="1">
      <c r="A19277" s="198"/>
    </row>
    <row r="19278" spans="1:1" s="199" customFormat="1" ht="12" hidden="1" customHeight="1">
      <c r="A19278" s="198"/>
    </row>
    <row r="19279" spans="1:1" s="199" customFormat="1" ht="12" hidden="1" customHeight="1">
      <c r="A19279" s="198"/>
    </row>
    <row r="19280" spans="1:1" s="199" customFormat="1" ht="12" hidden="1" customHeight="1">
      <c r="A19280" s="198"/>
    </row>
    <row r="19281" spans="1:1" s="199" customFormat="1" ht="12" hidden="1" customHeight="1">
      <c r="A19281" s="198"/>
    </row>
    <row r="19282" spans="1:1" s="199" customFormat="1" ht="12" hidden="1" customHeight="1">
      <c r="A19282" s="198"/>
    </row>
    <row r="19283" spans="1:1" s="199" customFormat="1" ht="12" hidden="1" customHeight="1">
      <c r="A19283" s="198"/>
    </row>
    <row r="19284" spans="1:1" s="199" customFormat="1" ht="12" hidden="1" customHeight="1">
      <c r="A19284" s="198"/>
    </row>
    <row r="19285" spans="1:1" s="199" customFormat="1" ht="12" hidden="1" customHeight="1">
      <c r="A19285" s="198"/>
    </row>
    <row r="19286" spans="1:1" s="199" customFormat="1" ht="12" hidden="1" customHeight="1">
      <c r="A19286" s="198"/>
    </row>
    <row r="19287" spans="1:1" s="199" customFormat="1" ht="12" hidden="1" customHeight="1">
      <c r="A19287" s="198"/>
    </row>
    <row r="19288" spans="1:1" s="199" customFormat="1" ht="12" hidden="1" customHeight="1">
      <c r="A19288" s="198"/>
    </row>
    <row r="19289" spans="1:1" s="199" customFormat="1" ht="12" hidden="1" customHeight="1">
      <c r="A19289" s="198"/>
    </row>
    <row r="19290" spans="1:1" s="199" customFormat="1" ht="12" hidden="1" customHeight="1">
      <c r="A19290" s="198"/>
    </row>
    <row r="19291" spans="1:1" s="199" customFormat="1" ht="12" hidden="1" customHeight="1">
      <c r="A19291" s="198"/>
    </row>
    <row r="19292" spans="1:1" s="199" customFormat="1" ht="12" hidden="1" customHeight="1">
      <c r="A19292" s="198"/>
    </row>
    <row r="19293" spans="1:1" s="199" customFormat="1" ht="12" hidden="1" customHeight="1">
      <c r="A19293" s="198"/>
    </row>
    <row r="19294" spans="1:1" s="199" customFormat="1" ht="12" hidden="1" customHeight="1">
      <c r="A19294" s="198"/>
    </row>
    <row r="19295" spans="1:1" s="199" customFormat="1" ht="12" hidden="1" customHeight="1">
      <c r="A19295" s="198"/>
    </row>
    <row r="19296" spans="1:1" s="199" customFormat="1" ht="12" hidden="1" customHeight="1">
      <c r="A19296" s="198"/>
    </row>
    <row r="19297" spans="1:1" s="199" customFormat="1" ht="12" hidden="1" customHeight="1">
      <c r="A19297" s="198"/>
    </row>
    <row r="19298" spans="1:1" s="199" customFormat="1" ht="12" hidden="1" customHeight="1">
      <c r="A19298" s="198"/>
    </row>
    <row r="19299" spans="1:1" s="199" customFormat="1" ht="12" hidden="1" customHeight="1">
      <c r="A19299" s="198"/>
    </row>
    <row r="19300" spans="1:1" s="199" customFormat="1" ht="12" hidden="1" customHeight="1">
      <c r="A19300" s="198"/>
    </row>
    <row r="19301" spans="1:1" s="199" customFormat="1" ht="12" hidden="1" customHeight="1">
      <c r="A19301" s="198"/>
    </row>
    <row r="19302" spans="1:1" s="199" customFormat="1" ht="12" hidden="1" customHeight="1">
      <c r="A19302" s="198"/>
    </row>
    <row r="19303" spans="1:1" s="199" customFormat="1" ht="12" hidden="1" customHeight="1">
      <c r="A19303" s="198"/>
    </row>
    <row r="19304" spans="1:1" s="199" customFormat="1" ht="12" hidden="1" customHeight="1">
      <c r="A19304" s="198"/>
    </row>
    <row r="19305" spans="1:1" s="199" customFormat="1" ht="12" hidden="1" customHeight="1">
      <c r="A19305" s="198"/>
    </row>
    <row r="19306" spans="1:1" s="199" customFormat="1" ht="12" hidden="1" customHeight="1">
      <c r="A19306" s="198"/>
    </row>
    <row r="19307" spans="1:1" s="199" customFormat="1" ht="12" hidden="1" customHeight="1">
      <c r="A19307" s="198"/>
    </row>
    <row r="19308" spans="1:1" s="199" customFormat="1" ht="12" hidden="1" customHeight="1">
      <c r="A19308" s="198"/>
    </row>
    <row r="19309" spans="1:1" s="199" customFormat="1" ht="12" hidden="1" customHeight="1">
      <c r="A19309" s="198"/>
    </row>
    <row r="19310" spans="1:1" s="199" customFormat="1" ht="12" hidden="1" customHeight="1">
      <c r="A19310" s="198"/>
    </row>
    <row r="19311" spans="1:1" s="199" customFormat="1" ht="12" hidden="1" customHeight="1">
      <c r="A19311" s="198"/>
    </row>
    <row r="19312" spans="1:1" s="199" customFormat="1" ht="12" hidden="1" customHeight="1">
      <c r="A19312" s="198"/>
    </row>
    <row r="19313" spans="1:1" s="199" customFormat="1" ht="12" hidden="1" customHeight="1">
      <c r="A19313" s="198"/>
    </row>
    <row r="19314" spans="1:1" s="199" customFormat="1" ht="12" hidden="1" customHeight="1">
      <c r="A19314" s="198"/>
    </row>
    <row r="19315" spans="1:1" s="199" customFormat="1" ht="12" hidden="1" customHeight="1">
      <c r="A19315" s="198"/>
    </row>
    <row r="19316" spans="1:1" s="199" customFormat="1" ht="12" hidden="1" customHeight="1">
      <c r="A19316" s="198"/>
    </row>
    <row r="19317" spans="1:1" s="199" customFormat="1" ht="12" hidden="1" customHeight="1">
      <c r="A19317" s="198"/>
    </row>
    <row r="19318" spans="1:1" s="199" customFormat="1" ht="12" hidden="1" customHeight="1">
      <c r="A19318" s="198"/>
    </row>
    <row r="19319" spans="1:1" s="199" customFormat="1" ht="12" hidden="1" customHeight="1">
      <c r="A19319" s="198"/>
    </row>
    <row r="19320" spans="1:1" s="199" customFormat="1" ht="12" hidden="1" customHeight="1">
      <c r="A19320" s="198"/>
    </row>
    <row r="19321" spans="1:1" s="199" customFormat="1" ht="12" hidden="1" customHeight="1">
      <c r="A19321" s="198"/>
    </row>
    <row r="19322" spans="1:1" s="199" customFormat="1" ht="12" hidden="1" customHeight="1">
      <c r="A19322" s="198"/>
    </row>
    <row r="19323" spans="1:1" s="199" customFormat="1" ht="12" hidden="1" customHeight="1">
      <c r="A19323" s="198"/>
    </row>
    <row r="19324" spans="1:1" s="199" customFormat="1" ht="12" hidden="1" customHeight="1">
      <c r="A19324" s="198"/>
    </row>
    <row r="19325" spans="1:1" s="199" customFormat="1" ht="12" hidden="1" customHeight="1">
      <c r="A19325" s="198"/>
    </row>
    <row r="19326" spans="1:1" s="199" customFormat="1" ht="12" hidden="1" customHeight="1">
      <c r="A19326" s="198"/>
    </row>
    <row r="19327" spans="1:1" s="199" customFormat="1" ht="12" hidden="1" customHeight="1">
      <c r="A19327" s="198"/>
    </row>
    <row r="19328" spans="1:1" s="199" customFormat="1" ht="12" hidden="1" customHeight="1">
      <c r="A19328" s="198"/>
    </row>
    <row r="19329" spans="1:1" s="199" customFormat="1" ht="12" hidden="1" customHeight="1">
      <c r="A19329" s="198"/>
    </row>
    <row r="19330" spans="1:1" s="199" customFormat="1" ht="12" hidden="1" customHeight="1">
      <c r="A19330" s="198"/>
    </row>
    <row r="19331" spans="1:1" s="199" customFormat="1" ht="12" hidden="1" customHeight="1">
      <c r="A19331" s="198"/>
    </row>
    <row r="19332" spans="1:1" s="199" customFormat="1" ht="12" hidden="1" customHeight="1">
      <c r="A19332" s="198"/>
    </row>
    <row r="19333" spans="1:1" s="199" customFormat="1" ht="12" hidden="1" customHeight="1">
      <c r="A19333" s="198"/>
    </row>
    <row r="19334" spans="1:1" s="199" customFormat="1" ht="12" hidden="1" customHeight="1">
      <c r="A19334" s="198"/>
    </row>
    <row r="19335" spans="1:1" s="199" customFormat="1" ht="12" hidden="1" customHeight="1">
      <c r="A19335" s="198"/>
    </row>
    <row r="19336" spans="1:1" s="199" customFormat="1" ht="12" hidden="1" customHeight="1">
      <c r="A19336" s="198"/>
    </row>
    <row r="19337" spans="1:1" s="199" customFormat="1" ht="12" hidden="1" customHeight="1">
      <c r="A19337" s="198"/>
    </row>
    <row r="19338" spans="1:1" s="199" customFormat="1" ht="12" hidden="1" customHeight="1">
      <c r="A19338" s="198"/>
    </row>
    <row r="19339" spans="1:1" s="199" customFormat="1" ht="12" hidden="1" customHeight="1">
      <c r="A19339" s="198"/>
    </row>
    <row r="19340" spans="1:1" s="199" customFormat="1" ht="12" hidden="1" customHeight="1">
      <c r="A19340" s="198"/>
    </row>
    <row r="19341" spans="1:1" s="199" customFormat="1" ht="12" hidden="1" customHeight="1">
      <c r="A19341" s="198"/>
    </row>
    <row r="19342" spans="1:1" s="199" customFormat="1" ht="12" hidden="1" customHeight="1">
      <c r="A19342" s="198"/>
    </row>
    <row r="19343" spans="1:1" s="199" customFormat="1" ht="12" hidden="1" customHeight="1">
      <c r="A19343" s="198"/>
    </row>
    <row r="19344" spans="1:1" s="199" customFormat="1" ht="12" hidden="1" customHeight="1">
      <c r="A19344" s="198"/>
    </row>
    <row r="19345" spans="1:1" s="199" customFormat="1" ht="12" hidden="1" customHeight="1">
      <c r="A19345" s="198"/>
    </row>
    <row r="19346" spans="1:1" s="199" customFormat="1" ht="12" hidden="1" customHeight="1">
      <c r="A19346" s="198"/>
    </row>
    <row r="19347" spans="1:1" s="199" customFormat="1" ht="12" hidden="1" customHeight="1">
      <c r="A19347" s="198"/>
    </row>
    <row r="19348" spans="1:1" s="199" customFormat="1" ht="12" hidden="1" customHeight="1">
      <c r="A19348" s="198"/>
    </row>
    <row r="19349" spans="1:1" s="199" customFormat="1" ht="12" hidden="1" customHeight="1">
      <c r="A19349" s="198"/>
    </row>
    <row r="19350" spans="1:1" s="199" customFormat="1" ht="12" hidden="1" customHeight="1">
      <c r="A19350" s="198"/>
    </row>
    <row r="19351" spans="1:1" s="199" customFormat="1" ht="12" hidden="1" customHeight="1">
      <c r="A19351" s="198"/>
    </row>
    <row r="19352" spans="1:1" s="199" customFormat="1" ht="12" hidden="1" customHeight="1">
      <c r="A19352" s="198"/>
    </row>
    <row r="19353" spans="1:1" s="199" customFormat="1" ht="12" hidden="1" customHeight="1">
      <c r="A19353" s="198"/>
    </row>
    <row r="19354" spans="1:1" s="199" customFormat="1" ht="12" hidden="1" customHeight="1">
      <c r="A19354" s="198"/>
    </row>
    <row r="19355" spans="1:1" s="199" customFormat="1" ht="12" hidden="1" customHeight="1">
      <c r="A19355" s="198"/>
    </row>
    <row r="19356" spans="1:1" s="199" customFormat="1" ht="12" hidden="1" customHeight="1">
      <c r="A19356" s="198"/>
    </row>
    <row r="19357" spans="1:1" s="199" customFormat="1" ht="12" hidden="1" customHeight="1">
      <c r="A19357" s="198"/>
    </row>
    <row r="19358" spans="1:1" s="199" customFormat="1" ht="12" hidden="1" customHeight="1">
      <c r="A19358" s="198"/>
    </row>
    <row r="19359" spans="1:1" s="199" customFormat="1" ht="12" hidden="1" customHeight="1">
      <c r="A19359" s="198"/>
    </row>
    <row r="19360" spans="1:1" s="199" customFormat="1" ht="12" hidden="1" customHeight="1">
      <c r="A19360" s="198"/>
    </row>
    <row r="19361" spans="1:1" s="199" customFormat="1" ht="12" hidden="1" customHeight="1">
      <c r="A19361" s="198"/>
    </row>
    <row r="19362" spans="1:1" s="199" customFormat="1" ht="12" hidden="1" customHeight="1">
      <c r="A19362" s="198"/>
    </row>
    <row r="19363" spans="1:1" s="199" customFormat="1" ht="12" hidden="1" customHeight="1">
      <c r="A19363" s="198"/>
    </row>
    <row r="19364" spans="1:1" s="199" customFormat="1" ht="12" hidden="1" customHeight="1">
      <c r="A19364" s="198"/>
    </row>
    <row r="19365" spans="1:1" s="199" customFormat="1" ht="12" hidden="1" customHeight="1">
      <c r="A19365" s="198"/>
    </row>
    <row r="19366" spans="1:1" s="199" customFormat="1" ht="12" hidden="1" customHeight="1">
      <c r="A19366" s="198"/>
    </row>
    <row r="19367" spans="1:1" s="199" customFormat="1" ht="12" hidden="1" customHeight="1">
      <c r="A19367" s="198"/>
    </row>
    <row r="19368" spans="1:1" s="199" customFormat="1" ht="12" hidden="1" customHeight="1">
      <c r="A19368" s="198"/>
    </row>
    <row r="19369" spans="1:1" s="199" customFormat="1" ht="12" hidden="1" customHeight="1">
      <c r="A19369" s="198"/>
    </row>
    <row r="19370" spans="1:1" s="199" customFormat="1" ht="12" hidden="1" customHeight="1">
      <c r="A19370" s="198"/>
    </row>
    <row r="19371" spans="1:1" s="199" customFormat="1" ht="12" hidden="1" customHeight="1">
      <c r="A19371" s="198"/>
    </row>
    <row r="19372" spans="1:1" s="199" customFormat="1" ht="12" hidden="1" customHeight="1">
      <c r="A19372" s="198"/>
    </row>
    <row r="19373" spans="1:1" s="199" customFormat="1" ht="12" hidden="1" customHeight="1">
      <c r="A19373" s="198"/>
    </row>
    <row r="19374" spans="1:1" s="199" customFormat="1" ht="12" hidden="1" customHeight="1">
      <c r="A19374" s="198"/>
    </row>
    <row r="19375" spans="1:1" s="199" customFormat="1" ht="12" hidden="1" customHeight="1">
      <c r="A19375" s="198"/>
    </row>
    <row r="19376" spans="1:1" s="199" customFormat="1" ht="12" hidden="1" customHeight="1">
      <c r="A19376" s="198"/>
    </row>
    <row r="19377" spans="1:1" s="199" customFormat="1" ht="12" hidden="1" customHeight="1">
      <c r="A19377" s="198"/>
    </row>
    <row r="19378" spans="1:1" s="199" customFormat="1" ht="12" hidden="1" customHeight="1">
      <c r="A19378" s="198"/>
    </row>
    <row r="19379" spans="1:1" s="199" customFormat="1" ht="12" hidden="1" customHeight="1">
      <c r="A19379" s="198"/>
    </row>
    <row r="19380" spans="1:1" s="199" customFormat="1" ht="12" hidden="1" customHeight="1">
      <c r="A19380" s="198"/>
    </row>
    <row r="19381" spans="1:1" s="199" customFormat="1" ht="12" hidden="1" customHeight="1">
      <c r="A19381" s="198"/>
    </row>
    <row r="19382" spans="1:1" s="199" customFormat="1" ht="12" hidden="1" customHeight="1">
      <c r="A19382" s="198"/>
    </row>
    <row r="19383" spans="1:1" s="199" customFormat="1" ht="12" hidden="1" customHeight="1">
      <c r="A19383" s="198"/>
    </row>
    <row r="19384" spans="1:1" s="199" customFormat="1" ht="12" hidden="1" customHeight="1">
      <c r="A19384" s="198"/>
    </row>
    <row r="19385" spans="1:1" s="199" customFormat="1" ht="12" hidden="1" customHeight="1">
      <c r="A19385" s="198"/>
    </row>
    <row r="19386" spans="1:1" s="199" customFormat="1" ht="12" hidden="1" customHeight="1">
      <c r="A19386" s="198"/>
    </row>
    <row r="19387" spans="1:1" s="199" customFormat="1" ht="12" hidden="1" customHeight="1">
      <c r="A19387" s="198"/>
    </row>
    <row r="19388" spans="1:1" s="199" customFormat="1" ht="12" hidden="1" customHeight="1">
      <c r="A19388" s="198"/>
    </row>
    <row r="19389" spans="1:1" s="199" customFormat="1" ht="12" hidden="1" customHeight="1">
      <c r="A19389" s="198"/>
    </row>
    <row r="19390" spans="1:1" s="199" customFormat="1" ht="12" hidden="1" customHeight="1">
      <c r="A19390" s="198"/>
    </row>
    <row r="19391" spans="1:1" s="199" customFormat="1" ht="12" hidden="1" customHeight="1">
      <c r="A19391" s="198"/>
    </row>
    <row r="19392" spans="1:1" s="199" customFormat="1" ht="12" hidden="1" customHeight="1">
      <c r="A19392" s="198"/>
    </row>
    <row r="19393" spans="1:1" s="199" customFormat="1" ht="12" hidden="1" customHeight="1">
      <c r="A19393" s="198"/>
    </row>
    <row r="19394" spans="1:1" s="199" customFormat="1" ht="12" hidden="1" customHeight="1">
      <c r="A19394" s="198"/>
    </row>
    <row r="19395" spans="1:1" s="199" customFormat="1" ht="12" hidden="1" customHeight="1">
      <c r="A19395" s="198"/>
    </row>
    <row r="19396" spans="1:1" s="199" customFormat="1" ht="12" hidden="1" customHeight="1">
      <c r="A19396" s="198"/>
    </row>
    <row r="19397" spans="1:1" s="199" customFormat="1" ht="12" hidden="1" customHeight="1">
      <c r="A19397" s="198"/>
    </row>
    <row r="19398" spans="1:1" s="199" customFormat="1" ht="12" hidden="1" customHeight="1">
      <c r="A19398" s="198"/>
    </row>
    <row r="19399" spans="1:1" s="199" customFormat="1" ht="12" hidden="1" customHeight="1">
      <c r="A19399" s="198"/>
    </row>
    <row r="19400" spans="1:1" s="199" customFormat="1" ht="12" hidden="1" customHeight="1">
      <c r="A19400" s="198"/>
    </row>
    <row r="19401" spans="1:1" s="199" customFormat="1" ht="12" hidden="1" customHeight="1">
      <c r="A19401" s="198"/>
    </row>
    <row r="19402" spans="1:1" s="199" customFormat="1" ht="12" hidden="1" customHeight="1">
      <c r="A19402" s="198"/>
    </row>
    <row r="19403" spans="1:1" s="199" customFormat="1" ht="12" hidden="1" customHeight="1">
      <c r="A19403" s="198"/>
    </row>
    <row r="19404" spans="1:1" s="199" customFormat="1" ht="12" hidden="1" customHeight="1">
      <c r="A19404" s="198"/>
    </row>
    <row r="19405" spans="1:1" s="199" customFormat="1" ht="12" hidden="1" customHeight="1">
      <c r="A19405" s="198"/>
    </row>
    <row r="19406" spans="1:1" s="199" customFormat="1" ht="12" hidden="1" customHeight="1">
      <c r="A19406" s="198"/>
    </row>
    <row r="19407" spans="1:1" s="199" customFormat="1" ht="12" hidden="1" customHeight="1">
      <c r="A19407" s="198"/>
    </row>
    <row r="19408" spans="1:1" s="199" customFormat="1" ht="12" hidden="1" customHeight="1">
      <c r="A19408" s="198"/>
    </row>
    <row r="19409" spans="1:1" s="199" customFormat="1" ht="12" hidden="1" customHeight="1">
      <c r="A19409" s="198"/>
    </row>
    <row r="19410" spans="1:1" s="199" customFormat="1" ht="12" hidden="1" customHeight="1">
      <c r="A19410" s="198"/>
    </row>
    <row r="19411" spans="1:1" s="199" customFormat="1" ht="12" hidden="1" customHeight="1">
      <c r="A19411" s="198"/>
    </row>
    <row r="19412" spans="1:1" s="199" customFormat="1" ht="12" hidden="1" customHeight="1">
      <c r="A19412" s="198"/>
    </row>
    <row r="19413" spans="1:1" s="199" customFormat="1" ht="12" hidden="1" customHeight="1">
      <c r="A19413" s="198"/>
    </row>
    <row r="19414" spans="1:1" s="199" customFormat="1" ht="12" hidden="1" customHeight="1">
      <c r="A19414" s="198"/>
    </row>
    <row r="19415" spans="1:1" s="199" customFormat="1" ht="12" hidden="1" customHeight="1">
      <c r="A19415" s="198"/>
    </row>
    <row r="19416" spans="1:1" s="199" customFormat="1" ht="12" hidden="1" customHeight="1">
      <c r="A19416" s="198"/>
    </row>
    <row r="19417" spans="1:1" s="199" customFormat="1" ht="12" hidden="1" customHeight="1">
      <c r="A19417" s="198"/>
    </row>
    <row r="19418" spans="1:1" s="199" customFormat="1" ht="12" hidden="1" customHeight="1">
      <c r="A19418" s="198"/>
    </row>
    <row r="19419" spans="1:1" s="199" customFormat="1" ht="12" hidden="1" customHeight="1">
      <c r="A19419" s="198"/>
    </row>
    <row r="19420" spans="1:1" s="199" customFormat="1" ht="12" hidden="1" customHeight="1">
      <c r="A19420" s="198"/>
    </row>
    <row r="19421" spans="1:1" s="199" customFormat="1" ht="12" hidden="1" customHeight="1">
      <c r="A19421" s="198"/>
    </row>
    <row r="19422" spans="1:1" s="199" customFormat="1" ht="12" hidden="1" customHeight="1">
      <c r="A19422" s="198"/>
    </row>
    <row r="19423" spans="1:1" s="199" customFormat="1" ht="12" hidden="1" customHeight="1">
      <c r="A19423" s="198"/>
    </row>
    <row r="19424" spans="1:1" s="199" customFormat="1" ht="12" hidden="1" customHeight="1">
      <c r="A19424" s="198"/>
    </row>
    <row r="19425" spans="1:1" s="199" customFormat="1" ht="12" hidden="1" customHeight="1">
      <c r="A19425" s="198"/>
    </row>
    <row r="19426" spans="1:1" s="199" customFormat="1" ht="12" hidden="1" customHeight="1">
      <c r="A19426" s="198"/>
    </row>
    <row r="19427" spans="1:1" s="199" customFormat="1" ht="12" hidden="1" customHeight="1">
      <c r="A19427" s="198"/>
    </row>
    <row r="19428" spans="1:1" s="199" customFormat="1" ht="12" hidden="1" customHeight="1">
      <c r="A19428" s="198"/>
    </row>
    <row r="19429" spans="1:1" s="199" customFormat="1" ht="12" hidden="1" customHeight="1">
      <c r="A19429" s="198"/>
    </row>
    <row r="19430" spans="1:1" s="199" customFormat="1" ht="12" hidden="1" customHeight="1">
      <c r="A19430" s="198"/>
    </row>
    <row r="19431" spans="1:1" s="199" customFormat="1" ht="12" hidden="1" customHeight="1">
      <c r="A19431" s="198"/>
    </row>
    <row r="19432" spans="1:1" s="199" customFormat="1" ht="12" hidden="1" customHeight="1">
      <c r="A19432" s="198"/>
    </row>
    <row r="19433" spans="1:1" s="199" customFormat="1" ht="12" hidden="1" customHeight="1">
      <c r="A19433" s="198"/>
    </row>
    <row r="19434" spans="1:1" s="199" customFormat="1" ht="12" hidden="1" customHeight="1">
      <c r="A19434" s="198"/>
    </row>
    <row r="19435" spans="1:1" s="199" customFormat="1" ht="12" hidden="1" customHeight="1">
      <c r="A19435" s="198"/>
    </row>
    <row r="19436" spans="1:1" s="199" customFormat="1" ht="12" hidden="1" customHeight="1">
      <c r="A19436" s="198"/>
    </row>
    <row r="19437" spans="1:1" s="199" customFormat="1" ht="12" hidden="1" customHeight="1">
      <c r="A19437" s="198"/>
    </row>
    <row r="19438" spans="1:1" s="199" customFormat="1" ht="12" hidden="1" customHeight="1">
      <c r="A19438" s="198"/>
    </row>
    <row r="19439" spans="1:1" s="199" customFormat="1" ht="12" hidden="1" customHeight="1">
      <c r="A19439" s="198"/>
    </row>
    <row r="19440" spans="1:1" s="199" customFormat="1" ht="12" hidden="1" customHeight="1">
      <c r="A19440" s="198"/>
    </row>
    <row r="19441" spans="1:1" s="199" customFormat="1" ht="12" hidden="1" customHeight="1">
      <c r="A19441" s="198"/>
    </row>
    <row r="19442" spans="1:1" s="199" customFormat="1" ht="12" hidden="1" customHeight="1">
      <c r="A19442" s="198"/>
    </row>
    <row r="19443" spans="1:1" s="199" customFormat="1" ht="12" hidden="1" customHeight="1">
      <c r="A19443" s="198"/>
    </row>
    <row r="19444" spans="1:1" s="199" customFormat="1" ht="12" hidden="1" customHeight="1">
      <c r="A19444" s="198"/>
    </row>
    <row r="19445" spans="1:1" s="199" customFormat="1" ht="12" hidden="1" customHeight="1">
      <c r="A19445" s="198"/>
    </row>
    <row r="19446" spans="1:1" s="199" customFormat="1" ht="12" hidden="1" customHeight="1">
      <c r="A19446" s="198"/>
    </row>
    <row r="19447" spans="1:1" s="199" customFormat="1" ht="12" hidden="1" customHeight="1">
      <c r="A19447" s="198"/>
    </row>
    <row r="19448" spans="1:1" s="199" customFormat="1" ht="12" hidden="1" customHeight="1">
      <c r="A19448" s="198"/>
    </row>
    <row r="19449" spans="1:1" s="199" customFormat="1" ht="12" hidden="1" customHeight="1">
      <c r="A19449" s="198"/>
    </row>
    <row r="19450" spans="1:1" s="199" customFormat="1" ht="12" hidden="1" customHeight="1">
      <c r="A19450" s="198"/>
    </row>
    <row r="19451" spans="1:1" s="199" customFormat="1" ht="12" hidden="1" customHeight="1">
      <c r="A19451" s="198"/>
    </row>
    <row r="19452" spans="1:1" s="199" customFormat="1" ht="12" hidden="1" customHeight="1">
      <c r="A19452" s="198"/>
    </row>
    <row r="19453" spans="1:1" s="199" customFormat="1" ht="12" hidden="1" customHeight="1">
      <c r="A19453" s="198"/>
    </row>
    <row r="19454" spans="1:1" s="199" customFormat="1" ht="12" hidden="1" customHeight="1">
      <c r="A19454" s="198"/>
    </row>
    <row r="19455" spans="1:1" s="199" customFormat="1" ht="12" hidden="1" customHeight="1">
      <c r="A19455" s="198"/>
    </row>
    <row r="19456" spans="1:1" s="199" customFormat="1" ht="12" hidden="1" customHeight="1">
      <c r="A19456" s="198"/>
    </row>
    <row r="19457" spans="1:1" s="199" customFormat="1" ht="12" hidden="1" customHeight="1">
      <c r="A19457" s="198"/>
    </row>
    <row r="19458" spans="1:1" s="199" customFormat="1" ht="12" hidden="1" customHeight="1">
      <c r="A19458" s="198"/>
    </row>
    <row r="19459" spans="1:1" s="199" customFormat="1" ht="12" hidden="1" customHeight="1">
      <c r="A19459" s="198"/>
    </row>
    <row r="19460" spans="1:1" s="199" customFormat="1" ht="12" hidden="1" customHeight="1">
      <c r="A19460" s="198"/>
    </row>
    <row r="19461" spans="1:1" s="199" customFormat="1" ht="12" hidden="1" customHeight="1">
      <c r="A19461" s="198"/>
    </row>
    <row r="19462" spans="1:1" s="199" customFormat="1" ht="12" hidden="1" customHeight="1">
      <c r="A19462" s="198"/>
    </row>
    <row r="19463" spans="1:1" s="199" customFormat="1" ht="12" hidden="1" customHeight="1">
      <c r="A19463" s="198"/>
    </row>
    <row r="19464" spans="1:1" s="199" customFormat="1" ht="12" hidden="1" customHeight="1">
      <c r="A19464" s="198"/>
    </row>
    <row r="19465" spans="1:1" s="199" customFormat="1" ht="12" hidden="1" customHeight="1">
      <c r="A19465" s="198"/>
    </row>
    <row r="19466" spans="1:1" s="199" customFormat="1" ht="12" hidden="1" customHeight="1">
      <c r="A19466" s="198"/>
    </row>
    <row r="19467" spans="1:1" s="199" customFormat="1" ht="12" hidden="1" customHeight="1">
      <c r="A19467" s="198"/>
    </row>
    <row r="19468" spans="1:1" s="199" customFormat="1" ht="12" hidden="1" customHeight="1">
      <c r="A19468" s="198"/>
    </row>
    <row r="19469" spans="1:1" s="199" customFormat="1" ht="12" hidden="1" customHeight="1">
      <c r="A19469" s="198"/>
    </row>
    <row r="19470" spans="1:1" s="199" customFormat="1" ht="12" hidden="1" customHeight="1">
      <c r="A19470" s="198"/>
    </row>
    <row r="19471" spans="1:1" s="199" customFormat="1" ht="12" hidden="1" customHeight="1">
      <c r="A19471" s="198"/>
    </row>
    <row r="19472" spans="1:1" s="199" customFormat="1" ht="12" hidden="1" customHeight="1">
      <c r="A19472" s="198"/>
    </row>
    <row r="19473" spans="1:1" s="199" customFormat="1" ht="12" hidden="1" customHeight="1">
      <c r="A19473" s="198"/>
    </row>
    <row r="19474" spans="1:1" s="199" customFormat="1" ht="12" hidden="1" customHeight="1">
      <c r="A19474" s="198"/>
    </row>
    <row r="19475" spans="1:1" s="199" customFormat="1" ht="12" hidden="1" customHeight="1">
      <c r="A19475" s="198"/>
    </row>
    <row r="19476" spans="1:1" s="199" customFormat="1" ht="12" hidden="1" customHeight="1">
      <c r="A19476" s="198"/>
    </row>
    <row r="19477" spans="1:1" s="199" customFormat="1" ht="12" hidden="1" customHeight="1">
      <c r="A19477" s="198"/>
    </row>
    <row r="19478" spans="1:1" s="199" customFormat="1" ht="12" hidden="1" customHeight="1">
      <c r="A19478" s="198"/>
    </row>
    <row r="19479" spans="1:1" s="199" customFormat="1" ht="12" hidden="1" customHeight="1">
      <c r="A19479" s="198"/>
    </row>
    <row r="19480" spans="1:1" s="199" customFormat="1" ht="12" hidden="1" customHeight="1">
      <c r="A19480" s="198"/>
    </row>
    <row r="19481" spans="1:1" s="199" customFormat="1" ht="12" hidden="1" customHeight="1">
      <c r="A19481" s="198"/>
    </row>
    <row r="19482" spans="1:1" s="199" customFormat="1" ht="12" hidden="1" customHeight="1">
      <c r="A19482" s="198"/>
    </row>
    <row r="19483" spans="1:1" s="199" customFormat="1" ht="12" hidden="1" customHeight="1">
      <c r="A19483" s="198"/>
    </row>
    <row r="19484" spans="1:1" s="199" customFormat="1" ht="12" hidden="1" customHeight="1">
      <c r="A19484" s="198"/>
    </row>
    <row r="19485" spans="1:1" s="199" customFormat="1" ht="12" hidden="1" customHeight="1">
      <c r="A19485" s="198"/>
    </row>
    <row r="19486" spans="1:1" s="199" customFormat="1" ht="12" hidden="1" customHeight="1">
      <c r="A19486" s="198"/>
    </row>
    <row r="19487" spans="1:1" s="199" customFormat="1" ht="12" hidden="1" customHeight="1">
      <c r="A19487" s="198"/>
    </row>
    <row r="19488" spans="1:1" s="199" customFormat="1" ht="12" hidden="1" customHeight="1">
      <c r="A19488" s="198"/>
    </row>
    <row r="19489" spans="1:1" s="199" customFormat="1" ht="12" hidden="1" customHeight="1">
      <c r="A19489" s="198"/>
    </row>
    <row r="19490" spans="1:1" s="199" customFormat="1" ht="12" hidden="1" customHeight="1">
      <c r="A19490" s="198"/>
    </row>
    <row r="19491" spans="1:1" s="199" customFormat="1" ht="12" hidden="1" customHeight="1">
      <c r="A19491" s="198"/>
    </row>
    <row r="19492" spans="1:1" s="199" customFormat="1" ht="12" hidden="1" customHeight="1">
      <c r="A19492" s="198"/>
    </row>
    <row r="19493" spans="1:1" s="199" customFormat="1" ht="12" hidden="1" customHeight="1">
      <c r="A19493" s="198"/>
    </row>
    <row r="19494" spans="1:1" s="199" customFormat="1" ht="12" hidden="1" customHeight="1">
      <c r="A19494" s="198"/>
    </row>
    <row r="19495" spans="1:1" s="199" customFormat="1" ht="12" hidden="1" customHeight="1">
      <c r="A19495" s="198"/>
    </row>
    <row r="19496" spans="1:1" s="199" customFormat="1" ht="12" hidden="1" customHeight="1">
      <c r="A19496" s="198"/>
    </row>
    <row r="19497" spans="1:1" s="199" customFormat="1" ht="12" hidden="1" customHeight="1">
      <c r="A19497" s="198"/>
    </row>
    <row r="19498" spans="1:1" s="199" customFormat="1" ht="12" hidden="1" customHeight="1">
      <c r="A19498" s="198"/>
    </row>
    <row r="19499" spans="1:1" s="199" customFormat="1" ht="12" hidden="1" customHeight="1">
      <c r="A19499" s="198"/>
    </row>
    <row r="19500" spans="1:1" s="199" customFormat="1" ht="12" hidden="1" customHeight="1">
      <c r="A19500" s="198"/>
    </row>
    <row r="19501" spans="1:1" s="199" customFormat="1" ht="12" hidden="1" customHeight="1">
      <c r="A19501" s="198"/>
    </row>
    <row r="19502" spans="1:1" s="199" customFormat="1" ht="12" hidden="1" customHeight="1">
      <c r="A19502" s="198"/>
    </row>
    <row r="19503" spans="1:1" s="199" customFormat="1" ht="12" hidden="1" customHeight="1">
      <c r="A19503" s="198"/>
    </row>
    <row r="19504" spans="1:1" s="199" customFormat="1" ht="12" hidden="1" customHeight="1">
      <c r="A19504" s="198"/>
    </row>
    <row r="19505" spans="1:1" s="199" customFormat="1" ht="12" hidden="1" customHeight="1">
      <c r="A19505" s="198"/>
    </row>
    <row r="19506" spans="1:1" s="199" customFormat="1" ht="12" hidden="1" customHeight="1">
      <c r="A19506" s="198"/>
    </row>
    <row r="19507" spans="1:1" s="199" customFormat="1" ht="12" hidden="1" customHeight="1">
      <c r="A19507" s="198"/>
    </row>
    <row r="19508" spans="1:1" s="199" customFormat="1" ht="12" hidden="1" customHeight="1">
      <c r="A19508" s="198"/>
    </row>
    <row r="19509" spans="1:1" s="199" customFormat="1" ht="12" hidden="1" customHeight="1">
      <c r="A19509" s="198"/>
    </row>
    <row r="19510" spans="1:1" s="199" customFormat="1" ht="12" hidden="1" customHeight="1">
      <c r="A19510" s="198"/>
    </row>
    <row r="19511" spans="1:1" s="199" customFormat="1" ht="12" hidden="1" customHeight="1">
      <c r="A19511" s="198"/>
    </row>
    <row r="19512" spans="1:1" s="199" customFormat="1" ht="12" hidden="1" customHeight="1">
      <c r="A19512" s="198"/>
    </row>
    <row r="19513" spans="1:1" s="199" customFormat="1" ht="12" hidden="1" customHeight="1">
      <c r="A19513" s="198"/>
    </row>
    <row r="19514" spans="1:1" s="199" customFormat="1" ht="12" hidden="1" customHeight="1">
      <c r="A19514" s="198"/>
    </row>
    <row r="19515" spans="1:1" s="199" customFormat="1" ht="12" hidden="1" customHeight="1">
      <c r="A19515" s="198"/>
    </row>
    <row r="19516" spans="1:1" s="199" customFormat="1" ht="12" hidden="1" customHeight="1">
      <c r="A19516" s="198"/>
    </row>
    <row r="19517" spans="1:1" s="199" customFormat="1" ht="12" hidden="1" customHeight="1">
      <c r="A19517" s="198"/>
    </row>
    <row r="19518" spans="1:1" s="199" customFormat="1" ht="12" hidden="1" customHeight="1">
      <c r="A19518" s="198"/>
    </row>
    <row r="19519" spans="1:1" s="199" customFormat="1" ht="12" hidden="1" customHeight="1">
      <c r="A19519" s="198"/>
    </row>
    <row r="19520" spans="1:1" s="199" customFormat="1" ht="12" hidden="1" customHeight="1">
      <c r="A19520" s="198"/>
    </row>
    <row r="19521" spans="1:1" s="199" customFormat="1" ht="12" hidden="1" customHeight="1">
      <c r="A19521" s="198"/>
    </row>
    <row r="19522" spans="1:1" s="199" customFormat="1" ht="12" hidden="1" customHeight="1">
      <c r="A19522" s="198"/>
    </row>
    <row r="19523" spans="1:1" s="199" customFormat="1" ht="12" hidden="1" customHeight="1">
      <c r="A19523" s="198"/>
    </row>
    <row r="19524" spans="1:1" s="199" customFormat="1" ht="12" hidden="1" customHeight="1">
      <c r="A19524" s="198"/>
    </row>
    <row r="19525" spans="1:1" s="199" customFormat="1" ht="12" hidden="1" customHeight="1">
      <c r="A19525" s="198"/>
    </row>
    <row r="19526" spans="1:1" s="199" customFormat="1" ht="12" hidden="1" customHeight="1">
      <c r="A19526" s="198"/>
    </row>
    <row r="19527" spans="1:1" s="199" customFormat="1" ht="12" hidden="1" customHeight="1">
      <c r="A19527" s="198"/>
    </row>
    <row r="19528" spans="1:1" s="199" customFormat="1" ht="12" hidden="1" customHeight="1">
      <c r="A19528" s="198"/>
    </row>
    <row r="19529" spans="1:1" s="199" customFormat="1" ht="12" hidden="1" customHeight="1">
      <c r="A19529" s="198"/>
    </row>
    <row r="19530" spans="1:1" s="199" customFormat="1" ht="12" hidden="1" customHeight="1">
      <c r="A19530" s="198"/>
    </row>
    <row r="19531" spans="1:1" s="199" customFormat="1" ht="12" hidden="1" customHeight="1">
      <c r="A19531" s="198"/>
    </row>
    <row r="19532" spans="1:1" s="199" customFormat="1" ht="12" hidden="1" customHeight="1">
      <c r="A19532" s="198"/>
    </row>
    <row r="19533" spans="1:1" s="199" customFormat="1" ht="12" hidden="1" customHeight="1">
      <c r="A19533" s="198"/>
    </row>
    <row r="19534" spans="1:1" s="199" customFormat="1" ht="12" hidden="1" customHeight="1">
      <c r="A19534" s="198"/>
    </row>
    <row r="19535" spans="1:1" s="199" customFormat="1" ht="12" hidden="1" customHeight="1">
      <c r="A19535" s="198"/>
    </row>
    <row r="19536" spans="1:1" s="199" customFormat="1" ht="12" hidden="1" customHeight="1">
      <c r="A19536" s="198"/>
    </row>
    <row r="19537" spans="1:1" s="199" customFormat="1" ht="12" hidden="1" customHeight="1">
      <c r="A19537" s="198"/>
    </row>
    <row r="19538" spans="1:1" s="199" customFormat="1" ht="12" hidden="1" customHeight="1">
      <c r="A19538" s="198"/>
    </row>
    <row r="19539" spans="1:1" s="199" customFormat="1" ht="12" hidden="1" customHeight="1">
      <c r="A19539" s="198"/>
    </row>
    <row r="19540" spans="1:1" s="199" customFormat="1" ht="12" hidden="1" customHeight="1">
      <c r="A19540" s="198"/>
    </row>
    <row r="19541" spans="1:1" s="199" customFormat="1" ht="12" hidden="1" customHeight="1">
      <c r="A19541" s="198"/>
    </row>
    <row r="19542" spans="1:1" s="199" customFormat="1" ht="12" hidden="1" customHeight="1">
      <c r="A19542" s="198"/>
    </row>
    <row r="19543" spans="1:1" s="199" customFormat="1" ht="12" hidden="1" customHeight="1">
      <c r="A19543" s="198"/>
    </row>
    <row r="19544" spans="1:1" s="199" customFormat="1" ht="12" hidden="1" customHeight="1">
      <c r="A19544" s="198"/>
    </row>
    <row r="19545" spans="1:1" s="199" customFormat="1" ht="12" hidden="1" customHeight="1">
      <c r="A19545" s="198"/>
    </row>
    <row r="19546" spans="1:1" s="199" customFormat="1" ht="12" hidden="1" customHeight="1">
      <c r="A19546" s="198"/>
    </row>
    <row r="19547" spans="1:1" s="199" customFormat="1" ht="12" hidden="1" customHeight="1">
      <c r="A19547" s="198"/>
    </row>
    <row r="19548" spans="1:1" s="199" customFormat="1" ht="12" hidden="1" customHeight="1">
      <c r="A19548" s="198"/>
    </row>
    <row r="19549" spans="1:1" s="199" customFormat="1" ht="12" hidden="1" customHeight="1">
      <c r="A19549" s="198"/>
    </row>
    <row r="19550" spans="1:1" s="199" customFormat="1" ht="12" hidden="1" customHeight="1">
      <c r="A19550" s="198"/>
    </row>
    <row r="19551" spans="1:1" s="199" customFormat="1" ht="12" hidden="1" customHeight="1">
      <c r="A19551" s="198"/>
    </row>
    <row r="19552" spans="1:1" s="199" customFormat="1" ht="12" hidden="1" customHeight="1">
      <c r="A19552" s="198"/>
    </row>
    <row r="19553" spans="1:1" s="199" customFormat="1" ht="12" hidden="1" customHeight="1">
      <c r="A19553" s="198"/>
    </row>
    <row r="19554" spans="1:1" s="199" customFormat="1" ht="12" hidden="1" customHeight="1">
      <c r="A19554" s="198"/>
    </row>
    <row r="19555" spans="1:1" s="199" customFormat="1" ht="12" hidden="1" customHeight="1">
      <c r="A19555" s="198"/>
    </row>
    <row r="19556" spans="1:1" s="199" customFormat="1" ht="12" hidden="1" customHeight="1">
      <c r="A19556" s="198"/>
    </row>
    <row r="19557" spans="1:1" s="199" customFormat="1" ht="12" hidden="1" customHeight="1">
      <c r="A19557" s="198"/>
    </row>
    <row r="19558" spans="1:1" s="199" customFormat="1" ht="12" hidden="1" customHeight="1">
      <c r="A19558" s="198"/>
    </row>
    <row r="19559" spans="1:1" s="199" customFormat="1" ht="12" hidden="1" customHeight="1">
      <c r="A19559" s="198"/>
    </row>
    <row r="19560" spans="1:1" s="199" customFormat="1" ht="12" hidden="1" customHeight="1">
      <c r="A19560" s="198"/>
    </row>
    <row r="19561" spans="1:1" s="199" customFormat="1" ht="12" hidden="1" customHeight="1">
      <c r="A19561" s="198"/>
    </row>
    <row r="19562" spans="1:1" s="199" customFormat="1" ht="12" hidden="1" customHeight="1">
      <c r="A19562" s="198"/>
    </row>
    <row r="19563" spans="1:1" s="199" customFormat="1" ht="12" hidden="1" customHeight="1">
      <c r="A19563" s="198"/>
    </row>
    <row r="19564" spans="1:1" s="199" customFormat="1" ht="12" hidden="1" customHeight="1">
      <c r="A19564" s="198"/>
    </row>
    <row r="19565" spans="1:1" s="199" customFormat="1" ht="12" hidden="1" customHeight="1">
      <c r="A19565" s="198"/>
    </row>
    <row r="19566" spans="1:1" s="199" customFormat="1" ht="12" hidden="1" customHeight="1">
      <c r="A19566" s="198"/>
    </row>
    <row r="19567" spans="1:1" s="199" customFormat="1" ht="12" hidden="1" customHeight="1">
      <c r="A19567" s="198"/>
    </row>
    <row r="19568" spans="1:1" s="199" customFormat="1" ht="12" hidden="1" customHeight="1">
      <c r="A19568" s="198"/>
    </row>
    <row r="19569" spans="1:1" s="199" customFormat="1" ht="12" hidden="1" customHeight="1">
      <c r="A19569" s="198"/>
    </row>
    <row r="19570" spans="1:1" s="199" customFormat="1" ht="12" hidden="1" customHeight="1">
      <c r="A19570" s="198"/>
    </row>
    <row r="19571" spans="1:1" s="199" customFormat="1" ht="12" hidden="1" customHeight="1">
      <c r="A19571" s="198"/>
    </row>
    <row r="19572" spans="1:1" s="199" customFormat="1" ht="12" hidden="1" customHeight="1">
      <c r="A19572" s="198"/>
    </row>
    <row r="19573" spans="1:1" s="199" customFormat="1" ht="12" hidden="1" customHeight="1">
      <c r="A19573" s="198"/>
    </row>
    <row r="19574" spans="1:1" s="199" customFormat="1" ht="12" hidden="1" customHeight="1">
      <c r="A19574" s="198"/>
    </row>
    <row r="19575" spans="1:1" s="199" customFormat="1" ht="12" hidden="1" customHeight="1">
      <c r="A19575" s="198"/>
    </row>
    <row r="19576" spans="1:1" s="199" customFormat="1" ht="12" hidden="1" customHeight="1">
      <c r="A19576" s="198"/>
    </row>
    <row r="19577" spans="1:1" s="199" customFormat="1" ht="12" hidden="1" customHeight="1">
      <c r="A19577" s="198"/>
    </row>
    <row r="19578" spans="1:1" s="199" customFormat="1" ht="12" hidden="1" customHeight="1">
      <c r="A19578" s="198"/>
    </row>
    <row r="19579" spans="1:1" s="199" customFormat="1" ht="12" hidden="1" customHeight="1">
      <c r="A19579" s="198"/>
    </row>
    <row r="19580" spans="1:1" s="199" customFormat="1" ht="12" hidden="1" customHeight="1">
      <c r="A19580" s="198"/>
    </row>
    <row r="19581" spans="1:1" s="199" customFormat="1" ht="12" hidden="1" customHeight="1">
      <c r="A19581" s="198"/>
    </row>
    <row r="19582" spans="1:1" s="199" customFormat="1" ht="12" hidden="1" customHeight="1">
      <c r="A19582" s="198"/>
    </row>
    <row r="19583" spans="1:1" s="199" customFormat="1" ht="12" hidden="1" customHeight="1">
      <c r="A19583" s="198"/>
    </row>
    <row r="19584" spans="1:1" s="199" customFormat="1" ht="12" hidden="1" customHeight="1">
      <c r="A19584" s="198"/>
    </row>
    <row r="19585" spans="1:1" s="199" customFormat="1" ht="12" hidden="1" customHeight="1">
      <c r="A19585" s="198"/>
    </row>
    <row r="19586" spans="1:1" s="199" customFormat="1" ht="12" hidden="1" customHeight="1">
      <c r="A19586" s="198"/>
    </row>
    <row r="19587" spans="1:1" s="199" customFormat="1" ht="12" hidden="1" customHeight="1">
      <c r="A19587" s="198"/>
    </row>
    <row r="19588" spans="1:1" s="199" customFormat="1" ht="12" hidden="1" customHeight="1">
      <c r="A19588" s="198"/>
    </row>
    <row r="19589" spans="1:1" s="199" customFormat="1" ht="12" hidden="1" customHeight="1">
      <c r="A19589" s="198"/>
    </row>
    <row r="19590" spans="1:1" s="199" customFormat="1" ht="12" hidden="1" customHeight="1">
      <c r="A19590" s="198"/>
    </row>
    <row r="19591" spans="1:1" s="199" customFormat="1" ht="12" hidden="1" customHeight="1">
      <c r="A19591" s="198"/>
    </row>
    <row r="19592" spans="1:1" s="199" customFormat="1" ht="12" hidden="1" customHeight="1">
      <c r="A19592" s="198"/>
    </row>
    <row r="19593" spans="1:1" s="199" customFormat="1" ht="12" hidden="1" customHeight="1">
      <c r="A19593" s="198"/>
    </row>
    <row r="19594" spans="1:1" s="199" customFormat="1" ht="12" hidden="1" customHeight="1">
      <c r="A19594" s="198"/>
    </row>
    <row r="19595" spans="1:1" s="199" customFormat="1" ht="12" hidden="1" customHeight="1">
      <c r="A19595" s="198"/>
    </row>
    <row r="19596" spans="1:1" s="199" customFormat="1" ht="12" hidden="1" customHeight="1">
      <c r="A19596" s="198"/>
    </row>
    <row r="19597" spans="1:1" s="199" customFormat="1" ht="12" hidden="1" customHeight="1">
      <c r="A19597" s="198"/>
    </row>
    <row r="19598" spans="1:1" s="199" customFormat="1" ht="12" hidden="1" customHeight="1">
      <c r="A19598" s="198"/>
    </row>
    <row r="19599" spans="1:1" s="199" customFormat="1" ht="12" hidden="1" customHeight="1">
      <c r="A19599" s="198"/>
    </row>
    <row r="19600" spans="1:1" s="199" customFormat="1" ht="12" hidden="1" customHeight="1">
      <c r="A19600" s="198"/>
    </row>
    <row r="19601" spans="1:1" s="199" customFormat="1" ht="12" hidden="1" customHeight="1">
      <c r="A19601" s="198"/>
    </row>
    <row r="19602" spans="1:1" s="199" customFormat="1" ht="12" hidden="1" customHeight="1">
      <c r="A19602" s="198"/>
    </row>
    <row r="19603" spans="1:1" s="199" customFormat="1" ht="12" hidden="1" customHeight="1">
      <c r="A19603" s="198"/>
    </row>
    <row r="19604" spans="1:1" s="199" customFormat="1" ht="12" hidden="1" customHeight="1">
      <c r="A19604" s="198"/>
    </row>
    <row r="19605" spans="1:1" s="199" customFormat="1" ht="12" hidden="1" customHeight="1">
      <c r="A19605" s="198"/>
    </row>
    <row r="19606" spans="1:1" s="199" customFormat="1" ht="12" hidden="1" customHeight="1">
      <c r="A19606" s="198"/>
    </row>
    <row r="19607" spans="1:1" s="199" customFormat="1" ht="12" hidden="1" customHeight="1">
      <c r="A19607" s="198"/>
    </row>
    <row r="19608" spans="1:1" s="199" customFormat="1" ht="12" hidden="1" customHeight="1">
      <c r="A19608" s="198"/>
    </row>
    <row r="19609" spans="1:1" s="199" customFormat="1" ht="12" hidden="1" customHeight="1">
      <c r="A19609" s="198"/>
    </row>
    <row r="19610" spans="1:1" s="199" customFormat="1" ht="12" hidden="1" customHeight="1">
      <c r="A19610" s="198"/>
    </row>
    <row r="19611" spans="1:1" s="199" customFormat="1" ht="12" hidden="1" customHeight="1">
      <c r="A19611" s="198"/>
    </row>
    <row r="19612" spans="1:1" s="199" customFormat="1" ht="12" hidden="1" customHeight="1">
      <c r="A19612" s="198"/>
    </row>
    <row r="19613" spans="1:1" s="199" customFormat="1" ht="12" hidden="1" customHeight="1">
      <c r="A19613" s="198"/>
    </row>
    <row r="19614" spans="1:1" s="199" customFormat="1" ht="12" hidden="1" customHeight="1">
      <c r="A19614" s="198"/>
    </row>
    <row r="19615" spans="1:1" s="199" customFormat="1" ht="12" hidden="1" customHeight="1">
      <c r="A19615" s="198"/>
    </row>
    <row r="19616" spans="1:1" s="199" customFormat="1" ht="12" hidden="1" customHeight="1">
      <c r="A19616" s="198"/>
    </row>
    <row r="19617" spans="1:1" s="199" customFormat="1" ht="12" hidden="1" customHeight="1">
      <c r="A19617" s="198"/>
    </row>
    <row r="19618" spans="1:1" s="199" customFormat="1" ht="12" hidden="1" customHeight="1">
      <c r="A19618" s="198"/>
    </row>
    <row r="19619" spans="1:1" s="199" customFormat="1" ht="12" hidden="1" customHeight="1">
      <c r="A19619" s="198"/>
    </row>
    <row r="19620" spans="1:1" s="199" customFormat="1" ht="12" hidden="1" customHeight="1">
      <c r="A19620" s="198"/>
    </row>
    <row r="19621" spans="1:1" s="199" customFormat="1" ht="12" hidden="1" customHeight="1">
      <c r="A19621" s="198"/>
    </row>
    <row r="19622" spans="1:1" s="199" customFormat="1" ht="12" hidden="1" customHeight="1">
      <c r="A19622" s="198"/>
    </row>
    <row r="19623" spans="1:1" s="199" customFormat="1" ht="12" hidden="1" customHeight="1">
      <c r="A19623" s="198"/>
    </row>
    <row r="19624" spans="1:1" s="199" customFormat="1" ht="12" hidden="1" customHeight="1">
      <c r="A19624" s="198"/>
    </row>
    <row r="19625" spans="1:1" s="199" customFormat="1" ht="12" hidden="1" customHeight="1">
      <c r="A19625" s="198"/>
    </row>
    <row r="19626" spans="1:1" s="199" customFormat="1" ht="12" hidden="1" customHeight="1">
      <c r="A19626" s="198"/>
    </row>
    <row r="19627" spans="1:1" s="199" customFormat="1" ht="12" hidden="1" customHeight="1">
      <c r="A19627" s="198"/>
    </row>
    <row r="19628" spans="1:1" s="199" customFormat="1" ht="12" hidden="1" customHeight="1">
      <c r="A19628" s="198"/>
    </row>
    <row r="19629" spans="1:1" s="199" customFormat="1" ht="12" hidden="1" customHeight="1">
      <c r="A19629" s="198"/>
    </row>
    <row r="19630" spans="1:1" s="199" customFormat="1" ht="12" hidden="1" customHeight="1">
      <c r="A19630" s="198"/>
    </row>
    <row r="19631" spans="1:1" s="199" customFormat="1" ht="12" hidden="1" customHeight="1">
      <c r="A19631" s="198"/>
    </row>
    <row r="19632" spans="1:1" s="199" customFormat="1" ht="12" hidden="1" customHeight="1">
      <c r="A19632" s="198"/>
    </row>
    <row r="19633" spans="1:1" s="199" customFormat="1" ht="12" hidden="1" customHeight="1">
      <c r="A19633" s="198"/>
    </row>
    <row r="19634" spans="1:1" s="199" customFormat="1" ht="12" hidden="1" customHeight="1">
      <c r="A19634" s="198"/>
    </row>
    <row r="19635" spans="1:1" s="199" customFormat="1" ht="12" hidden="1" customHeight="1">
      <c r="A19635" s="198"/>
    </row>
    <row r="19636" spans="1:1" s="199" customFormat="1" ht="12" hidden="1" customHeight="1">
      <c r="A19636" s="198"/>
    </row>
    <row r="19637" spans="1:1" s="199" customFormat="1" ht="12" hidden="1" customHeight="1">
      <c r="A19637" s="198"/>
    </row>
    <row r="19638" spans="1:1" s="199" customFormat="1" ht="12" hidden="1" customHeight="1">
      <c r="A19638" s="198"/>
    </row>
    <row r="19639" spans="1:1" s="199" customFormat="1" ht="12" hidden="1" customHeight="1">
      <c r="A19639" s="198"/>
    </row>
    <row r="19640" spans="1:1" s="199" customFormat="1" ht="12" hidden="1" customHeight="1">
      <c r="A19640" s="198"/>
    </row>
    <row r="19641" spans="1:1" s="199" customFormat="1" ht="12" hidden="1" customHeight="1">
      <c r="A19641" s="198"/>
    </row>
    <row r="19642" spans="1:1" s="199" customFormat="1" ht="12" hidden="1" customHeight="1">
      <c r="A19642" s="198"/>
    </row>
    <row r="19643" spans="1:1" s="199" customFormat="1" ht="12" hidden="1" customHeight="1">
      <c r="A19643" s="198"/>
    </row>
    <row r="19644" spans="1:1" s="199" customFormat="1" ht="12" hidden="1" customHeight="1">
      <c r="A19644" s="198"/>
    </row>
    <row r="19645" spans="1:1" s="199" customFormat="1" ht="12" hidden="1" customHeight="1">
      <c r="A19645" s="198"/>
    </row>
    <row r="19646" spans="1:1" s="199" customFormat="1" ht="12" hidden="1" customHeight="1">
      <c r="A19646" s="198"/>
    </row>
    <row r="19647" spans="1:1" s="199" customFormat="1" ht="12" hidden="1" customHeight="1">
      <c r="A19647" s="198"/>
    </row>
    <row r="19648" spans="1:1" s="199" customFormat="1" ht="12" hidden="1" customHeight="1">
      <c r="A19648" s="198"/>
    </row>
    <row r="19649" spans="1:1" s="199" customFormat="1" ht="12" hidden="1" customHeight="1">
      <c r="A19649" s="198"/>
    </row>
    <row r="19650" spans="1:1" s="199" customFormat="1" ht="12" hidden="1" customHeight="1">
      <c r="A19650" s="198"/>
    </row>
    <row r="19651" spans="1:1" s="199" customFormat="1" ht="12" hidden="1" customHeight="1">
      <c r="A19651" s="198"/>
    </row>
    <row r="19652" spans="1:1" s="199" customFormat="1" ht="12" hidden="1" customHeight="1">
      <c r="A19652" s="198"/>
    </row>
    <row r="19653" spans="1:1" s="199" customFormat="1" ht="12" hidden="1" customHeight="1">
      <c r="A19653" s="198"/>
    </row>
    <row r="19654" spans="1:1" s="199" customFormat="1" ht="12" hidden="1" customHeight="1">
      <c r="A19654" s="198"/>
    </row>
    <row r="19655" spans="1:1" s="199" customFormat="1" ht="12" hidden="1" customHeight="1">
      <c r="A19655" s="198"/>
    </row>
    <row r="19656" spans="1:1" s="199" customFormat="1" ht="12" hidden="1" customHeight="1">
      <c r="A19656" s="198"/>
    </row>
    <row r="19657" spans="1:1" s="199" customFormat="1" ht="12" hidden="1" customHeight="1">
      <c r="A19657" s="198"/>
    </row>
    <row r="19658" spans="1:1" s="199" customFormat="1" ht="12" hidden="1" customHeight="1">
      <c r="A19658" s="198"/>
    </row>
    <row r="19659" spans="1:1" s="199" customFormat="1" ht="12" hidden="1" customHeight="1">
      <c r="A19659" s="198"/>
    </row>
    <row r="19660" spans="1:1" s="199" customFormat="1" ht="12" hidden="1" customHeight="1">
      <c r="A19660" s="198"/>
    </row>
    <row r="19661" spans="1:1" s="199" customFormat="1" ht="12" hidden="1" customHeight="1">
      <c r="A19661" s="198"/>
    </row>
    <row r="19662" spans="1:1" s="199" customFormat="1" ht="12" hidden="1" customHeight="1">
      <c r="A19662" s="198"/>
    </row>
    <row r="19663" spans="1:1" s="199" customFormat="1" ht="12" hidden="1" customHeight="1">
      <c r="A19663" s="198"/>
    </row>
    <row r="19664" spans="1:1" s="199" customFormat="1" ht="12" hidden="1" customHeight="1">
      <c r="A19664" s="198"/>
    </row>
    <row r="19665" spans="1:1" s="199" customFormat="1" ht="12" hidden="1" customHeight="1">
      <c r="A19665" s="198"/>
    </row>
    <row r="19666" spans="1:1" s="199" customFormat="1" ht="12" hidden="1" customHeight="1">
      <c r="A19666" s="198"/>
    </row>
    <row r="19667" spans="1:1" s="199" customFormat="1" ht="12" hidden="1" customHeight="1">
      <c r="A19667" s="198"/>
    </row>
    <row r="19668" spans="1:1" s="199" customFormat="1" ht="12" hidden="1" customHeight="1">
      <c r="A19668" s="198"/>
    </row>
    <row r="19669" spans="1:1" s="199" customFormat="1" ht="12" hidden="1" customHeight="1">
      <c r="A19669" s="198"/>
    </row>
    <row r="19670" spans="1:1" s="199" customFormat="1" ht="12" hidden="1" customHeight="1">
      <c r="A19670" s="198"/>
    </row>
    <row r="19671" spans="1:1" s="199" customFormat="1" ht="12" hidden="1" customHeight="1">
      <c r="A19671" s="198"/>
    </row>
    <row r="19672" spans="1:1" s="199" customFormat="1" ht="12" hidden="1" customHeight="1">
      <c r="A19672" s="198"/>
    </row>
    <row r="19673" spans="1:1" s="199" customFormat="1" ht="12" hidden="1" customHeight="1">
      <c r="A19673" s="198"/>
    </row>
    <row r="19674" spans="1:1" s="199" customFormat="1" ht="12" hidden="1" customHeight="1">
      <c r="A19674" s="198"/>
    </row>
    <row r="19675" spans="1:1" s="199" customFormat="1" ht="12" hidden="1" customHeight="1">
      <c r="A19675" s="198"/>
    </row>
    <row r="19676" spans="1:1" s="199" customFormat="1" ht="12" hidden="1" customHeight="1">
      <c r="A19676" s="198"/>
    </row>
    <row r="19677" spans="1:1" s="199" customFormat="1" ht="12" hidden="1" customHeight="1">
      <c r="A19677" s="198"/>
    </row>
    <row r="19678" spans="1:1" s="199" customFormat="1" ht="12" hidden="1" customHeight="1">
      <c r="A19678" s="198"/>
    </row>
    <row r="19679" spans="1:1" s="199" customFormat="1" ht="12" hidden="1" customHeight="1">
      <c r="A19679" s="198"/>
    </row>
    <row r="19680" spans="1:1" s="199" customFormat="1" ht="12" hidden="1" customHeight="1">
      <c r="A19680" s="198"/>
    </row>
    <row r="19681" spans="1:1" s="199" customFormat="1" ht="12" hidden="1" customHeight="1">
      <c r="A19681" s="198"/>
    </row>
    <row r="19682" spans="1:1" s="199" customFormat="1" ht="12" hidden="1" customHeight="1">
      <c r="A19682" s="198"/>
    </row>
    <row r="19683" spans="1:1" s="199" customFormat="1" ht="12" hidden="1" customHeight="1">
      <c r="A19683" s="198"/>
    </row>
    <row r="19684" spans="1:1" s="199" customFormat="1" ht="12" hidden="1" customHeight="1">
      <c r="A19684" s="198"/>
    </row>
    <row r="19685" spans="1:1" s="199" customFormat="1" ht="12" hidden="1" customHeight="1">
      <c r="A19685" s="198"/>
    </row>
    <row r="19686" spans="1:1" s="199" customFormat="1" ht="12" hidden="1" customHeight="1">
      <c r="A19686" s="198"/>
    </row>
    <row r="19687" spans="1:1" s="199" customFormat="1" ht="12" hidden="1" customHeight="1">
      <c r="A19687" s="198"/>
    </row>
    <row r="19688" spans="1:1" s="199" customFormat="1" ht="12" hidden="1" customHeight="1">
      <c r="A19688" s="198"/>
    </row>
    <row r="19689" spans="1:1" s="199" customFormat="1" ht="12" hidden="1" customHeight="1">
      <c r="A19689" s="198"/>
    </row>
    <row r="19690" spans="1:1" s="199" customFormat="1" ht="12" hidden="1" customHeight="1">
      <c r="A19690" s="198"/>
    </row>
    <row r="19691" spans="1:1" s="199" customFormat="1" ht="12" hidden="1" customHeight="1">
      <c r="A19691" s="198"/>
    </row>
    <row r="19692" spans="1:1" s="199" customFormat="1" ht="12" hidden="1" customHeight="1">
      <c r="A19692" s="198"/>
    </row>
    <row r="19693" spans="1:1" s="199" customFormat="1" ht="12" hidden="1" customHeight="1">
      <c r="A19693" s="198"/>
    </row>
    <row r="19694" spans="1:1" s="199" customFormat="1" ht="12" hidden="1" customHeight="1">
      <c r="A19694" s="198"/>
    </row>
    <row r="19695" spans="1:1" s="199" customFormat="1" ht="12" hidden="1" customHeight="1">
      <c r="A19695" s="198"/>
    </row>
    <row r="19696" spans="1:1" s="199" customFormat="1" ht="12" hidden="1" customHeight="1">
      <c r="A19696" s="198"/>
    </row>
    <row r="19697" spans="1:1" s="199" customFormat="1" ht="12" hidden="1" customHeight="1">
      <c r="A19697" s="198"/>
    </row>
    <row r="19698" spans="1:1" s="199" customFormat="1" ht="12" hidden="1" customHeight="1">
      <c r="A19698" s="198"/>
    </row>
    <row r="19699" spans="1:1" s="199" customFormat="1" ht="12" hidden="1" customHeight="1">
      <c r="A19699" s="198"/>
    </row>
    <row r="19700" spans="1:1" s="199" customFormat="1" ht="12" hidden="1" customHeight="1">
      <c r="A19700" s="198"/>
    </row>
    <row r="19701" spans="1:1" s="199" customFormat="1" ht="12" hidden="1" customHeight="1">
      <c r="A19701" s="198"/>
    </row>
    <row r="19702" spans="1:1" s="199" customFormat="1" ht="12" hidden="1" customHeight="1">
      <c r="A19702" s="198"/>
    </row>
    <row r="19703" spans="1:1" s="199" customFormat="1" ht="12" hidden="1" customHeight="1">
      <c r="A19703" s="198"/>
    </row>
    <row r="19704" spans="1:1" s="199" customFormat="1" ht="12" hidden="1" customHeight="1">
      <c r="A19704" s="198"/>
    </row>
    <row r="19705" spans="1:1" s="199" customFormat="1" ht="12" hidden="1" customHeight="1">
      <c r="A19705" s="198"/>
    </row>
    <row r="19706" spans="1:1" s="199" customFormat="1" ht="12" hidden="1" customHeight="1">
      <c r="A19706" s="198"/>
    </row>
    <row r="19707" spans="1:1" s="199" customFormat="1" ht="12" hidden="1" customHeight="1">
      <c r="A19707" s="198"/>
    </row>
    <row r="19708" spans="1:1" s="199" customFormat="1" ht="12" hidden="1" customHeight="1">
      <c r="A19708" s="198"/>
    </row>
    <row r="19709" spans="1:1" s="199" customFormat="1" ht="12" hidden="1" customHeight="1">
      <c r="A19709" s="198"/>
    </row>
    <row r="19710" spans="1:1" s="199" customFormat="1" ht="12" hidden="1" customHeight="1">
      <c r="A19710" s="198"/>
    </row>
    <row r="19711" spans="1:1" s="199" customFormat="1" ht="12" hidden="1" customHeight="1">
      <c r="A19711" s="198"/>
    </row>
    <row r="19712" spans="1:1" s="199" customFormat="1" ht="12" hidden="1" customHeight="1">
      <c r="A19712" s="198"/>
    </row>
    <row r="19713" spans="1:1" s="199" customFormat="1" ht="12" hidden="1" customHeight="1">
      <c r="A19713" s="198"/>
    </row>
    <row r="19714" spans="1:1" s="199" customFormat="1" ht="12" hidden="1" customHeight="1">
      <c r="A19714" s="198"/>
    </row>
    <row r="19715" spans="1:1" s="199" customFormat="1" ht="12" hidden="1" customHeight="1">
      <c r="A19715" s="198"/>
    </row>
    <row r="19716" spans="1:1" s="199" customFormat="1" ht="12" hidden="1" customHeight="1">
      <c r="A19716" s="198"/>
    </row>
    <row r="19717" spans="1:1" s="199" customFormat="1" ht="12" hidden="1" customHeight="1">
      <c r="A19717" s="198"/>
    </row>
    <row r="19718" spans="1:1" s="199" customFormat="1" ht="12" hidden="1" customHeight="1">
      <c r="A19718" s="198"/>
    </row>
    <row r="19719" spans="1:1" s="199" customFormat="1" ht="12" hidden="1" customHeight="1">
      <c r="A19719" s="198"/>
    </row>
    <row r="19720" spans="1:1" s="199" customFormat="1" ht="12" hidden="1" customHeight="1">
      <c r="A19720" s="198"/>
    </row>
    <row r="19721" spans="1:1" s="199" customFormat="1" ht="12" hidden="1" customHeight="1">
      <c r="A19721" s="198"/>
    </row>
    <row r="19722" spans="1:1" s="199" customFormat="1" ht="12" hidden="1" customHeight="1">
      <c r="A19722" s="198"/>
    </row>
    <row r="19723" spans="1:1" s="199" customFormat="1" ht="12" hidden="1" customHeight="1">
      <c r="A19723" s="198"/>
    </row>
    <row r="19724" spans="1:1" s="199" customFormat="1" ht="12" hidden="1" customHeight="1">
      <c r="A19724" s="198"/>
    </row>
    <row r="19725" spans="1:1" s="199" customFormat="1" ht="12" hidden="1" customHeight="1">
      <c r="A19725" s="198"/>
    </row>
    <row r="19726" spans="1:1" s="199" customFormat="1" ht="12" hidden="1" customHeight="1">
      <c r="A19726" s="198"/>
    </row>
    <row r="19727" spans="1:1" s="199" customFormat="1" ht="12" hidden="1" customHeight="1">
      <c r="A19727" s="198"/>
    </row>
    <row r="19728" spans="1:1" s="199" customFormat="1" ht="12" hidden="1" customHeight="1">
      <c r="A19728" s="198"/>
    </row>
    <row r="19729" spans="1:1" s="199" customFormat="1" ht="12" hidden="1" customHeight="1">
      <c r="A19729" s="198"/>
    </row>
    <row r="19730" spans="1:1" s="199" customFormat="1" ht="12" hidden="1" customHeight="1">
      <c r="A19730" s="198"/>
    </row>
    <row r="19731" spans="1:1" s="199" customFormat="1" ht="12" hidden="1" customHeight="1">
      <c r="A19731" s="198"/>
    </row>
    <row r="19732" spans="1:1" s="199" customFormat="1" ht="12" hidden="1" customHeight="1">
      <c r="A19732" s="198"/>
    </row>
    <row r="19733" spans="1:1" s="199" customFormat="1" ht="12" hidden="1" customHeight="1">
      <c r="A19733" s="198"/>
    </row>
    <row r="19734" spans="1:1" s="199" customFormat="1" ht="12" hidden="1" customHeight="1">
      <c r="A19734" s="198"/>
    </row>
    <row r="19735" spans="1:1" s="199" customFormat="1" ht="12" hidden="1" customHeight="1">
      <c r="A19735" s="198"/>
    </row>
    <row r="19736" spans="1:1" s="199" customFormat="1" ht="12" hidden="1" customHeight="1">
      <c r="A19736" s="198"/>
    </row>
    <row r="19737" spans="1:1" s="199" customFormat="1" ht="12" hidden="1" customHeight="1">
      <c r="A19737" s="198"/>
    </row>
    <row r="19738" spans="1:1" s="199" customFormat="1" ht="12" hidden="1" customHeight="1">
      <c r="A19738" s="198"/>
    </row>
    <row r="19739" spans="1:1" s="199" customFormat="1" ht="12" hidden="1" customHeight="1">
      <c r="A19739" s="198"/>
    </row>
    <row r="19740" spans="1:1" s="199" customFormat="1" ht="12" hidden="1" customHeight="1">
      <c r="A19740" s="198"/>
    </row>
    <row r="19741" spans="1:1" s="199" customFormat="1" ht="12" hidden="1" customHeight="1">
      <c r="A19741" s="198"/>
    </row>
    <row r="19742" spans="1:1" s="199" customFormat="1" ht="12" hidden="1" customHeight="1">
      <c r="A19742" s="198"/>
    </row>
    <row r="19743" spans="1:1" s="199" customFormat="1" ht="12" hidden="1" customHeight="1">
      <c r="A19743" s="198"/>
    </row>
    <row r="19744" spans="1:1" s="199" customFormat="1" ht="12" hidden="1" customHeight="1">
      <c r="A19744" s="198"/>
    </row>
    <row r="19745" spans="1:1" s="199" customFormat="1" ht="12" hidden="1" customHeight="1">
      <c r="A19745" s="198"/>
    </row>
    <row r="19746" spans="1:1" s="199" customFormat="1" ht="12" hidden="1" customHeight="1">
      <c r="A19746" s="198"/>
    </row>
    <row r="19747" spans="1:1" s="199" customFormat="1" ht="12" hidden="1" customHeight="1">
      <c r="A19747" s="198"/>
    </row>
    <row r="19748" spans="1:1" s="199" customFormat="1" ht="12" hidden="1" customHeight="1">
      <c r="A19748" s="198"/>
    </row>
    <row r="19749" spans="1:1" s="199" customFormat="1" ht="12" hidden="1" customHeight="1">
      <c r="A19749" s="198"/>
    </row>
    <row r="19750" spans="1:1" s="199" customFormat="1" ht="12" hidden="1" customHeight="1">
      <c r="A19750" s="198"/>
    </row>
    <row r="19751" spans="1:1" s="199" customFormat="1" ht="12" hidden="1" customHeight="1">
      <c r="A19751" s="198"/>
    </row>
    <row r="19752" spans="1:1" s="199" customFormat="1" ht="12" hidden="1" customHeight="1">
      <c r="A19752" s="198"/>
    </row>
    <row r="19753" spans="1:1" s="199" customFormat="1" ht="12" hidden="1" customHeight="1">
      <c r="A19753" s="198"/>
    </row>
    <row r="19754" spans="1:1" s="199" customFormat="1" ht="12" hidden="1" customHeight="1">
      <c r="A19754" s="198"/>
    </row>
    <row r="19755" spans="1:1" s="199" customFormat="1" ht="12" hidden="1" customHeight="1">
      <c r="A19755" s="198"/>
    </row>
    <row r="19756" spans="1:1" s="199" customFormat="1" ht="12" hidden="1" customHeight="1">
      <c r="A19756" s="198"/>
    </row>
    <row r="19757" spans="1:1" s="199" customFormat="1" ht="12" hidden="1" customHeight="1">
      <c r="A19757" s="198"/>
    </row>
    <row r="19758" spans="1:1" s="199" customFormat="1" ht="12" hidden="1" customHeight="1">
      <c r="A19758" s="198"/>
    </row>
    <row r="19759" spans="1:1" s="199" customFormat="1" ht="12" hidden="1" customHeight="1">
      <c r="A19759" s="198"/>
    </row>
    <row r="19760" spans="1:1" s="199" customFormat="1" ht="12" hidden="1" customHeight="1">
      <c r="A19760" s="198"/>
    </row>
    <row r="19761" spans="1:1" s="199" customFormat="1" ht="12" hidden="1" customHeight="1">
      <c r="A19761" s="198"/>
    </row>
    <row r="19762" spans="1:1" s="199" customFormat="1" ht="12" hidden="1" customHeight="1">
      <c r="A19762" s="198"/>
    </row>
    <row r="19763" spans="1:1" s="199" customFormat="1" ht="12" hidden="1" customHeight="1">
      <c r="A19763" s="198"/>
    </row>
    <row r="19764" spans="1:1" s="199" customFormat="1" ht="12" hidden="1" customHeight="1">
      <c r="A19764" s="198"/>
    </row>
    <row r="19765" spans="1:1" s="199" customFormat="1" ht="12" hidden="1" customHeight="1">
      <c r="A19765" s="198"/>
    </row>
    <row r="19766" spans="1:1" s="199" customFormat="1" ht="12" hidden="1" customHeight="1">
      <c r="A19766" s="198"/>
    </row>
    <row r="19767" spans="1:1" s="199" customFormat="1" ht="12" hidden="1" customHeight="1">
      <c r="A19767" s="198"/>
    </row>
    <row r="19768" spans="1:1" s="199" customFormat="1" ht="12" hidden="1" customHeight="1">
      <c r="A19768" s="198"/>
    </row>
    <row r="19769" spans="1:1" s="199" customFormat="1" ht="12" hidden="1" customHeight="1">
      <c r="A19769" s="198"/>
    </row>
    <row r="19770" spans="1:1" s="199" customFormat="1" ht="12" hidden="1" customHeight="1">
      <c r="A19770" s="198"/>
    </row>
    <row r="19771" spans="1:1" s="199" customFormat="1" ht="12" hidden="1" customHeight="1">
      <c r="A19771" s="198"/>
    </row>
    <row r="19772" spans="1:1" s="199" customFormat="1" ht="12" hidden="1" customHeight="1">
      <c r="A19772" s="198"/>
    </row>
    <row r="19773" spans="1:1" s="199" customFormat="1" ht="12" hidden="1" customHeight="1">
      <c r="A19773" s="198"/>
    </row>
    <row r="19774" spans="1:1" s="199" customFormat="1" ht="12" hidden="1" customHeight="1">
      <c r="A19774" s="198"/>
    </row>
    <row r="19775" spans="1:1" s="199" customFormat="1" ht="12" hidden="1" customHeight="1">
      <c r="A19775" s="198"/>
    </row>
    <row r="19776" spans="1:1" s="199" customFormat="1" ht="12" hidden="1" customHeight="1">
      <c r="A19776" s="198"/>
    </row>
    <row r="19777" spans="1:1" s="199" customFormat="1" ht="12" hidden="1" customHeight="1">
      <c r="A19777" s="198"/>
    </row>
    <row r="19778" spans="1:1" s="199" customFormat="1" ht="12" hidden="1" customHeight="1">
      <c r="A19778" s="198"/>
    </row>
    <row r="19779" spans="1:1" s="199" customFormat="1" ht="12" hidden="1" customHeight="1">
      <c r="A19779" s="198"/>
    </row>
    <row r="19780" spans="1:1" s="199" customFormat="1" ht="12" hidden="1" customHeight="1">
      <c r="A19780" s="198"/>
    </row>
    <row r="19781" spans="1:1" s="199" customFormat="1" ht="12" hidden="1" customHeight="1">
      <c r="A19781" s="198"/>
    </row>
    <row r="19782" spans="1:1" s="199" customFormat="1" ht="12" hidden="1" customHeight="1">
      <c r="A19782" s="198"/>
    </row>
    <row r="19783" spans="1:1" s="199" customFormat="1" ht="12" hidden="1" customHeight="1">
      <c r="A19783" s="198"/>
    </row>
    <row r="19784" spans="1:1" s="199" customFormat="1" ht="12" hidden="1" customHeight="1">
      <c r="A19784" s="198"/>
    </row>
    <row r="19785" spans="1:1" s="199" customFormat="1" ht="12" hidden="1" customHeight="1">
      <c r="A19785" s="198"/>
    </row>
    <row r="19786" spans="1:1" s="199" customFormat="1" ht="12" hidden="1" customHeight="1">
      <c r="A19786" s="198"/>
    </row>
    <row r="19787" spans="1:1" s="199" customFormat="1" ht="12" hidden="1" customHeight="1">
      <c r="A19787" s="198"/>
    </row>
    <row r="19788" spans="1:1" s="199" customFormat="1" ht="12" hidden="1" customHeight="1">
      <c r="A19788" s="198"/>
    </row>
    <row r="19789" spans="1:1" s="199" customFormat="1" ht="12" hidden="1" customHeight="1">
      <c r="A19789" s="198"/>
    </row>
    <row r="19790" spans="1:1" s="199" customFormat="1" ht="12" hidden="1" customHeight="1">
      <c r="A19790" s="198"/>
    </row>
    <row r="19791" spans="1:1" s="199" customFormat="1" ht="12" hidden="1" customHeight="1">
      <c r="A19791" s="198"/>
    </row>
    <row r="19792" spans="1:1" s="199" customFormat="1" ht="12" hidden="1" customHeight="1">
      <c r="A19792" s="198"/>
    </row>
    <row r="19793" spans="1:1" s="199" customFormat="1" ht="12" hidden="1" customHeight="1">
      <c r="A19793" s="198"/>
    </row>
    <row r="19794" spans="1:1" s="199" customFormat="1" ht="12" hidden="1" customHeight="1">
      <c r="A19794" s="198"/>
    </row>
    <row r="19795" spans="1:1" s="199" customFormat="1" ht="12" hidden="1" customHeight="1">
      <c r="A19795" s="198"/>
    </row>
    <row r="19796" spans="1:1" s="199" customFormat="1" ht="12" hidden="1" customHeight="1">
      <c r="A19796" s="198"/>
    </row>
    <row r="19797" spans="1:1" s="199" customFormat="1" ht="12" hidden="1" customHeight="1">
      <c r="A19797" s="198"/>
    </row>
    <row r="19798" spans="1:1" s="199" customFormat="1" ht="12" hidden="1" customHeight="1">
      <c r="A19798" s="198"/>
    </row>
    <row r="19799" spans="1:1" s="199" customFormat="1" ht="12" hidden="1" customHeight="1">
      <c r="A19799" s="198"/>
    </row>
    <row r="19800" spans="1:1" s="199" customFormat="1" ht="12" hidden="1" customHeight="1">
      <c r="A19800" s="198"/>
    </row>
    <row r="19801" spans="1:1" s="199" customFormat="1" ht="12" hidden="1" customHeight="1">
      <c r="A19801" s="198"/>
    </row>
    <row r="19802" spans="1:1" s="199" customFormat="1" ht="12" hidden="1" customHeight="1">
      <c r="A19802" s="198"/>
    </row>
    <row r="19803" spans="1:1" s="199" customFormat="1" ht="12" hidden="1" customHeight="1">
      <c r="A19803" s="198"/>
    </row>
    <row r="19804" spans="1:1" s="199" customFormat="1" ht="12" hidden="1" customHeight="1">
      <c r="A19804" s="198"/>
    </row>
    <row r="19805" spans="1:1" s="199" customFormat="1" ht="12" hidden="1" customHeight="1">
      <c r="A19805" s="198"/>
    </row>
    <row r="19806" spans="1:1" s="199" customFormat="1" ht="12" hidden="1" customHeight="1">
      <c r="A19806" s="198"/>
    </row>
    <row r="19807" spans="1:1" s="199" customFormat="1" ht="12" hidden="1" customHeight="1">
      <c r="A19807" s="198"/>
    </row>
    <row r="19808" spans="1:1" s="199" customFormat="1" ht="12" hidden="1" customHeight="1">
      <c r="A19808" s="198"/>
    </row>
    <row r="19809" spans="1:1" s="199" customFormat="1" ht="12" hidden="1" customHeight="1">
      <c r="A19809" s="198"/>
    </row>
    <row r="19810" spans="1:1" s="199" customFormat="1" ht="12" hidden="1" customHeight="1">
      <c r="A19810" s="198"/>
    </row>
    <row r="19811" spans="1:1" s="199" customFormat="1" ht="12" hidden="1" customHeight="1">
      <c r="A19811" s="198"/>
    </row>
    <row r="19812" spans="1:1" s="199" customFormat="1" ht="12" hidden="1" customHeight="1">
      <c r="A19812" s="198"/>
    </row>
    <row r="19813" spans="1:1" s="199" customFormat="1" ht="12" hidden="1" customHeight="1">
      <c r="A19813" s="198"/>
    </row>
    <row r="19814" spans="1:1" s="199" customFormat="1" ht="12" hidden="1" customHeight="1">
      <c r="A19814" s="198"/>
    </row>
    <row r="19815" spans="1:1" s="199" customFormat="1" ht="12" hidden="1" customHeight="1">
      <c r="A19815" s="198"/>
    </row>
    <row r="19816" spans="1:1" s="199" customFormat="1" ht="12" hidden="1" customHeight="1">
      <c r="A19816" s="198"/>
    </row>
    <row r="19817" spans="1:1" s="199" customFormat="1" ht="12" hidden="1" customHeight="1">
      <c r="A19817" s="198"/>
    </row>
    <row r="19818" spans="1:1" s="199" customFormat="1" ht="12" hidden="1" customHeight="1">
      <c r="A19818" s="198"/>
    </row>
    <row r="19819" spans="1:1" s="199" customFormat="1" ht="12" hidden="1" customHeight="1">
      <c r="A19819" s="198"/>
    </row>
    <row r="19820" spans="1:1" s="199" customFormat="1" ht="12" hidden="1" customHeight="1">
      <c r="A19820" s="198"/>
    </row>
    <row r="19821" spans="1:1" s="199" customFormat="1" ht="12" hidden="1" customHeight="1">
      <c r="A19821" s="198"/>
    </row>
    <row r="19822" spans="1:1" s="199" customFormat="1" ht="12" hidden="1" customHeight="1">
      <c r="A19822" s="198"/>
    </row>
    <row r="19823" spans="1:1" s="199" customFormat="1" ht="12" hidden="1" customHeight="1">
      <c r="A19823" s="198"/>
    </row>
    <row r="19824" spans="1:1" s="199" customFormat="1" ht="12" hidden="1" customHeight="1">
      <c r="A19824" s="198"/>
    </row>
    <row r="19825" spans="1:1" s="199" customFormat="1" ht="12" hidden="1" customHeight="1">
      <c r="A19825" s="198"/>
    </row>
    <row r="19826" spans="1:1" s="199" customFormat="1" ht="12" hidden="1" customHeight="1">
      <c r="A19826" s="198"/>
    </row>
    <row r="19827" spans="1:1" s="199" customFormat="1" ht="12" hidden="1" customHeight="1">
      <c r="A19827" s="198"/>
    </row>
    <row r="19828" spans="1:1" s="199" customFormat="1" ht="12" hidden="1" customHeight="1">
      <c r="A19828" s="198"/>
    </row>
    <row r="19829" spans="1:1" s="199" customFormat="1" ht="12" hidden="1" customHeight="1">
      <c r="A19829" s="198"/>
    </row>
    <row r="19830" spans="1:1" s="199" customFormat="1" ht="12" hidden="1" customHeight="1">
      <c r="A19830" s="198"/>
    </row>
    <row r="19831" spans="1:1" s="199" customFormat="1" ht="12" hidden="1" customHeight="1">
      <c r="A19831" s="198"/>
    </row>
    <row r="19832" spans="1:1" s="199" customFormat="1" ht="12" hidden="1" customHeight="1">
      <c r="A19832" s="198"/>
    </row>
    <row r="19833" spans="1:1" s="199" customFormat="1" ht="12" hidden="1" customHeight="1">
      <c r="A19833" s="198"/>
    </row>
    <row r="19834" spans="1:1" s="199" customFormat="1" ht="12" hidden="1" customHeight="1">
      <c r="A19834" s="198"/>
    </row>
    <row r="19835" spans="1:1" s="199" customFormat="1" ht="12" hidden="1" customHeight="1">
      <c r="A19835" s="198"/>
    </row>
    <row r="19836" spans="1:1" s="199" customFormat="1" ht="12" hidden="1" customHeight="1">
      <c r="A19836" s="198"/>
    </row>
    <row r="19837" spans="1:1" s="199" customFormat="1" ht="12" hidden="1" customHeight="1">
      <c r="A19837" s="198"/>
    </row>
    <row r="19838" spans="1:1" s="199" customFormat="1" ht="12" hidden="1" customHeight="1">
      <c r="A19838" s="198"/>
    </row>
    <row r="19839" spans="1:1" s="199" customFormat="1" ht="12" hidden="1" customHeight="1">
      <c r="A19839" s="198"/>
    </row>
    <row r="19840" spans="1:1" s="199" customFormat="1" ht="12" hidden="1" customHeight="1">
      <c r="A19840" s="198"/>
    </row>
    <row r="19841" spans="1:1" s="199" customFormat="1" ht="12" hidden="1" customHeight="1">
      <c r="A19841" s="198"/>
    </row>
    <row r="19842" spans="1:1" s="199" customFormat="1" ht="12" hidden="1" customHeight="1">
      <c r="A19842" s="198"/>
    </row>
    <row r="19843" spans="1:1" s="199" customFormat="1" ht="12" hidden="1" customHeight="1">
      <c r="A19843" s="198"/>
    </row>
    <row r="19844" spans="1:1" s="199" customFormat="1" ht="12" hidden="1" customHeight="1">
      <c r="A19844" s="198"/>
    </row>
    <row r="19845" spans="1:1" s="199" customFormat="1" ht="12" hidden="1" customHeight="1">
      <c r="A19845" s="198"/>
    </row>
    <row r="19846" spans="1:1" s="199" customFormat="1" ht="12" hidden="1" customHeight="1">
      <c r="A19846" s="198"/>
    </row>
    <row r="19847" spans="1:1" s="199" customFormat="1" ht="12" hidden="1" customHeight="1">
      <c r="A19847" s="198"/>
    </row>
    <row r="19848" spans="1:1" s="199" customFormat="1" ht="12" hidden="1" customHeight="1">
      <c r="A19848" s="198"/>
    </row>
    <row r="19849" spans="1:1" s="199" customFormat="1" ht="12" hidden="1" customHeight="1">
      <c r="A19849" s="198"/>
    </row>
    <row r="19850" spans="1:1" s="199" customFormat="1" ht="12" hidden="1" customHeight="1">
      <c r="A19850" s="198"/>
    </row>
    <row r="19851" spans="1:1" s="199" customFormat="1" ht="12" hidden="1" customHeight="1">
      <c r="A19851" s="198"/>
    </row>
    <row r="19852" spans="1:1" s="199" customFormat="1" ht="12" hidden="1" customHeight="1">
      <c r="A19852" s="198"/>
    </row>
    <row r="19853" spans="1:1" s="199" customFormat="1" ht="12" hidden="1" customHeight="1">
      <c r="A19853" s="198"/>
    </row>
    <row r="19854" spans="1:1" s="199" customFormat="1" ht="12" hidden="1" customHeight="1">
      <c r="A19854" s="198"/>
    </row>
    <row r="19855" spans="1:1" s="199" customFormat="1" ht="12" hidden="1" customHeight="1">
      <c r="A19855" s="198"/>
    </row>
    <row r="19856" spans="1:1" s="199" customFormat="1" ht="12" hidden="1" customHeight="1">
      <c r="A19856" s="198"/>
    </row>
    <row r="19857" spans="1:1" s="199" customFormat="1" ht="12" hidden="1" customHeight="1">
      <c r="A19857" s="198"/>
    </row>
    <row r="19858" spans="1:1" s="199" customFormat="1" ht="12" hidden="1" customHeight="1">
      <c r="A19858" s="198"/>
    </row>
    <row r="19859" spans="1:1" s="199" customFormat="1" ht="12" hidden="1" customHeight="1">
      <c r="A19859" s="198"/>
    </row>
    <row r="19860" spans="1:1" s="199" customFormat="1" ht="12" hidden="1" customHeight="1">
      <c r="A19860" s="198"/>
    </row>
    <row r="19861" spans="1:1" s="199" customFormat="1" ht="12" hidden="1" customHeight="1">
      <c r="A19861" s="198"/>
    </row>
    <row r="19862" spans="1:1" s="199" customFormat="1" ht="12" hidden="1" customHeight="1">
      <c r="A19862" s="198"/>
    </row>
    <row r="19863" spans="1:1" s="199" customFormat="1" ht="12" hidden="1" customHeight="1">
      <c r="A19863" s="198"/>
    </row>
    <row r="19864" spans="1:1" s="199" customFormat="1" ht="12" hidden="1" customHeight="1">
      <c r="A19864" s="198"/>
    </row>
    <row r="19865" spans="1:1" s="199" customFormat="1" ht="12" hidden="1" customHeight="1">
      <c r="A19865" s="198"/>
    </row>
    <row r="19866" spans="1:1" s="199" customFormat="1" ht="12" hidden="1" customHeight="1">
      <c r="A19866" s="198"/>
    </row>
    <row r="19867" spans="1:1" s="199" customFormat="1" ht="12" hidden="1" customHeight="1">
      <c r="A19867" s="198"/>
    </row>
    <row r="19868" spans="1:1" s="199" customFormat="1" ht="12" hidden="1" customHeight="1">
      <c r="A19868" s="198"/>
    </row>
    <row r="19869" spans="1:1" s="199" customFormat="1" ht="12" hidden="1" customHeight="1">
      <c r="A19869" s="198"/>
    </row>
    <row r="19870" spans="1:1" s="199" customFormat="1" ht="12" hidden="1" customHeight="1">
      <c r="A19870" s="198"/>
    </row>
    <row r="19871" spans="1:1" s="199" customFormat="1" ht="12" hidden="1" customHeight="1">
      <c r="A19871" s="198"/>
    </row>
    <row r="19872" spans="1:1" s="199" customFormat="1" ht="12" hidden="1" customHeight="1">
      <c r="A19872" s="198"/>
    </row>
    <row r="19873" spans="1:1" s="199" customFormat="1" ht="12" hidden="1" customHeight="1">
      <c r="A19873" s="198"/>
    </row>
    <row r="19874" spans="1:1" s="199" customFormat="1" ht="12" hidden="1" customHeight="1">
      <c r="A19874" s="198"/>
    </row>
    <row r="19875" spans="1:1" s="199" customFormat="1" ht="12" hidden="1" customHeight="1">
      <c r="A19875" s="198"/>
    </row>
    <row r="19876" spans="1:1" s="199" customFormat="1" ht="12" hidden="1" customHeight="1">
      <c r="A19876" s="198"/>
    </row>
    <row r="19877" spans="1:1" s="199" customFormat="1" ht="12" hidden="1" customHeight="1">
      <c r="A19877" s="198"/>
    </row>
    <row r="19878" spans="1:1" s="199" customFormat="1" ht="12" hidden="1" customHeight="1">
      <c r="A19878" s="198"/>
    </row>
    <row r="19879" spans="1:1" s="199" customFormat="1" ht="12" hidden="1" customHeight="1">
      <c r="A19879" s="198"/>
    </row>
    <row r="19880" spans="1:1" s="199" customFormat="1" ht="12" hidden="1" customHeight="1">
      <c r="A19880" s="198"/>
    </row>
    <row r="19881" spans="1:1" s="199" customFormat="1" ht="12" hidden="1" customHeight="1">
      <c r="A19881" s="198"/>
    </row>
    <row r="19882" spans="1:1" s="199" customFormat="1" ht="12" hidden="1" customHeight="1">
      <c r="A19882" s="198"/>
    </row>
    <row r="19883" spans="1:1" s="199" customFormat="1" ht="12" hidden="1" customHeight="1">
      <c r="A19883" s="198"/>
    </row>
    <row r="19884" spans="1:1" s="199" customFormat="1" ht="12" hidden="1" customHeight="1">
      <c r="A19884" s="198"/>
    </row>
    <row r="19885" spans="1:1" s="199" customFormat="1" ht="12" hidden="1" customHeight="1">
      <c r="A19885" s="198"/>
    </row>
    <row r="19886" spans="1:1" s="199" customFormat="1" ht="12" hidden="1" customHeight="1">
      <c r="A19886" s="198"/>
    </row>
    <row r="19887" spans="1:1" s="199" customFormat="1" ht="12" hidden="1" customHeight="1">
      <c r="A19887" s="198"/>
    </row>
    <row r="19888" spans="1:1" s="199" customFormat="1" ht="12" hidden="1" customHeight="1">
      <c r="A19888" s="198"/>
    </row>
    <row r="19889" spans="1:1" s="199" customFormat="1" ht="12" hidden="1" customHeight="1">
      <c r="A19889" s="198"/>
    </row>
    <row r="19890" spans="1:1" s="199" customFormat="1" ht="12" hidden="1" customHeight="1">
      <c r="A19890" s="198"/>
    </row>
    <row r="19891" spans="1:1" s="199" customFormat="1" ht="12" hidden="1" customHeight="1">
      <c r="A19891" s="198"/>
    </row>
    <row r="19892" spans="1:1" s="199" customFormat="1" ht="12" hidden="1" customHeight="1">
      <c r="A19892" s="198"/>
    </row>
    <row r="19893" spans="1:1" s="199" customFormat="1" ht="12" hidden="1" customHeight="1">
      <c r="A19893" s="198"/>
    </row>
    <row r="19894" spans="1:1" s="199" customFormat="1" ht="12" hidden="1" customHeight="1">
      <c r="A19894" s="198"/>
    </row>
    <row r="19895" spans="1:1" s="199" customFormat="1" ht="12" hidden="1" customHeight="1">
      <c r="A19895" s="198"/>
    </row>
    <row r="19896" spans="1:1" s="199" customFormat="1" ht="12" hidden="1" customHeight="1">
      <c r="A19896" s="198"/>
    </row>
    <row r="19897" spans="1:1" s="199" customFormat="1" ht="12" hidden="1" customHeight="1">
      <c r="A19897" s="198"/>
    </row>
    <row r="19898" spans="1:1" s="199" customFormat="1" ht="12" hidden="1" customHeight="1">
      <c r="A19898" s="198"/>
    </row>
    <row r="19899" spans="1:1" s="199" customFormat="1" ht="12" hidden="1" customHeight="1">
      <c r="A19899" s="198"/>
    </row>
    <row r="19900" spans="1:1" s="199" customFormat="1" ht="12" hidden="1" customHeight="1">
      <c r="A19900" s="198"/>
    </row>
    <row r="19901" spans="1:1" s="199" customFormat="1" ht="12" hidden="1" customHeight="1">
      <c r="A19901" s="198"/>
    </row>
    <row r="19902" spans="1:1" s="199" customFormat="1" ht="12" hidden="1" customHeight="1">
      <c r="A19902" s="198"/>
    </row>
    <row r="19903" spans="1:1" s="199" customFormat="1" ht="12" hidden="1" customHeight="1">
      <c r="A19903" s="198"/>
    </row>
    <row r="19904" spans="1:1" s="199" customFormat="1" ht="12" hidden="1" customHeight="1">
      <c r="A19904" s="198"/>
    </row>
    <row r="19905" spans="1:185" s="199" customFormat="1" ht="12" hidden="1" customHeight="1">
      <c r="A19905" s="198"/>
    </row>
    <row r="19906" spans="1:185" s="199" customFormat="1" ht="12" hidden="1" customHeight="1">
      <c r="A19906" s="198"/>
    </row>
    <row r="19907" spans="1:185" s="199" customFormat="1" ht="12" hidden="1" customHeight="1">
      <c r="A19907" s="198"/>
    </row>
    <row r="19908" spans="1:185" s="199" customFormat="1" ht="12" hidden="1" customHeight="1">
      <c r="A19908" s="198"/>
    </row>
    <row r="19909" spans="1:185" s="199" customFormat="1" ht="12" hidden="1" customHeight="1">
      <c r="A19909" s="198"/>
    </row>
    <row r="19910" spans="1:185" s="199" customFormat="1" ht="12" hidden="1" customHeight="1">
      <c r="A19910" s="198"/>
    </row>
    <row r="19911" spans="1:185" s="199" customFormat="1" ht="12" hidden="1" customHeight="1">
      <c r="A19911" s="198"/>
    </row>
    <row r="19912" spans="1:185" s="199" customFormat="1" ht="12" hidden="1" customHeight="1">
      <c r="A19912" s="198"/>
    </row>
    <row r="19913" spans="1:185" s="199" customFormat="1" ht="12" hidden="1" customHeight="1">
      <c r="A19913" s="198"/>
    </row>
    <row r="19914" spans="1:185" hidden="1">
      <c r="A19914" s="198"/>
      <c r="B19914" s="199"/>
      <c r="C19914" s="199"/>
      <c r="D19914" s="199"/>
      <c r="E19914" s="199"/>
      <c r="F19914" s="199"/>
      <c r="G19914" s="199"/>
      <c r="H19914" s="199"/>
      <c r="I19914" s="199"/>
      <c r="J19914" s="199"/>
      <c r="K19914" s="199"/>
      <c r="L19914" s="199"/>
      <c r="M19914" s="199"/>
      <c r="N19914" s="199"/>
      <c r="O19914" s="199"/>
      <c r="P19914" s="199"/>
      <c r="Q19914" s="199"/>
      <c r="R19914" s="199"/>
      <c r="S19914" s="199"/>
      <c r="T19914" s="199"/>
      <c r="U19914" s="199"/>
      <c r="V19914" s="199"/>
      <c r="W19914" s="199"/>
      <c r="X19914" s="199"/>
      <c r="Y19914" s="199"/>
      <c r="Z19914" s="199"/>
      <c r="AA19914" s="199"/>
      <c r="AB19914" s="199"/>
      <c r="AC19914" s="199"/>
      <c r="AD19914" s="199"/>
      <c r="AE19914" s="199"/>
      <c r="AF19914" s="199"/>
      <c r="AG19914" s="199"/>
      <c r="AH19914" s="199"/>
      <c r="AI19914" s="199"/>
      <c r="AJ19914" s="199"/>
      <c r="AK19914" s="199"/>
      <c r="AL19914" s="199"/>
      <c r="AM19914" s="199"/>
      <c r="AN19914" s="199"/>
      <c r="AO19914" s="199"/>
      <c r="AP19914" s="199"/>
      <c r="AQ19914" s="199"/>
      <c r="AR19914" s="199"/>
      <c r="AS19914" s="199"/>
      <c r="AT19914" s="199"/>
      <c r="AU19914" s="199"/>
      <c r="AV19914" s="199"/>
      <c r="AW19914" s="199"/>
      <c r="AX19914" s="199"/>
      <c r="AY19914" s="199"/>
      <c r="AZ19914" s="199"/>
      <c r="BA19914" s="199"/>
      <c r="BB19914" s="199"/>
      <c r="BC19914" s="199"/>
      <c r="BD19914" s="199"/>
      <c r="BE19914" s="199"/>
      <c r="BF19914" s="199"/>
      <c r="BG19914" s="199"/>
      <c r="BH19914" s="199"/>
      <c r="BI19914" s="199"/>
      <c r="BJ19914" s="199"/>
      <c r="BK19914" s="199"/>
      <c r="BL19914" s="199"/>
      <c r="BM19914" s="199"/>
      <c r="BN19914" s="199"/>
      <c r="BO19914" s="199"/>
      <c r="BP19914" s="199"/>
      <c r="BQ19914" s="199"/>
      <c r="BR19914" s="199"/>
      <c r="BS19914" s="199"/>
      <c r="BT19914" s="199"/>
      <c r="BU19914" s="199"/>
      <c r="BV19914" s="199"/>
      <c r="BW19914" s="199"/>
      <c r="BX19914" s="199"/>
      <c r="BY19914" s="199"/>
      <c r="BZ19914" s="199"/>
      <c r="CA19914" s="199"/>
      <c r="CB19914" s="199"/>
      <c r="CC19914" s="199"/>
      <c r="CD19914" s="199"/>
      <c r="CE19914" s="199"/>
      <c r="CF19914" s="199"/>
      <c r="CG19914" s="199"/>
      <c r="CH19914" s="199"/>
      <c r="CI19914" s="199"/>
      <c r="CJ19914" s="199"/>
      <c r="CK19914" s="199"/>
      <c r="CL19914" s="199"/>
      <c r="CM19914" s="199"/>
      <c r="CN19914" s="199"/>
      <c r="CO19914" s="199"/>
      <c r="CP19914" s="199"/>
      <c r="CQ19914" s="199"/>
      <c r="CR19914" s="199"/>
      <c r="CS19914" s="199"/>
      <c r="CT19914" s="199"/>
      <c r="CU19914" s="199"/>
      <c r="CV19914" s="199"/>
      <c r="CW19914" s="199"/>
      <c r="CX19914" s="199"/>
      <c r="CY19914" s="199"/>
      <c r="CZ19914" s="199"/>
      <c r="DA19914" s="199"/>
      <c r="DB19914" s="199"/>
      <c r="DC19914" s="199"/>
      <c r="DD19914" s="199"/>
      <c r="DE19914" s="199"/>
      <c r="DF19914" s="199"/>
      <c r="DG19914" s="199"/>
      <c r="DH19914" s="199"/>
      <c r="DI19914" s="199"/>
      <c r="DJ19914" s="199"/>
      <c r="DK19914" s="199"/>
      <c r="DL19914" s="199"/>
      <c r="DM19914" s="199"/>
      <c r="DN19914" s="199"/>
      <c r="DO19914" s="199"/>
      <c r="DP19914" s="199"/>
      <c r="DQ19914" s="199"/>
      <c r="DR19914" s="199"/>
      <c r="DS19914" s="199"/>
      <c r="DT19914" s="199"/>
      <c r="DU19914" s="199"/>
      <c r="DV19914" s="199"/>
      <c r="DW19914" s="199"/>
      <c r="DX19914" s="199"/>
      <c r="DY19914" s="199"/>
      <c r="DZ19914" s="199"/>
      <c r="EA19914" s="199"/>
      <c r="EB19914" s="199"/>
      <c r="EC19914" s="199"/>
      <c r="ED19914" s="199"/>
      <c r="EE19914" s="199"/>
      <c r="EF19914" s="199"/>
      <c r="EG19914" s="199"/>
      <c r="EH19914" s="199"/>
      <c r="EI19914" s="199"/>
      <c r="EJ19914" s="199"/>
      <c r="EK19914" s="199"/>
      <c r="EL19914" s="199"/>
      <c r="EM19914" s="199"/>
      <c r="EN19914" s="199"/>
      <c r="EO19914" s="199"/>
      <c r="EP19914" s="199"/>
      <c r="EQ19914" s="199"/>
      <c r="ER19914" s="199"/>
      <c r="ES19914" s="199"/>
      <c r="ET19914" s="199"/>
      <c r="EU19914" s="199"/>
      <c r="EV19914" s="199"/>
      <c r="EW19914" s="199"/>
      <c r="EX19914" s="199"/>
      <c r="EY19914" s="199"/>
      <c r="EZ19914" s="199"/>
      <c r="FA19914" s="199"/>
      <c r="FB19914" s="199"/>
      <c r="FC19914" s="199"/>
      <c r="FD19914" s="199"/>
      <c r="FE19914" s="199"/>
      <c r="FF19914" s="199"/>
      <c r="FG19914" s="199"/>
      <c r="FH19914" s="199"/>
      <c r="FI19914" s="199"/>
      <c r="FJ19914" s="199"/>
      <c r="FK19914" s="199"/>
      <c r="FL19914" s="199"/>
      <c r="FM19914" s="199"/>
      <c r="FN19914" s="199"/>
      <c r="FO19914" s="199"/>
      <c r="FP19914" s="199"/>
      <c r="FQ19914" s="199"/>
      <c r="FR19914" s="199"/>
      <c r="FS19914" s="199"/>
      <c r="FT19914" s="199"/>
      <c r="FU19914" s="199"/>
      <c r="FV19914" s="199"/>
      <c r="FW19914" s="199"/>
      <c r="FX19914" s="199"/>
      <c r="FY19914" s="199"/>
      <c r="FZ19914" s="199"/>
      <c r="GA19914" s="199"/>
      <c r="GB19914" s="199"/>
      <c r="GC19914" s="19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6640625" hidden="1"/>
  </cols>
  <sheetData>
    <row r="1" spans="1:9">
      <c r="A1" s="278"/>
      <c r="B1" s="278"/>
      <c r="C1" s="278"/>
      <c r="D1" s="3"/>
      <c r="E1" s="3"/>
      <c r="F1" s="3"/>
      <c r="G1" s="3"/>
    </row>
    <row r="2" spans="1:9">
      <c r="A2" s="1256" t="s">
        <v>292</v>
      </c>
      <c r="B2" s="1256"/>
      <c r="C2" s="1222"/>
      <c r="D2" s="1222"/>
      <c r="E2" s="1222"/>
      <c r="F2" s="1222"/>
      <c r="G2" s="1222"/>
    </row>
    <row r="3" spans="1:9" s="121" customFormat="1">
      <c r="A3" s="1256" t="s">
        <v>293</v>
      </c>
      <c r="B3" s="1256"/>
      <c r="C3" s="1222"/>
      <c r="D3" s="1222"/>
      <c r="E3" s="1222"/>
      <c r="F3" s="1222"/>
      <c r="G3" s="1222"/>
      <c r="I3" t="s">
        <v>294</v>
      </c>
    </row>
    <row r="4" spans="1:9">
      <c r="A4" s="278"/>
      <c r="B4" s="278"/>
      <c r="C4" s="278"/>
      <c r="D4" s="3"/>
      <c r="E4" s="3"/>
      <c r="F4" s="3"/>
      <c r="G4" s="3"/>
      <c r="I4" s="3" t="s">
        <v>295</v>
      </c>
    </row>
    <row r="5" spans="1:9">
      <c r="A5" s="1258" t="s">
        <v>296</v>
      </c>
      <c r="B5" s="1258"/>
      <c r="C5" s="1222"/>
      <c r="D5" s="1222"/>
      <c r="E5" s="1222"/>
      <c r="F5" s="1222"/>
      <c r="G5" s="1222"/>
      <c r="I5" s="3" t="s">
        <v>297</v>
      </c>
    </row>
    <row r="6" spans="1:9">
      <c r="A6" s="1258" t="s">
        <v>298</v>
      </c>
      <c r="B6" s="1258"/>
      <c r="C6" s="1222"/>
      <c r="D6" s="1222"/>
      <c r="E6" s="1222"/>
      <c r="F6" s="1222"/>
      <c r="G6" s="1222"/>
      <c r="I6" t="s">
        <v>299</v>
      </c>
    </row>
    <row r="7" spans="1:9" ht="11.85" customHeight="1">
      <c r="A7" s="278"/>
      <c r="B7" s="278"/>
      <c r="C7" s="278"/>
      <c r="D7" s="3"/>
      <c r="E7" s="3"/>
      <c r="F7" s="3"/>
      <c r="G7" s="3"/>
    </row>
    <row r="8" spans="1:9">
      <c r="A8" s="1256" t="s">
        <v>300</v>
      </c>
      <c r="B8" s="1256"/>
      <c r="C8" s="1257"/>
      <c r="D8" s="1257"/>
      <c r="E8" s="1257"/>
      <c r="F8" s="1257"/>
      <c r="G8" s="1257"/>
    </row>
    <row r="9" spans="1:9">
      <c r="A9" s="1256" t="s">
        <v>301</v>
      </c>
      <c r="B9" s="1256"/>
      <c r="C9" s="1257"/>
      <c r="D9" s="1257"/>
      <c r="E9" s="1257"/>
      <c r="F9" s="1257"/>
      <c r="G9" s="1257"/>
    </row>
    <row r="10" spans="1:9">
      <c r="A10" s="122"/>
      <c r="B10" s="122"/>
      <c r="C10" s="120"/>
      <c r="D10" s="120"/>
      <c r="E10" s="120"/>
      <c r="F10" s="120"/>
      <c r="G10" s="3"/>
    </row>
    <row r="11" spans="1:9">
      <c r="A11" s="1241" t="s">
        <v>302</v>
      </c>
      <c r="B11" s="1241"/>
      <c r="C11" s="1241"/>
      <c r="D11" s="1241"/>
      <c r="E11" s="1241"/>
      <c r="F11" s="1241"/>
      <c r="G11" s="1241"/>
    </row>
    <row r="12" spans="1:9">
      <c r="A12" s="120"/>
      <c r="B12" s="120"/>
      <c r="C12" s="278"/>
      <c r="D12" s="3"/>
      <c r="E12" s="2"/>
      <c r="F12" s="3"/>
      <c r="G12" s="3"/>
    </row>
    <row r="13" spans="1:9" ht="13.2" customHeight="1">
      <c r="A13" s="278"/>
      <c r="B13" s="278"/>
      <c r="C13" s="120"/>
      <c r="D13" s="1243" t="s">
        <v>303</v>
      </c>
      <c r="E13" s="1243"/>
      <c r="F13" s="1243"/>
      <c r="G13" s="3"/>
    </row>
    <row r="14" spans="1:9">
      <c r="A14" s="278"/>
      <c r="B14" s="278"/>
      <c r="C14" s="120"/>
      <c r="D14" s="1243"/>
      <c r="E14" s="1243"/>
      <c r="F14" s="1243"/>
      <c r="G14" s="3"/>
    </row>
    <row r="15" spans="1:9">
      <c r="A15" s="123"/>
      <c r="B15" s="123"/>
      <c r="C15" s="123"/>
      <c r="D15" s="1240" t="s">
        <v>304</v>
      </c>
      <c r="E15" s="1240"/>
      <c r="F15" s="1240"/>
      <c r="G15" s="3"/>
    </row>
    <row r="16" spans="1:9">
      <c r="A16" s="123"/>
      <c r="B16" s="123"/>
      <c r="C16" s="123"/>
      <c r="D16" s="143"/>
      <c r="E16" s="3"/>
      <c r="F16" s="3"/>
      <c r="G16" s="3"/>
    </row>
    <row r="17" spans="1:6" ht="14.4">
      <c r="A17" s="124"/>
      <c r="B17" s="361" t="s">
        <v>294</v>
      </c>
      <c r="C17" s="123"/>
      <c r="D17" s="1220" t="s">
        <v>305</v>
      </c>
      <c r="E17" s="1220"/>
      <c r="F17" s="1220"/>
    </row>
    <row r="18" spans="1:6">
      <c r="A18" s="123"/>
      <c r="B18" s="123"/>
      <c r="C18" s="123"/>
      <c r="D18" s="1220"/>
      <c r="E18" s="1220"/>
      <c r="F18" s="1220"/>
    </row>
    <row r="19" spans="1:6">
      <c r="A19" s="123"/>
      <c r="B19" s="123"/>
      <c r="C19" s="123"/>
      <c r="D19" s="1220"/>
      <c r="E19" s="1220"/>
      <c r="F19" s="1220"/>
    </row>
    <row r="20" spans="1:6">
      <c r="A20" s="123"/>
      <c r="B20" s="123"/>
      <c r="C20" s="123"/>
      <c r="D20" s="3"/>
      <c r="E20" s="3"/>
      <c r="F20" s="3"/>
    </row>
    <row r="21" spans="1:6" ht="14.4">
      <c r="A21" s="124"/>
      <c r="B21" s="361" t="s">
        <v>294</v>
      </c>
      <c r="C21" s="278"/>
      <c r="D21" s="1238" t="s">
        <v>306</v>
      </c>
      <c r="E21" s="1238"/>
      <c r="F21" s="1238"/>
    </row>
    <row r="22" spans="1:6" ht="14.4">
      <c r="A22" s="124"/>
      <c r="B22" s="124"/>
      <c r="C22" s="278"/>
      <c r="D22" s="85"/>
      <c r="E22" s="3"/>
      <c r="F22" s="3"/>
    </row>
    <row r="23" spans="1:6" ht="14.4">
      <c r="A23" s="124"/>
      <c r="B23" s="361" t="s">
        <v>294</v>
      </c>
      <c r="C23" s="278"/>
      <c r="D23" s="1220" t="s">
        <v>307</v>
      </c>
      <c r="E23" s="1220"/>
      <c r="F23" s="1220"/>
    </row>
    <row r="24" spans="1:6" ht="14.4">
      <c r="A24" s="124"/>
      <c r="B24" s="124"/>
      <c r="C24" s="278"/>
      <c r="D24" s="1220"/>
      <c r="E24" s="1220"/>
      <c r="F24" s="1220"/>
    </row>
    <row r="25" spans="1:6">
      <c r="A25" s="278"/>
      <c r="B25" s="278"/>
      <c r="C25" s="278"/>
      <c r="D25" s="3"/>
      <c r="E25" s="3"/>
      <c r="F25" s="3"/>
    </row>
    <row r="26" spans="1:6" ht="14.4">
      <c r="A26" s="124"/>
      <c r="B26" s="361" t="s">
        <v>294</v>
      </c>
      <c r="C26" s="278"/>
      <c r="D26" s="1220" t="s">
        <v>308</v>
      </c>
      <c r="E26" s="1220"/>
      <c r="F26" s="1220"/>
    </row>
    <row r="27" spans="1:6">
      <c r="A27" s="278"/>
      <c r="B27" s="278"/>
      <c r="C27" s="278"/>
      <c r="D27" s="1220"/>
      <c r="E27" s="1220"/>
      <c r="F27" s="1220"/>
    </row>
    <row r="28" spans="1:6">
      <c r="A28" s="278"/>
      <c r="B28" s="278"/>
      <c r="C28" s="278"/>
      <c r="D28" s="1220"/>
      <c r="E28" s="1220"/>
      <c r="F28" s="1220"/>
    </row>
    <row r="29" spans="1:6">
      <c r="A29" s="278"/>
      <c r="B29" s="278"/>
      <c r="C29" s="278"/>
      <c r="D29" s="1220"/>
      <c r="E29" s="1220"/>
      <c r="F29" s="1220"/>
    </row>
    <row r="30" spans="1:6">
      <c r="A30" s="278"/>
      <c r="B30" s="278"/>
      <c r="C30" s="278"/>
      <c r="D30" s="1220"/>
      <c r="E30" s="1220"/>
      <c r="F30" s="1220"/>
    </row>
    <row r="31" spans="1:6">
      <c r="A31" s="278"/>
      <c r="B31" s="278"/>
      <c r="C31" s="278"/>
      <c r="D31" s="145"/>
      <c r="E31" s="3"/>
      <c r="F31" s="3"/>
    </row>
    <row r="32" spans="1:6">
      <c r="A32" s="278"/>
      <c r="B32" s="361" t="s">
        <v>294</v>
      </c>
      <c r="C32" s="278"/>
      <c r="D32" s="1220" t="s">
        <v>309</v>
      </c>
      <c r="E32" s="1220"/>
      <c r="F32" s="1220"/>
    </row>
    <row r="33" spans="1:6">
      <c r="A33" s="278"/>
      <c r="B33" s="278"/>
      <c r="C33" s="278"/>
      <c r="D33" s="1220"/>
      <c r="E33" s="1220"/>
      <c r="F33" s="1220"/>
    </row>
    <row r="34" spans="1:6" ht="14.4">
      <c r="A34" s="124"/>
      <c r="B34" s="124"/>
      <c r="C34" s="278"/>
      <c r="D34" s="145"/>
      <c r="E34" s="3"/>
      <c r="F34" s="3"/>
    </row>
    <row r="35" spans="1:6" ht="14.7" customHeight="1">
      <c r="A35" s="124"/>
      <c r="B35" s="361" t="s">
        <v>294</v>
      </c>
      <c r="C35" s="278"/>
      <c r="D35" s="1220" t="s">
        <v>310</v>
      </c>
      <c r="E35" s="1220"/>
      <c r="F35" s="1220"/>
    </row>
    <row r="36" spans="1:6" ht="14.4">
      <c r="A36" s="124"/>
      <c r="B36" s="124"/>
      <c r="C36" s="278"/>
      <c r="D36" s="1220"/>
      <c r="E36" s="1220"/>
      <c r="F36" s="1220"/>
    </row>
    <row r="37" spans="1:6" ht="14.4">
      <c r="A37" s="124"/>
      <c r="B37" s="124"/>
      <c r="C37" s="278"/>
      <c r="D37" s="1220"/>
      <c r="E37" s="1220"/>
      <c r="F37" s="1220"/>
    </row>
    <row r="38" spans="1:6" ht="14.4">
      <c r="A38" s="124"/>
      <c r="B38" s="124"/>
      <c r="C38" s="278"/>
      <c r="D38"/>
      <c r="E38" s="3"/>
      <c r="F38" s="3"/>
    </row>
    <row r="39" spans="1:6" ht="14.4">
      <c r="A39" s="124"/>
      <c r="B39" s="361" t="s">
        <v>294</v>
      </c>
      <c r="C39" s="278"/>
      <c r="D39" s="1220" t="s">
        <v>311</v>
      </c>
      <c r="E39" s="1220"/>
      <c r="F39" s="1220"/>
    </row>
    <row r="40" spans="1:6" ht="14.4">
      <c r="A40" s="124"/>
      <c r="B40" s="124"/>
      <c r="C40" s="278"/>
      <c r="D40" s="1220"/>
      <c r="E40" s="1220"/>
      <c r="F40" s="1220"/>
    </row>
    <row r="41" spans="1:6" ht="14.4">
      <c r="A41" s="124"/>
      <c r="B41" s="124"/>
      <c r="C41" s="278"/>
      <c r="D41" s="1220"/>
      <c r="E41" s="1220"/>
      <c r="F41" s="1220"/>
    </row>
    <row r="42" spans="1:6" ht="14.4">
      <c r="A42" s="124"/>
      <c r="B42" s="124"/>
      <c r="C42" s="278"/>
      <c r="D42" s="1220"/>
      <c r="E42" s="1220"/>
      <c r="F42" s="1220"/>
    </row>
    <row r="43" spans="1:6" ht="14.4">
      <c r="A43" s="124"/>
      <c r="B43" s="124"/>
      <c r="C43" s="278"/>
      <c r="D43" s="1220"/>
      <c r="E43" s="1220"/>
      <c r="F43" s="1220"/>
    </row>
    <row r="44" spans="1:6" ht="14.4">
      <c r="A44" s="124"/>
      <c r="B44" s="124"/>
      <c r="C44" s="278"/>
      <c r="D44" s="367"/>
      <c r="E44" s="367"/>
      <c r="F44" s="367"/>
    </row>
    <row r="45" spans="1:6" ht="14.4">
      <c r="A45" s="124"/>
      <c r="B45" s="361" t="s">
        <v>294</v>
      </c>
      <c r="C45" s="278"/>
      <c r="D45" s="1220" t="s">
        <v>312</v>
      </c>
      <c r="E45" s="1220"/>
      <c r="F45" s="1220"/>
    </row>
    <row r="46" spans="1:6" ht="14.4">
      <c r="A46" s="124"/>
      <c r="B46" s="124"/>
      <c r="C46" s="278"/>
      <c r="D46" s="1220"/>
      <c r="E46" s="1220"/>
      <c r="F46" s="1220"/>
    </row>
    <row r="47" spans="1:6" ht="14.4">
      <c r="A47" s="124"/>
      <c r="B47" s="124"/>
      <c r="C47" s="278"/>
      <c r="D47" s="1220"/>
      <c r="E47" s="1220"/>
      <c r="F47" s="1220"/>
    </row>
    <row r="48" spans="1:6" ht="23.25" customHeight="1">
      <c r="A48" s="124"/>
      <c r="B48" s="124"/>
      <c r="C48" s="278"/>
      <c r="D48" s="1220"/>
      <c r="E48" s="1220"/>
      <c r="F48" s="1220"/>
    </row>
    <row r="49" spans="1:7" ht="14.4">
      <c r="A49" s="124"/>
      <c r="B49" s="124"/>
      <c r="C49" s="278"/>
      <c r="D49" s="85"/>
      <c r="E49" s="3"/>
      <c r="F49" s="3"/>
      <c r="G49" s="3"/>
    </row>
    <row r="50" spans="1:7" ht="14.7" customHeight="1">
      <c r="A50" s="124"/>
      <c r="B50" s="361" t="s">
        <v>294</v>
      </c>
      <c r="C50" s="278"/>
      <c r="D50" s="1220" t="s">
        <v>313</v>
      </c>
      <c r="E50" s="1220"/>
      <c r="F50" s="1220"/>
      <c r="G50" s="3"/>
    </row>
    <row r="51" spans="1:7" ht="14.4">
      <c r="A51" s="124"/>
      <c r="B51" s="124"/>
      <c r="C51" s="278"/>
      <c r="D51" s="1220"/>
      <c r="E51" s="1220"/>
      <c r="F51" s="1220"/>
      <c r="G51" s="3"/>
    </row>
    <row r="52" spans="1:7" ht="14.4">
      <c r="A52" s="124"/>
      <c r="B52" s="124"/>
      <c r="C52" s="278"/>
      <c r="D52" s="1220"/>
      <c r="E52" s="1220"/>
      <c r="F52" s="1220"/>
      <c r="G52" s="3"/>
    </row>
    <row r="53" spans="1:7" ht="14.4">
      <c r="A53" s="124"/>
      <c r="B53" s="124"/>
      <c r="C53" s="278"/>
      <c r="D53" s="3"/>
      <c r="E53" s="3"/>
      <c r="F53" s="3"/>
      <c r="G53" s="3"/>
    </row>
    <row r="54" spans="1:7" ht="14.4">
      <c r="A54" s="124"/>
      <c r="B54" s="361" t="s">
        <v>294</v>
      </c>
      <c r="C54" s="278"/>
      <c r="D54" s="1220" t="s">
        <v>314</v>
      </c>
      <c r="E54" s="1220"/>
      <c r="F54" s="1220"/>
      <c r="G54" s="3"/>
    </row>
    <row r="55" spans="1:7" ht="14.4">
      <c r="A55" s="124"/>
      <c r="B55" s="124"/>
      <c r="C55" s="278"/>
      <c r="D55" s="1220"/>
      <c r="E55" s="1220"/>
      <c r="F55" s="1220"/>
      <c r="G55" s="3"/>
    </row>
    <row r="56" spans="1:7">
      <c r="A56" s="278"/>
      <c r="B56" s="278"/>
      <c r="C56" s="278"/>
      <c r="D56" s="145"/>
      <c r="E56" s="3"/>
      <c r="F56" s="3"/>
      <c r="G56" s="3"/>
    </row>
    <row r="57" spans="1:7" ht="14.4">
      <c r="A57" s="124"/>
      <c r="B57" s="361" t="s">
        <v>294</v>
      </c>
      <c r="C57" s="278"/>
      <c r="D57" s="1220" t="s">
        <v>315</v>
      </c>
      <c r="E57" s="1220"/>
      <c r="F57" s="1220"/>
      <c r="G57" s="3"/>
    </row>
    <row r="58" spans="1:7">
      <c r="A58" s="278"/>
      <c r="B58" s="278"/>
      <c r="C58" s="278"/>
      <c r="D58" s="1220"/>
      <c r="E58" s="1220"/>
      <c r="F58" s="1220"/>
      <c r="G58" s="3"/>
    </row>
    <row r="59" spans="1:7">
      <c r="A59" s="278"/>
      <c r="B59" s="278"/>
      <c r="C59" s="278"/>
      <c r="D59" s="1220"/>
      <c r="E59" s="1220"/>
      <c r="F59" s="1220"/>
      <c r="G59" s="3"/>
    </row>
    <row r="60" spans="1:7">
      <c r="A60" s="278"/>
      <c r="B60" s="278"/>
      <c r="C60" s="278"/>
      <c r="D60" s="3"/>
      <c r="E60" s="3"/>
      <c r="F60" s="3"/>
      <c r="G60" s="3"/>
    </row>
    <row r="61" spans="1:7" ht="14.4">
      <c r="A61" s="124"/>
      <c r="B61" s="361" t="s">
        <v>294</v>
      </c>
      <c r="C61" s="278"/>
      <c r="D61" s="1220" t="s">
        <v>316</v>
      </c>
      <c r="E61" s="1220"/>
      <c r="F61" s="1220"/>
      <c r="G61" s="3"/>
    </row>
    <row r="62" spans="1:7">
      <c r="A62" s="278"/>
      <c r="B62" s="278"/>
      <c r="C62" s="278"/>
      <c r="D62" s="1220"/>
      <c r="E62" s="1220"/>
      <c r="F62" s="1220"/>
      <c r="G62" s="3"/>
    </row>
    <row r="63" spans="1:7">
      <c r="A63" s="278"/>
      <c r="B63" s="278"/>
      <c r="C63" s="278"/>
      <c r="D63" s="3"/>
      <c r="E63" s="3"/>
      <c r="F63" s="3"/>
      <c r="G63" s="3"/>
    </row>
    <row r="64" spans="1:7" ht="14.4">
      <c r="A64" s="124"/>
      <c r="B64" s="361" t="s">
        <v>294</v>
      </c>
      <c r="C64" s="278"/>
      <c r="D64" s="1220" t="s">
        <v>317</v>
      </c>
      <c r="E64" s="1220"/>
      <c r="F64" s="1220"/>
      <c r="G64" s="3"/>
    </row>
    <row r="65" spans="1:7">
      <c r="A65" s="278"/>
      <c r="B65" s="278"/>
      <c r="C65" s="278"/>
      <c r="D65" s="1220"/>
      <c r="E65" s="1220"/>
      <c r="F65" s="1220"/>
      <c r="G65" s="3"/>
    </row>
    <row r="66" spans="1:7">
      <c r="A66" s="278"/>
      <c r="B66" s="278"/>
      <c r="C66" s="278"/>
      <c r="D66" s="1220"/>
      <c r="E66" s="1220"/>
      <c r="F66" s="1220"/>
      <c r="G66" s="3"/>
    </row>
    <row r="67" spans="1:7">
      <c r="A67" s="278"/>
      <c r="B67" s="278"/>
      <c r="C67" s="278"/>
      <c r="D67"/>
      <c r="E67" s="3"/>
      <c r="F67" s="3"/>
      <c r="G67" s="3"/>
    </row>
    <row r="68" spans="1:7" ht="14.4">
      <c r="A68" s="124"/>
      <c r="B68" s="361" t="s">
        <v>294</v>
      </c>
      <c r="C68" s="278"/>
      <c r="D68" s="1220" t="s">
        <v>318</v>
      </c>
      <c r="E68" s="1220"/>
      <c r="F68" s="1220"/>
      <c r="G68" s="3"/>
    </row>
    <row r="69" spans="1:7">
      <c r="A69" s="278"/>
      <c r="B69" s="278"/>
      <c r="C69" s="278"/>
      <c r="D69" s="1220"/>
      <c r="E69" s="1220"/>
      <c r="F69" s="1220"/>
      <c r="G69" s="3"/>
    </row>
    <row r="70" spans="1:7" ht="14.4">
      <c r="A70" s="124"/>
      <c r="B70" s="124"/>
      <c r="C70" s="278"/>
      <c r="D70" s="85"/>
      <c r="E70" s="3"/>
      <c r="F70" s="3"/>
      <c r="G70" s="3"/>
    </row>
    <row r="71" spans="1:7">
      <c r="A71" s="1241" t="s">
        <v>319</v>
      </c>
      <c r="B71" s="1241"/>
      <c r="C71" s="1241"/>
      <c r="D71" s="1241"/>
      <c r="E71" s="1241"/>
      <c r="F71" s="1241"/>
      <c r="G71" s="1241"/>
    </row>
    <row r="72" spans="1:7">
      <c r="A72" s="278"/>
      <c r="B72" s="278"/>
      <c r="C72" s="278"/>
      <c r="D72" s="3"/>
      <c r="E72" s="3"/>
      <c r="F72" s="3"/>
      <c r="G72" s="3"/>
    </row>
    <row r="73" spans="1:7">
      <c r="A73" s="278"/>
      <c r="B73" s="278"/>
      <c r="C73" s="411"/>
      <c r="D73" s="1250" t="s">
        <v>320</v>
      </c>
      <c r="E73" s="1250"/>
      <c r="F73" s="1250"/>
      <c r="G73" s="3"/>
    </row>
    <row r="74" spans="1:7">
      <c r="A74" s="85"/>
      <c r="B74" s="85"/>
      <c r="C74" s="278"/>
      <c r="D74" s="1220" t="s">
        <v>321</v>
      </c>
      <c r="E74" s="1220"/>
      <c r="F74" s="1220"/>
      <c r="G74" s="3"/>
    </row>
    <row r="75" spans="1:7">
      <c r="A75" s="85"/>
      <c r="B75" s="85"/>
      <c r="C75" s="278"/>
      <c r="D75" s="3"/>
      <c r="E75" s="3"/>
      <c r="F75" s="3"/>
      <c r="G75" s="3"/>
    </row>
    <row r="76" spans="1:7" ht="14.4">
      <c r="A76" s="124"/>
      <c r="B76" s="361" t="s">
        <v>294</v>
      </c>
      <c r="C76" s="278"/>
      <c r="D76" s="1220" t="s">
        <v>322</v>
      </c>
      <c r="E76" s="1220"/>
      <c r="F76" s="1220"/>
      <c r="G76" s="3"/>
    </row>
    <row r="77" spans="1:7" ht="14.4">
      <c r="A77" s="124"/>
      <c r="B77" s="124"/>
      <c r="C77" s="278"/>
      <c r="D77" s="1220"/>
      <c r="E77" s="1220"/>
      <c r="F77" s="1220"/>
      <c r="G77" s="3"/>
    </row>
    <row r="78" spans="1:7" ht="14.4">
      <c r="A78" s="124"/>
      <c r="B78" s="124"/>
      <c r="C78" s="278"/>
      <c r="D78" s="1220"/>
      <c r="E78" s="1220"/>
      <c r="F78" s="1220"/>
      <c r="G78" s="3"/>
    </row>
    <row r="79" spans="1:7" ht="14.4">
      <c r="A79" s="124"/>
      <c r="B79" s="124"/>
      <c r="C79" s="278"/>
      <c r="D79" s="1220"/>
      <c r="E79" s="1220"/>
      <c r="F79" s="1220"/>
      <c r="G79" s="3"/>
    </row>
    <row r="80" spans="1:7" ht="14.4">
      <c r="A80" s="124"/>
      <c r="B80" s="124"/>
      <c r="C80" s="278"/>
      <c r="D80" s="1220"/>
      <c r="E80" s="1220"/>
      <c r="F80" s="1220"/>
      <c r="G80" s="3"/>
    </row>
    <row r="81" spans="1:6" ht="14.4">
      <c r="A81" s="124"/>
      <c r="B81" s="124"/>
      <c r="C81" s="278"/>
      <c r="D81" s="1220"/>
      <c r="E81" s="1220"/>
      <c r="F81" s="1220"/>
    </row>
    <row r="82" spans="1:6" ht="14.4">
      <c r="A82" s="124"/>
      <c r="B82" s="124"/>
      <c r="C82" s="278"/>
      <c r="D82" s="367"/>
      <c r="E82" s="367"/>
      <c r="F82" s="367"/>
    </row>
    <row r="83" spans="1:6" ht="14.7" customHeight="1">
      <c r="A83" s="124"/>
      <c r="B83" s="361" t="s">
        <v>294</v>
      </c>
      <c r="C83" s="278"/>
      <c r="D83" s="1223" t="s">
        <v>323</v>
      </c>
      <c r="E83" s="1223"/>
      <c r="F83" s="1223"/>
    </row>
    <row r="84" spans="1:6" ht="14.4">
      <c r="A84" s="124"/>
      <c r="B84" s="124"/>
      <c r="C84" s="278"/>
      <c r="D84" s="1223"/>
      <c r="E84" s="1223"/>
      <c r="F84" s="1223"/>
    </row>
    <row r="85" spans="1:6" ht="14.4">
      <c r="A85" s="124"/>
      <c r="B85" s="124"/>
      <c r="C85" s="278"/>
      <c r="D85" s="1223"/>
      <c r="E85" s="1223"/>
      <c r="F85" s="1223"/>
    </row>
    <row r="86" spans="1:6" ht="14.4">
      <c r="A86" s="124"/>
      <c r="B86" s="124"/>
      <c r="C86" s="278"/>
      <c r="D86" s="1223"/>
      <c r="E86" s="1223"/>
      <c r="F86" s="1223"/>
    </row>
    <row r="87" spans="1:6" ht="14.4">
      <c r="A87" s="124"/>
      <c r="B87" s="124"/>
      <c r="C87" s="278"/>
      <c r="D87" s="1223"/>
      <c r="E87" s="1223"/>
      <c r="F87" s="1223"/>
    </row>
    <row r="88" spans="1:6" ht="14.4">
      <c r="A88" s="124"/>
      <c r="B88" s="124"/>
      <c r="C88" s="278"/>
      <c r="D88" s="1223"/>
      <c r="E88" s="1223"/>
      <c r="F88" s="1223"/>
    </row>
    <row r="89" spans="1:6" ht="14.4">
      <c r="A89" s="124"/>
      <c r="B89" s="124"/>
      <c r="C89" s="278"/>
      <c r="D89" s="1223"/>
      <c r="E89" s="1223"/>
      <c r="F89" s="1223"/>
    </row>
    <row r="90" spans="1:6" ht="14.4">
      <c r="A90" s="124"/>
      <c r="B90" s="124"/>
      <c r="C90" s="278"/>
      <c r="D90" s="1223"/>
      <c r="E90" s="1223"/>
      <c r="F90" s="1223"/>
    </row>
    <row r="91" spans="1:6" ht="14.4">
      <c r="A91" s="124"/>
      <c r="B91" s="124"/>
      <c r="C91" s="278"/>
      <c r="D91" s="1223"/>
      <c r="E91" s="1223"/>
      <c r="F91" s="1223"/>
    </row>
    <row r="92" spans="1:6" ht="14.4">
      <c r="A92" s="124"/>
      <c r="B92" s="124"/>
      <c r="C92" s="278"/>
      <c r="D92" s="1223"/>
      <c r="E92" s="1223"/>
      <c r="F92" s="1223"/>
    </row>
    <row r="93" spans="1:6" ht="14.4">
      <c r="A93" s="124"/>
      <c r="B93" s="124"/>
      <c r="C93" s="278"/>
      <c r="D93" s="1223"/>
      <c r="E93" s="1223"/>
      <c r="F93" s="1223"/>
    </row>
    <row r="94" spans="1:6" ht="14.4">
      <c r="A94" s="124"/>
      <c r="B94" s="124"/>
      <c r="C94" s="278"/>
      <c r="D94" s="1223"/>
      <c r="E94" s="1223"/>
      <c r="F94" s="1223"/>
    </row>
    <row r="95" spans="1:6" ht="14.4">
      <c r="A95" s="124"/>
      <c r="B95" s="124"/>
      <c r="C95" s="278"/>
      <c r="D95" s="1223"/>
      <c r="E95" s="1223"/>
      <c r="F95" s="1223"/>
    </row>
    <row r="96" spans="1:6" ht="14.4">
      <c r="A96" s="124"/>
      <c r="B96" s="124"/>
      <c r="C96" s="278"/>
      <c r="D96" s="1223"/>
      <c r="E96" s="1223"/>
      <c r="F96" s="1223"/>
    </row>
    <row r="97" spans="1:11" ht="14.4">
      <c r="A97" s="124"/>
      <c r="B97" s="361" t="s">
        <v>294</v>
      </c>
      <c r="C97" s="278"/>
      <c r="D97" s="1220" t="s">
        <v>324</v>
      </c>
      <c r="E97" s="1220"/>
      <c r="F97" s="1220"/>
      <c r="G97" s="3"/>
    </row>
    <row r="98" spans="1:11" ht="14.4">
      <c r="A98" s="124"/>
      <c r="B98" s="124"/>
      <c r="C98" s="278"/>
      <c r="D98" s="1220"/>
      <c r="E98" s="1220"/>
      <c r="F98" s="1220"/>
      <c r="G98" s="3"/>
    </row>
    <row r="99" spans="1:11" ht="14.4">
      <c r="A99" s="124"/>
      <c r="B99" s="124"/>
      <c r="C99" s="278"/>
      <c r="D99" s="1220"/>
      <c r="E99" s="1220"/>
      <c r="F99" s="1220"/>
      <c r="G99" s="3"/>
    </row>
    <row r="100" spans="1:11" ht="14.4">
      <c r="A100" s="124"/>
      <c r="B100" s="124"/>
      <c r="C100" s="278"/>
      <c r="D100" s="1220"/>
      <c r="E100" s="1220"/>
      <c r="F100" s="1220"/>
      <c r="G100" s="3"/>
    </row>
    <row r="101" spans="1:11" ht="14.4">
      <c r="A101" s="124"/>
      <c r="B101" s="124"/>
      <c r="C101" s="278"/>
      <c r="D101" s="1220"/>
      <c r="E101" s="1220"/>
      <c r="F101" s="1220"/>
      <c r="G101" s="3"/>
    </row>
    <row r="102" spans="1:11" ht="14.4">
      <c r="A102" s="124"/>
      <c r="B102" s="124"/>
      <c r="C102" s="278"/>
      <c r="D102" s="1220"/>
      <c r="E102" s="1220"/>
      <c r="F102" s="1220"/>
      <c r="G102" s="3"/>
    </row>
    <row r="103" spans="1:11" ht="14.4">
      <c r="A103" s="124"/>
      <c r="B103" s="124"/>
      <c r="C103" s="278"/>
      <c r="D103" s="1220"/>
      <c r="E103" s="1220"/>
      <c r="F103" s="1220"/>
      <c r="G103" s="3"/>
    </row>
    <row r="104" spans="1:11" ht="14.4">
      <c r="A104" s="124"/>
      <c r="B104" s="124"/>
      <c r="C104" s="278"/>
      <c r="D104" s="1220"/>
      <c r="E104" s="1220"/>
      <c r="F104" s="1220"/>
      <c r="G104" s="3"/>
    </row>
    <row r="105" spans="1:11" ht="14.4">
      <c r="A105" s="124"/>
      <c r="B105" s="124"/>
      <c r="C105" s="278"/>
      <c r="D105" s="367"/>
      <c r="E105" s="367"/>
      <c r="F105" s="367"/>
      <c r="G105" s="3"/>
    </row>
    <row r="106" spans="1:11" ht="14.4">
      <c r="A106" s="124"/>
      <c r="B106" s="361" t="s">
        <v>294</v>
      </c>
      <c r="C106" s="908"/>
      <c r="D106" s="1259" t="s">
        <v>325</v>
      </c>
      <c r="E106" s="1259"/>
      <c r="F106" s="1259"/>
      <c r="G106" s="907"/>
      <c r="H106" s="126"/>
      <c r="I106" s="126"/>
      <c r="J106" s="126"/>
      <c r="K106" s="126"/>
    </row>
    <row r="107" spans="1:11" ht="14.4">
      <c r="A107" s="124"/>
      <c r="B107" s="124"/>
      <c r="C107" s="908"/>
      <c r="D107" s="1259"/>
      <c r="E107" s="1259"/>
      <c r="F107" s="1259"/>
      <c r="G107" s="907"/>
      <c r="H107" s="126"/>
      <c r="I107" s="126"/>
      <c r="J107" s="126"/>
      <c r="K107" s="126"/>
    </row>
    <row r="108" spans="1:11" ht="14.4">
      <c r="A108" s="124"/>
      <c r="B108" s="124"/>
      <c r="C108" s="908"/>
      <c r="D108" s="1259"/>
      <c r="E108" s="1259"/>
      <c r="F108" s="1259"/>
      <c r="G108" s="907"/>
      <c r="H108" s="126"/>
      <c r="I108" s="126"/>
      <c r="J108" s="126"/>
      <c r="K108" s="126"/>
    </row>
    <row r="109" spans="1:11" ht="14.4">
      <c r="A109" s="124"/>
      <c r="B109" s="124"/>
      <c r="C109" s="908"/>
      <c r="D109" s="1259"/>
      <c r="E109" s="1259"/>
      <c r="F109" s="1259"/>
      <c r="G109" s="907"/>
      <c r="H109" s="126"/>
      <c r="I109" s="126"/>
      <c r="J109" s="126"/>
      <c r="K109" s="126"/>
    </row>
    <row r="110" spans="1:11" ht="14.4">
      <c r="A110" s="124"/>
      <c r="B110" s="124"/>
      <c r="C110" s="908"/>
      <c r="D110" s="1259"/>
      <c r="E110" s="1259"/>
      <c r="F110" s="1259"/>
      <c r="G110" s="907"/>
      <c r="H110" s="126"/>
      <c r="I110" s="126"/>
      <c r="J110" s="126"/>
      <c r="K110" s="126"/>
    </row>
    <row r="111" spans="1:11">
      <c r="A111" s="278"/>
      <c r="B111" s="278"/>
      <c r="C111"/>
      <c r="D111" s="1259"/>
      <c r="E111" s="1259"/>
      <c r="F111" s="1259"/>
      <c r="G111"/>
    </row>
    <row r="112" spans="1:11">
      <c r="A112" s="278"/>
      <c r="B112" s="278"/>
      <c r="C112"/>
      <c r="D112" s="1259"/>
      <c r="E112" s="1259"/>
      <c r="F112" s="1259"/>
      <c r="G112"/>
    </row>
    <row r="113" spans="1:7">
      <c r="A113" s="278"/>
      <c r="B113" s="278"/>
      <c r="C113"/>
      <c r="D113" s="228"/>
      <c r="E113"/>
      <c r="F113"/>
      <c r="G113"/>
    </row>
    <row r="114" spans="1:7" ht="14.4">
      <c r="A114" s="124"/>
      <c r="B114" s="361" t="s">
        <v>294</v>
      </c>
      <c r="C114"/>
      <c r="D114" s="1260" t="s">
        <v>326</v>
      </c>
      <c r="E114" s="1260"/>
      <c r="F114" s="1260"/>
      <c r="G114"/>
    </row>
    <row r="115" spans="1:7" ht="14.4">
      <c r="A115" s="124"/>
      <c r="B115" s="124"/>
      <c r="C115"/>
      <c r="D115" s="1260"/>
      <c r="E115" s="1260"/>
      <c r="F115" s="1260"/>
      <c r="G115"/>
    </row>
    <row r="116" spans="1:7">
      <c r="A116" s="278"/>
      <c r="B116" s="278"/>
      <c r="C116" s="278"/>
      <c r="D116" s="3"/>
      <c r="E116" s="3"/>
      <c r="F116" s="3"/>
      <c r="G116" s="3"/>
    </row>
    <row r="117" spans="1:7" ht="14.4">
      <c r="A117" s="124"/>
      <c r="B117" s="361" t="s">
        <v>294</v>
      </c>
      <c r="C117" s="278"/>
      <c r="D117" s="1220" t="s">
        <v>327</v>
      </c>
      <c r="E117" s="1220"/>
      <c r="F117" s="1220"/>
      <c r="G117" s="3"/>
    </row>
    <row r="118" spans="1:7">
      <c r="A118" s="278"/>
      <c r="B118" s="278"/>
      <c r="C118" s="278"/>
      <c r="D118" s="1220"/>
      <c r="E118" s="1220"/>
      <c r="F118" s="1220"/>
      <c r="G118" s="3"/>
    </row>
    <row r="119" spans="1:7">
      <c r="A119" s="278"/>
      <c r="B119" s="278"/>
      <c r="C119" s="278"/>
      <c r="D119" s="1220"/>
      <c r="E119" s="1220"/>
      <c r="F119" s="1220"/>
      <c r="G119" s="3"/>
    </row>
    <row r="120" spans="1:7">
      <c r="A120" s="278"/>
      <c r="B120" s="278"/>
      <c r="C120" s="278"/>
      <c r="D120" s="1220"/>
      <c r="E120" s="1220"/>
      <c r="F120" s="1220"/>
      <c r="G120" s="3"/>
    </row>
    <row r="121" spans="1:7">
      <c r="A121" s="278"/>
      <c r="B121" s="278"/>
      <c r="C121" s="278"/>
      <c r="D121" s="1220"/>
      <c r="E121" s="1220"/>
      <c r="F121" s="1220"/>
      <c r="G121" s="3"/>
    </row>
    <row r="122" spans="1:7">
      <c r="A122" s="278"/>
      <c r="B122" s="278"/>
      <c r="C122" s="278"/>
      <c r="D122" s="3"/>
      <c r="E122" s="3"/>
      <c r="F122" s="3"/>
      <c r="G122" s="3"/>
    </row>
    <row r="123" spans="1:7" ht="14.4">
      <c r="A123" s="124"/>
      <c r="B123" s="361" t="s">
        <v>294</v>
      </c>
      <c r="C123" s="278"/>
      <c r="D123" s="1220" t="s">
        <v>328</v>
      </c>
      <c r="E123" s="1220"/>
      <c r="F123" s="1220"/>
      <c r="G123" s="3"/>
    </row>
    <row r="124" spans="1:7" s="134" customFormat="1" ht="13.95" customHeight="1">
      <c r="A124" s="1149"/>
      <c r="B124" s="1149"/>
      <c r="C124" s="1149"/>
      <c r="D124" s="1220"/>
      <c r="E124" s="1220"/>
      <c r="F124" s="1220"/>
      <c r="G124" s="451"/>
    </row>
    <row r="125" spans="1:7" ht="13.95" customHeight="1">
      <c r="A125" s="278"/>
      <c r="B125" s="278"/>
      <c r="C125" s="278"/>
      <c r="D125" s="1220"/>
      <c r="E125" s="1220"/>
      <c r="F125" s="1220"/>
      <c r="G125" s="3"/>
    </row>
    <row r="126" spans="1:7" ht="13.95" customHeight="1">
      <c r="A126" s="278"/>
      <c r="B126" s="278"/>
      <c r="C126" s="278"/>
      <c r="D126" s="1220"/>
      <c r="E126" s="1220"/>
      <c r="F126" s="1220"/>
      <c r="G126" s="3"/>
    </row>
    <row r="127" spans="1:7" ht="13.95" customHeight="1">
      <c r="A127" s="278"/>
      <c r="B127" s="278"/>
      <c r="C127" s="278"/>
      <c r="D127" s="1220"/>
      <c r="E127" s="1220"/>
      <c r="F127" s="1220"/>
      <c r="G127" s="3"/>
    </row>
    <row r="128" spans="1:7" ht="13.95" customHeight="1">
      <c r="A128" s="175"/>
      <c r="B128" s="175"/>
      <c r="C128" s="278"/>
      <c r="D128" s="1220"/>
      <c r="E128" s="1220"/>
      <c r="F128" s="1220"/>
      <c r="G128" s="3"/>
    </row>
    <row r="129" spans="2:6" ht="13.95" customHeight="1">
      <c r="B129" s="278"/>
      <c r="C129" s="278"/>
      <c r="D129" s="1220"/>
      <c r="E129" s="1220"/>
      <c r="F129" s="1220"/>
    </row>
    <row r="130" spans="2:6" ht="13.95" customHeight="1">
      <c r="B130" s="278"/>
      <c r="C130" s="278"/>
      <c r="D130" s="1220"/>
      <c r="E130" s="1220"/>
      <c r="F130" s="1220"/>
    </row>
    <row r="131" spans="2:6" ht="13.95" customHeight="1">
      <c r="B131" s="278"/>
      <c r="C131" s="278"/>
      <c r="D131" s="1220"/>
      <c r="E131" s="1220"/>
      <c r="F131" s="1220"/>
    </row>
    <row r="132" spans="2:6" ht="13.95" customHeight="1">
      <c r="B132" s="278"/>
      <c r="C132" s="278"/>
      <c r="D132" s="1220"/>
      <c r="E132" s="1220"/>
      <c r="F132" s="1220"/>
    </row>
    <row r="133" spans="2:6" ht="13.95" customHeight="1">
      <c r="B133" s="278"/>
      <c r="C133" s="278"/>
      <c r="D133" s="1220"/>
      <c r="E133" s="1220"/>
      <c r="F133" s="1220"/>
    </row>
    <row r="134" spans="2:6" ht="13.95" customHeight="1">
      <c r="B134" s="278"/>
      <c r="C134" s="278"/>
      <c r="D134" s="1220"/>
      <c r="E134" s="1220"/>
      <c r="F134" s="1220"/>
    </row>
    <row r="135" spans="2:6" ht="13.95" customHeight="1">
      <c r="B135" s="278"/>
      <c r="C135" s="278"/>
      <c r="D135" s="143"/>
      <c r="E135" s="85"/>
      <c r="F135" s="85"/>
    </row>
    <row r="136" spans="2:6" ht="13.95" customHeight="1">
      <c r="B136" s="361" t="s">
        <v>294</v>
      </c>
      <c r="C136" s="278"/>
      <c r="D136" s="1220" t="s">
        <v>329</v>
      </c>
      <c r="E136" s="1220"/>
      <c r="F136" s="1220"/>
    </row>
    <row r="137" spans="2:6" ht="13.95" customHeight="1">
      <c r="B137" s="278"/>
      <c r="C137" s="278"/>
      <c r="D137" s="1220"/>
      <c r="E137" s="1220"/>
      <c r="F137" s="1220"/>
    </row>
    <row r="138" spans="2:6" ht="13.95" customHeight="1">
      <c r="B138" s="278"/>
      <c r="C138" s="278"/>
      <c r="D138" s="1220"/>
      <c r="E138" s="1220"/>
      <c r="F138" s="1220"/>
    </row>
    <row r="139" spans="2:6" ht="13.95" customHeight="1">
      <c r="B139" s="278"/>
      <c r="C139" s="278"/>
      <c r="D139" s="1220"/>
      <c r="E139" s="1220"/>
      <c r="F139" s="1220"/>
    </row>
    <row r="140" spans="2:6" ht="13.95" customHeight="1">
      <c r="B140" s="278"/>
      <c r="C140" s="278"/>
      <c r="D140" s="1220"/>
      <c r="E140" s="1220"/>
      <c r="F140" s="1220"/>
    </row>
    <row r="141" spans="2:6" ht="13.95" customHeight="1">
      <c r="B141" s="278"/>
      <c r="C141" s="278"/>
      <c r="D141" s="1220"/>
      <c r="E141" s="1220"/>
      <c r="F141" s="1220"/>
    </row>
    <row r="142" spans="2:6" ht="13.95" customHeight="1">
      <c r="B142" s="278"/>
      <c r="C142" s="278"/>
      <c r="D142" s="1220"/>
      <c r="E142" s="1220"/>
      <c r="F142" s="1220"/>
    </row>
    <row r="143" spans="2:6" ht="13.95" customHeight="1">
      <c r="B143" s="278"/>
      <c r="C143" s="278"/>
      <c r="D143" s="1220"/>
      <c r="E143" s="1220"/>
      <c r="F143" s="1220"/>
    </row>
    <row r="144" spans="2:6" ht="13.95" customHeight="1">
      <c r="B144" s="278"/>
      <c r="C144" s="278"/>
      <c r="D144" s="1220"/>
      <c r="E144" s="1220"/>
      <c r="F144" s="1220"/>
    </row>
    <row r="145" spans="1:7" ht="13.95" customHeight="1">
      <c r="A145" s="278"/>
      <c r="B145" s="278"/>
      <c r="C145" s="278"/>
      <c r="D145" s="1220"/>
      <c r="E145" s="1220"/>
      <c r="F145" s="1220"/>
      <c r="G145" s="3"/>
    </row>
    <row r="146" spans="1:7" ht="13.95" customHeight="1">
      <c r="A146" s="278"/>
      <c r="B146" s="278"/>
      <c r="C146" s="278"/>
      <c r="D146" s="1220"/>
      <c r="E146" s="1220"/>
      <c r="F146" s="1220"/>
      <c r="G146" s="3"/>
    </row>
    <row r="147" spans="1:7" ht="13.95" customHeight="1">
      <c r="A147" s="278"/>
      <c r="B147" s="278"/>
      <c r="C147" s="278"/>
      <c r="D147" s="1220"/>
      <c r="E147" s="1220"/>
      <c r="F147" s="1220"/>
      <c r="G147" s="3"/>
    </row>
    <row r="148" spans="1:7" ht="13.95" customHeight="1">
      <c r="A148" s="278"/>
      <c r="B148" s="278"/>
      <c r="C148" s="278"/>
      <c r="D148" s="1220"/>
      <c r="E148" s="1220"/>
      <c r="F148" s="1220"/>
      <c r="G148" s="3"/>
    </row>
    <row r="149" spans="1:7" ht="13.95" customHeight="1">
      <c r="A149" s="278"/>
      <c r="B149" s="278"/>
      <c r="C149" s="278"/>
      <c r="D149" s="1220"/>
      <c r="E149" s="1220"/>
      <c r="F149" s="1220"/>
      <c r="G149" s="3"/>
    </row>
    <row r="150" spans="1:7" ht="13.95" customHeight="1">
      <c r="A150" s="278"/>
      <c r="B150" s="278"/>
      <c r="C150" s="278"/>
      <c r="D150" s="1220"/>
      <c r="E150" s="1220"/>
      <c r="F150" s="1220"/>
      <c r="G150" s="3"/>
    </row>
    <row r="151" spans="1:7" ht="13.95" customHeight="1">
      <c r="A151" s="278"/>
      <c r="B151" s="278"/>
      <c r="C151" s="278"/>
      <c r="D151" s="1220"/>
      <c r="E151" s="1220"/>
      <c r="F151" s="1220"/>
      <c r="G151" s="3"/>
    </row>
    <row r="152" spans="1:7" ht="13.95" customHeight="1">
      <c r="A152" s="278"/>
      <c r="B152" s="278"/>
      <c r="C152" s="278"/>
      <c r="D152" s="1220"/>
      <c r="E152" s="1220"/>
      <c r="F152" s="1220"/>
      <c r="G152" s="3"/>
    </row>
    <row r="153" spans="1:7" ht="13.95" customHeight="1">
      <c r="A153" s="278"/>
      <c r="B153" s="278"/>
      <c r="C153" s="278"/>
      <c r="D153" s="1220"/>
      <c r="E153" s="1220"/>
      <c r="F153" s="1220"/>
      <c r="G153" s="3"/>
    </row>
    <row r="154" spans="1:7" ht="13.95" customHeight="1">
      <c r="A154" s="278"/>
      <c r="B154" s="278"/>
      <c r="C154" s="278"/>
      <c r="D154" s="1220"/>
      <c r="E154" s="1220"/>
      <c r="F154" s="1220"/>
      <c r="G154" s="3"/>
    </row>
    <row r="155" spans="1:7" ht="13.95" customHeight="1">
      <c r="A155" s="278"/>
      <c r="B155" s="278"/>
      <c r="C155" s="278"/>
      <c r="D155" s="143"/>
      <c r="E155" s="85"/>
      <c r="F155" s="85"/>
      <c r="G155" s="3"/>
    </row>
    <row r="156" spans="1:7" ht="13.95" customHeight="1">
      <c r="A156" s="175"/>
      <c r="B156" s="361" t="s">
        <v>294</v>
      </c>
      <c r="C156" s="143"/>
      <c r="D156" s="1223" t="s">
        <v>330</v>
      </c>
      <c r="E156" s="1223"/>
      <c r="F156" s="1223"/>
      <c r="G156" s="143"/>
    </row>
    <row r="157" spans="1:7" ht="13.95" customHeight="1">
      <c r="A157" s="175"/>
      <c r="B157" s="175"/>
      <c r="C157" s="143"/>
      <c r="D157" s="1223"/>
      <c r="E157" s="1223"/>
      <c r="F157" s="1223"/>
      <c r="G157" s="143"/>
    </row>
    <row r="158" spans="1:7" ht="13.95" customHeight="1">
      <c r="A158" s="175"/>
      <c r="B158" s="175"/>
      <c r="C158" s="143"/>
      <c r="D158" s="143"/>
      <c r="E158" s="143"/>
      <c r="F158" s="143"/>
      <c r="G158" s="143"/>
    </row>
    <row r="159" spans="1:7" ht="13.95" customHeight="1">
      <c r="A159" s="175"/>
      <c r="B159" s="361" t="s">
        <v>294</v>
      </c>
      <c r="C159" s="143"/>
      <c r="D159" s="1223" t="s">
        <v>331</v>
      </c>
      <c r="E159" s="1223"/>
      <c r="F159" s="1223"/>
      <c r="G159" s="143"/>
    </row>
    <row r="160" spans="1:7" ht="13.95" customHeight="1">
      <c r="A160" s="175"/>
      <c r="B160" s="175"/>
      <c r="C160" s="143"/>
      <c r="D160" s="1223"/>
      <c r="E160" s="1223"/>
      <c r="F160" s="1223"/>
      <c r="G160" s="143"/>
    </row>
    <row r="161" spans="1:7" ht="13.95" customHeight="1">
      <c r="A161" s="175"/>
      <c r="B161" s="175"/>
      <c r="C161" s="143"/>
      <c r="D161" s="1223"/>
      <c r="E161" s="1223"/>
      <c r="F161" s="1223"/>
      <c r="G161" s="143"/>
    </row>
    <row r="162" spans="1:7" ht="13.95" customHeight="1">
      <c r="A162" s="175"/>
      <c r="B162" s="175"/>
      <c r="C162" s="143"/>
      <c r="D162" s="1223"/>
      <c r="E162" s="1223"/>
      <c r="F162" s="1223"/>
      <c r="G162" s="143"/>
    </row>
    <row r="163" spans="1:7" ht="13.95" customHeight="1">
      <c r="A163" s="278"/>
      <c r="B163" s="278"/>
      <c r="C163" s="278"/>
      <c r="D163" s="85"/>
      <c r="E163" s="85"/>
      <c r="F163" s="85"/>
      <c r="G163" s="3"/>
    </row>
    <row r="164" spans="1:7" ht="13.95" customHeight="1">
      <c r="A164" s="278"/>
      <c r="B164" s="361" t="s">
        <v>294</v>
      </c>
      <c r="C164" s="278"/>
      <c r="D164" s="1255" t="s">
        <v>332</v>
      </c>
      <c r="E164" s="1255"/>
      <c r="F164" s="1255"/>
      <c r="G164" s="3"/>
    </row>
    <row r="165" spans="1:7" ht="13.95" customHeight="1">
      <c r="A165" s="278"/>
      <c r="B165" s="278"/>
      <c r="C165" s="278"/>
      <c r="D165" s="1255"/>
      <c r="E165" s="1255"/>
      <c r="F165" s="1255"/>
      <c r="G165" s="3"/>
    </row>
    <row r="166" spans="1:7" ht="13.95" customHeight="1">
      <c r="A166" s="278"/>
      <c r="B166" s="278"/>
      <c r="C166" s="278"/>
      <c r="D166" s="1255"/>
      <c r="E166" s="1255"/>
      <c r="F166" s="1255"/>
      <c r="G166" s="3"/>
    </row>
    <row r="167" spans="1:7" ht="13.95" customHeight="1">
      <c r="A167" s="13"/>
      <c r="B167" s="13"/>
      <c r="C167" s="278"/>
      <c r="D167" s="3"/>
      <c r="E167" s="85"/>
      <c r="F167" s="85"/>
      <c r="G167" s="3"/>
    </row>
    <row r="168" spans="1:7">
      <c r="A168" s="1241" t="s">
        <v>333</v>
      </c>
      <c r="B168" s="1241"/>
      <c r="C168" s="1241"/>
      <c r="D168" s="1241"/>
      <c r="E168" s="1241"/>
      <c r="F168" s="1241"/>
      <c r="G168" s="1241"/>
    </row>
    <row r="169" spans="1:7" ht="12" customHeight="1">
      <c r="A169" s="278"/>
      <c r="B169" s="278"/>
      <c r="C169" s="278"/>
      <c r="D169" s="85"/>
      <c r="E169" s="85"/>
      <c r="F169" s="85"/>
      <c r="G169" s="3"/>
    </row>
    <row r="170" spans="1:7">
      <c r="A170" s="278"/>
      <c r="B170" s="1238" t="s">
        <v>334</v>
      </c>
      <c r="C170" s="1238"/>
      <c r="D170" s="1238"/>
      <c r="E170" s="1238"/>
      <c r="F170" s="1238"/>
      <c r="G170" s="3"/>
    </row>
    <row r="171" spans="1:7" ht="12" customHeight="1">
      <c r="A171" s="120"/>
      <c r="B171" s="120"/>
      <c r="C171" s="120"/>
      <c r="D171" s="3"/>
      <c r="E171" s="3"/>
      <c r="F171" s="3"/>
      <c r="G171" s="3"/>
    </row>
    <row r="172" spans="1:7">
      <c r="A172" s="1241" t="s">
        <v>335</v>
      </c>
      <c r="B172" s="1241"/>
      <c r="C172" s="1241"/>
      <c r="D172" s="1241"/>
      <c r="E172" s="1241"/>
      <c r="F172" s="1241"/>
      <c r="G172" s="1241"/>
    </row>
    <row r="173" spans="1:7" ht="12" customHeight="1">
      <c r="A173" s="2"/>
      <c r="B173" s="2"/>
      <c r="C173" s="278"/>
      <c r="D173" s="3"/>
      <c r="E173" s="2"/>
      <c r="F173" s="3"/>
      <c r="G173" s="3"/>
    </row>
    <row r="174" spans="1:7" ht="13.2" customHeight="1">
      <c r="A174" s="2"/>
      <c r="B174" s="2"/>
      <c r="C174" s="278"/>
      <c r="D174" s="1261" t="s">
        <v>336</v>
      </c>
      <c r="E174" s="1261"/>
      <c r="F174" s="1261"/>
      <c r="G174" s="3"/>
    </row>
    <row r="175" spans="1:7">
      <c r="A175" s="2"/>
      <c r="B175" s="2"/>
      <c r="C175" s="278"/>
      <c r="D175" s="1261"/>
      <c r="E175" s="1261"/>
      <c r="F175" s="1261"/>
      <c r="G175" s="3"/>
    </row>
    <row r="176" spans="1:7">
      <c r="A176" s="2"/>
      <c r="B176" s="2"/>
      <c r="C176" s="278"/>
      <c r="D176" s="1248" t="s">
        <v>337</v>
      </c>
      <c r="E176" s="1248"/>
      <c r="F176" s="1248"/>
      <c r="G176" s="3"/>
    </row>
    <row r="177" spans="1:7" ht="12" customHeight="1">
      <c r="A177" s="2"/>
      <c r="B177" s="2"/>
      <c r="C177" s="278"/>
      <c r="D177" s="3"/>
      <c r="E177" s="2"/>
      <c r="F177" s="3"/>
      <c r="G177" s="3"/>
    </row>
    <row r="178" spans="1:7" ht="14.4">
      <c r="A178" s="124"/>
      <c r="B178" s="361" t="s">
        <v>294</v>
      </c>
      <c r="C178" s="278"/>
      <c r="D178" s="1235" t="s">
        <v>338</v>
      </c>
      <c r="E178" s="1235"/>
      <c r="F178" s="1235"/>
      <c r="G178" s="3"/>
    </row>
    <row r="179" spans="1:7" ht="14.4">
      <c r="A179" s="124"/>
      <c r="B179" s="124"/>
      <c r="C179" s="278"/>
      <c r="D179" s="1235"/>
      <c r="E179" s="1235"/>
      <c r="F179" s="1235"/>
      <c r="G179" s="3"/>
    </row>
    <row r="180" spans="1:7" ht="14.4">
      <c r="A180" s="124"/>
      <c r="B180" s="124"/>
      <c r="C180" s="278"/>
      <c r="D180" s="1235"/>
      <c r="E180" s="1235"/>
      <c r="F180" s="1235"/>
      <c r="G180" s="3"/>
    </row>
    <row r="181" spans="1:7">
      <c r="A181" s="278"/>
      <c r="B181" s="278"/>
      <c r="C181" s="278"/>
      <c r="D181" s="1235"/>
      <c r="E181" s="1235"/>
      <c r="F181" s="1235"/>
      <c r="G181" s="3"/>
    </row>
    <row r="182" spans="1:7">
      <c r="A182" s="278"/>
      <c r="B182" s="278"/>
      <c r="C182" s="278"/>
      <c r="D182" s="145"/>
      <c r="E182" s="3"/>
      <c r="F182" s="3"/>
      <c r="G182" s="3"/>
    </row>
    <row r="183" spans="1:7">
      <c r="A183" s="278"/>
      <c r="B183" s="278"/>
      <c r="C183" s="278"/>
      <c r="D183" s="1254" t="s">
        <v>339</v>
      </c>
      <c r="E183" s="1254"/>
      <c r="F183" s="1254"/>
      <c r="G183" s="3"/>
    </row>
    <row r="184" spans="1:7">
      <c r="A184" s="278"/>
      <c r="B184" s="278"/>
      <c r="C184" s="278"/>
      <c r="D184" s="1254"/>
      <c r="E184" s="1254"/>
      <c r="F184" s="1254"/>
      <c r="G184" s="3"/>
    </row>
    <row r="185" spans="1:7">
      <c r="A185" s="278"/>
      <c r="B185" s="278"/>
      <c r="C185" s="278"/>
      <c r="D185" s="368"/>
      <c r="E185" s="368"/>
      <c r="F185" s="368"/>
      <c r="G185" s="3"/>
    </row>
    <row r="186" spans="1:7" ht="14.4">
      <c r="A186" s="124"/>
      <c r="B186" s="361" t="s">
        <v>294</v>
      </c>
      <c r="C186" s="278"/>
      <c r="D186" s="1220" t="s">
        <v>340</v>
      </c>
      <c r="E186" s="1220"/>
      <c r="F186" s="1220"/>
      <c r="G186" s="3"/>
    </row>
    <row r="187" spans="1:7" ht="14.7" customHeight="1">
      <c r="A187" s="124"/>
      <c r="B187"/>
      <c r="C187" s="278"/>
      <c r="D187" s="1220"/>
      <c r="E187" s="1220"/>
      <c r="F187" s="1220"/>
      <c r="G187" s="3"/>
    </row>
    <row r="188" spans="1:7" ht="14.4">
      <c r="A188" s="124"/>
      <c r="B188" s="278"/>
      <c r="C188" s="278"/>
      <c r="D188" s="1220"/>
      <c r="E188" s="1220"/>
      <c r="F188" s="1220"/>
      <c r="G188" s="3"/>
    </row>
    <row r="189" spans="1:7" ht="14.4">
      <c r="A189" s="124"/>
      <c r="B189" s="278"/>
      <c r="C189" s="278"/>
      <c r="D189" s="1220"/>
      <c r="E189" s="1220"/>
      <c r="F189" s="1220"/>
      <c r="G189" s="3"/>
    </row>
    <row r="190" spans="1:7">
      <c r="A190" s="278"/>
      <c r="B190" s="278"/>
      <c r="C190" s="278"/>
      <c r="D190" s="368"/>
      <c r="E190" s="368"/>
      <c r="F190" s="368"/>
      <c r="G190" s="3"/>
    </row>
    <row r="191" spans="1:7">
      <c r="A191" s="1241" t="s">
        <v>341</v>
      </c>
      <c r="B191" s="1241"/>
      <c r="C191" s="1241"/>
      <c r="D191" s="1241"/>
      <c r="E191" s="1241"/>
      <c r="F191" s="1241"/>
      <c r="G191" s="1241"/>
    </row>
    <row r="192" spans="1:7" ht="12" customHeight="1">
      <c r="A192" s="278"/>
      <c r="B192" s="278"/>
      <c r="C192" s="278"/>
      <c r="D192" s="85"/>
      <c r="E192" s="85"/>
      <c r="F192" s="85"/>
      <c r="G192" s="3"/>
    </row>
    <row r="193" spans="1:6">
      <c r="A193" s="278"/>
      <c r="B193" s="278"/>
      <c r="C193" s="411"/>
      <c r="D193" s="1239" t="s">
        <v>342</v>
      </c>
      <c r="E193" s="1239"/>
      <c r="F193" s="1239"/>
    </row>
    <row r="194" spans="1:6">
      <c r="A194" s="120"/>
      <c r="B194" s="120"/>
      <c r="C194" s="120"/>
      <c r="D194" s="1240" t="s">
        <v>343</v>
      </c>
      <c r="E194" s="1240"/>
      <c r="F194" s="1240"/>
    </row>
    <row r="195" spans="1:6" ht="12" customHeight="1">
      <c r="A195" s="13"/>
      <c r="B195" s="13"/>
      <c r="C195" s="13"/>
      <c r="D195" s="3"/>
      <c r="E195" s="3"/>
      <c r="F195" s="3"/>
    </row>
    <row r="196" spans="1:6" ht="13.2" customHeight="1">
      <c r="A196" s="13"/>
      <c r="B196" s="278"/>
      <c r="C196" s="13"/>
      <c r="D196" s="1239" t="s">
        <v>344</v>
      </c>
      <c r="E196" s="1239"/>
      <c r="F196" s="1239"/>
    </row>
    <row r="197" spans="1:6" ht="14.4">
      <c r="A197" s="124"/>
      <c r="B197" s="361" t="s">
        <v>294</v>
      </c>
      <c r="C197" s="278"/>
      <c r="D197" s="1220" t="s">
        <v>345</v>
      </c>
      <c r="E197" s="1220"/>
      <c r="F197" s="1220"/>
    </row>
    <row r="198" spans="1:6" ht="14.4">
      <c r="A198" s="124"/>
      <c r="B198" s="124"/>
      <c r="C198" s="278"/>
      <c r="D198" s="1220"/>
      <c r="E198" s="1220"/>
      <c r="F198" s="1220"/>
    </row>
    <row r="199" spans="1:6">
      <c r="A199" s="278"/>
      <c r="B199" s="278"/>
      <c r="C199" s="278"/>
      <c r="D199" s="3"/>
      <c r="E199" s="3"/>
      <c r="F199" s="3"/>
    </row>
    <row r="200" spans="1:6" ht="14.4">
      <c r="A200" s="124"/>
      <c r="B200" s="361" t="s">
        <v>294</v>
      </c>
      <c r="C200" s="278"/>
      <c r="D200" s="1220" t="s">
        <v>346</v>
      </c>
      <c r="E200" s="1220"/>
      <c r="F200" s="1220"/>
    </row>
    <row r="201" spans="1:6" ht="14.4">
      <c r="A201" s="124"/>
      <c r="B201" s="124"/>
      <c r="C201" s="278"/>
      <c r="D201" s="1220"/>
      <c r="E201" s="1220"/>
      <c r="F201" s="1220"/>
    </row>
    <row r="202" spans="1:6" ht="14.4">
      <c r="A202" s="124"/>
      <c r="B202" s="124"/>
      <c r="C202" s="278"/>
      <c r="D202" s="1220"/>
      <c r="E202" s="1220"/>
      <c r="F202" s="1220"/>
    </row>
    <row r="203" spans="1:6" ht="5.0999999999999996" customHeight="1">
      <c r="A203" s="124"/>
      <c r="B203" s="124"/>
      <c r="C203" s="278"/>
      <c r="D203" s="85"/>
      <c r="E203" s="85"/>
      <c r="F203" s="85"/>
    </row>
    <row r="204" spans="1:6" ht="14.4">
      <c r="A204" s="124"/>
      <c r="B204" s="124"/>
      <c r="C204" s="278"/>
      <c r="D204" s="1220" t="s">
        <v>347</v>
      </c>
      <c r="E204" s="1220"/>
      <c r="F204" s="1220"/>
    </row>
    <row r="205" spans="1:6" ht="14.4">
      <c r="A205" s="124"/>
      <c r="B205" s="124"/>
      <c r="C205" s="278"/>
      <c r="D205" s="1220"/>
      <c r="E205" s="1220"/>
      <c r="F205" s="1220"/>
    </row>
    <row r="206" spans="1:6" ht="14.4">
      <c r="A206" s="124"/>
      <c r="B206" s="124"/>
      <c r="C206" s="278"/>
      <c r="D206" s="1220"/>
      <c r="E206" s="1220"/>
      <c r="F206" s="1220"/>
    </row>
    <row r="207" spans="1:6" ht="14.4">
      <c r="A207" s="124"/>
      <c r="B207" s="124"/>
      <c r="C207" s="278"/>
      <c r="D207" s="1220"/>
      <c r="E207" s="1220"/>
      <c r="F207" s="1220"/>
    </row>
    <row r="208" spans="1:6" ht="14.4">
      <c r="A208" s="124"/>
      <c r="B208" s="124"/>
      <c r="C208" s="278"/>
      <c r="D208" s="1220"/>
      <c r="E208" s="1220"/>
      <c r="F208" s="1220"/>
    </row>
    <row r="209" spans="1:7" ht="14.4">
      <c r="A209" s="124"/>
      <c r="B209" s="124"/>
      <c r="C209" s="278"/>
      <c r="D209" s="85"/>
      <c r="E209" s="85"/>
      <c r="F209" s="85"/>
      <c r="G209" s="3"/>
    </row>
    <row r="210" spans="1:7" ht="14.4">
      <c r="A210" s="124"/>
      <c r="B210" s="361" t="s">
        <v>294</v>
      </c>
      <c r="C210" s="278"/>
      <c r="D210" s="1220" t="s">
        <v>348</v>
      </c>
      <c r="E210" s="1220"/>
      <c r="F210" s="1220"/>
      <c r="G210" s="3"/>
    </row>
    <row r="211" spans="1:7" ht="14.4">
      <c r="A211" s="124"/>
      <c r="B211" s="124"/>
      <c r="C211" s="278"/>
      <c r="D211" s="1220"/>
      <c r="E211" s="1220"/>
      <c r="F211" s="1220"/>
      <c r="G211" s="3"/>
    </row>
    <row r="212" spans="1:7" ht="14.4">
      <c r="A212" s="124"/>
      <c r="B212" s="124"/>
      <c r="C212" s="278"/>
      <c r="D212" s="1238" t="s">
        <v>349</v>
      </c>
      <c r="E212" s="1238"/>
      <c r="F212" s="1238"/>
      <c r="G212" s="3"/>
    </row>
    <row r="213" spans="1:7" ht="14.4">
      <c r="A213" s="124"/>
      <c r="B213" s="124"/>
      <c r="C213" s="278"/>
      <c r="D213" s="85"/>
      <c r="E213" s="85"/>
      <c r="F213" s="85"/>
      <c r="G213" s="3"/>
    </row>
    <row r="214" spans="1:7" ht="14.7" customHeight="1">
      <c r="A214" s="124"/>
      <c r="B214" s="361" t="s">
        <v>294</v>
      </c>
      <c r="C214" s="278"/>
      <c r="D214" s="1220" t="s">
        <v>350</v>
      </c>
      <c r="E214" s="1220"/>
      <c r="F214" s="1220"/>
      <c r="G214" s="3"/>
    </row>
    <row r="215" spans="1:7" ht="14.4">
      <c r="A215" s="124"/>
      <c r="B215" s="124"/>
      <c r="C215" s="278"/>
      <c r="D215" s="1220"/>
      <c r="E215" s="1220"/>
      <c r="F215" s="1220"/>
      <c r="G215" s="3"/>
    </row>
    <row r="216" spans="1:7" ht="14.4">
      <c r="A216" s="124"/>
      <c r="B216" s="124"/>
      <c r="C216" s="278"/>
      <c r="D216" s="1220"/>
      <c r="E216" s="1220"/>
      <c r="F216" s="1220"/>
      <c r="G216" s="3"/>
    </row>
    <row r="217" spans="1:7" ht="14.4">
      <c r="A217" s="124"/>
      <c r="B217" s="124"/>
      <c r="C217" s="278"/>
      <c r="D217" s="1220"/>
      <c r="E217" s="1220"/>
      <c r="F217" s="1220"/>
      <c r="G217" s="3"/>
    </row>
    <row r="218" spans="1:7" ht="14.4">
      <c r="A218" s="124"/>
      <c r="B218" s="124"/>
      <c r="C218" s="278"/>
      <c r="D218" s="1220"/>
      <c r="E218" s="1220"/>
      <c r="F218" s="1220"/>
      <c r="G218" s="3"/>
    </row>
    <row r="219" spans="1:7">
      <c r="A219" s="278"/>
      <c r="B219" s="278"/>
      <c r="C219" s="278"/>
      <c r="D219" s="85"/>
      <c r="E219" s="85"/>
      <c r="F219" s="85"/>
      <c r="G219" s="3"/>
    </row>
    <row r="220" spans="1:7" ht="14.4">
      <c r="A220" s="124"/>
      <c r="B220" s="361" t="s">
        <v>294</v>
      </c>
      <c r="C220" s="278"/>
      <c r="D220" s="1220" t="s">
        <v>351</v>
      </c>
      <c r="E220" s="1220"/>
      <c r="F220" s="1220"/>
      <c r="G220" s="3"/>
    </row>
    <row r="221" spans="1:7" ht="14.4">
      <c r="A221" s="124"/>
      <c r="B221" s="124"/>
      <c r="C221" s="278"/>
      <c r="D221" s="1220"/>
      <c r="E221" s="1220"/>
      <c r="F221" s="1220"/>
      <c r="G221" s="3"/>
    </row>
    <row r="222" spans="1:7">
      <c r="A222" s="278"/>
      <c r="B222" s="278"/>
      <c r="C222" s="278"/>
      <c r="D222" s="1150"/>
      <c r="E222" s="3"/>
      <c r="F222" s="3"/>
      <c r="G222" s="3"/>
    </row>
    <row r="223" spans="1:7">
      <c r="A223" s="1241" t="s">
        <v>352</v>
      </c>
      <c r="B223" s="1241"/>
      <c r="C223" s="1241"/>
      <c r="D223" s="1241"/>
      <c r="E223" s="1241"/>
      <c r="F223" s="1241"/>
      <c r="G223" s="1241"/>
    </row>
    <row r="224" spans="1:7">
      <c r="A224" s="278"/>
      <c r="B224" s="278"/>
      <c r="C224" s="278"/>
      <c r="D224" s="1150"/>
      <c r="E224" s="3"/>
      <c r="F224" s="3"/>
      <c r="G224" s="3"/>
    </row>
    <row r="225" spans="1:6">
      <c r="A225" s="278"/>
      <c r="B225" s="278"/>
      <c r="C225" s="411"/>
      <c r="D225" s="1239" t="s">
        <v>353</v>
      </c>
      <c r="E225" s="1239"/>
      <c r="F225" s="1239"/>
    </row>
    <row r="226" spans="1:6">
      <c r="A226" s="120"/>
      <c r="B226" s="120"/>
      <c r="C226" s="120"/>
      <c r="D226" s="85"/>
      <c r="E226" s="85"/>
      <c r="F226" s="85"/>
    </row>
    <row r="227" spans="1:6">
      <c r="A227" s="123"/>
      <c r="B227" s="123"/>
      <c r="C227" s="123"/>
      <c r="D227" s="1239" t="s">
        <v>354</v>
      </c>
      <c r="E227" s="1239"/>
      <c r="F227" s="1239"/>
    </row>
    <row r="228" spans="1:6" ht="14.4">
      <c r="A228" s="124"/>
      <c r="B228" s="361" t="s">
        <v>294</v>
      </c>
      <c r="C228" s="278"/>
      <c r="D228" s="1267" t="s">
        <v>355</v>
      </c>
      <c r="E228" s="1267"/>
      <c r="F228" s="1267"/>
    </row>
    <row r="229" spans="1:6" ht="14.4">
      <c r="A229" s="124"/>
      <c r="B229" s="124"/>
      <c r="C229" s="278"/>
      <c r="D229" s="1267"/>
      <c r="E229" s="1267"/>
      <c r="F229" s="1267"/>
    </row>
    <row r="230" spans="1:6">
      <c r="A230" s="278"/>
      <c r="B230" s="278"/>
      <c r="C230" s="278"/>
      <c r="D230" s="85"/>
      <c r="E230" s="85"/>
      <c r="F230" s="85"/>
    </row>
    <row r="231" spans="1:6" ht="14.7" customHeight="1">
      <c r="A231" s="124"/>
      <c r="B231" s="361" t="s">
        <v>294</v>
      </c>
      <c r="C231" s="278"/>
      <c r="D231" s="1220" t="s">
        <v>356</v>
      </c>
      <c r="E231" s="1220"/>
      <c r="F231" s="1220"/>
    </row>
    <row r="232" spans="1:6">
      <c r="A232" s="278"/>
      <c r="B232" s="278"/>
      <c r="C232" s="278"/>
      <c r="D232" s="1220"/>
      <c r="E232" s="1220"/>
      <c r="F232" s="1220"/>
    </row>
    <row r="233" spans="1:6">
      <c r="A233" s="278"/>
      <c r="B233" s="278"/>
      <c r="C233" s="278"/>
      <c r="D233" s="1240" t="s">
        <v>357</v>
      </c>
      <c r="E233" s="1240"/>
      <c r="F233" s="1240"/>
    </row>
    <row r="234" spans="1:6">
      <c r="A234" s="278"/>
      <c r="B234" s="278"/>
      <c r="C234" s="278"/>
      <c r="D234" s="85"/>
      <c r="E234" s="85"/>
      <c r="F234" s="85"/>
    </row>
    <row r="235" spans="1:6" ht="14.7" customHeight="1">
      <c r="A235" s="124"/>
      <c r="B235" s="361" t="s">
        <v>294</v>
      </c>
      <c r="C235" s="278"/>
      <c r="D235" s="1220" t="s">
        <v>358</v>
      </c>
      <c r="E235" s="1220"/>
      <c r="F235" s="1220"/>
    </row>
    <row r="236" spans="1:6">
      <c r="A236" s="278"/>
      <c r="B236" s="278"/>
      <c r="C236" s="278"/>
      <c r="D236" s="1220"/>
      <c r="E236" s="1220"/>
      <c r="F236" s="1220"/>
    </row>
    <row r="237" spans="1:6">
      <c r="A237" s="278"/>
      <c r="B237" s="278"/>
      <c r="C237" s="278"/>
      <c r="D237" s="1220"/>
      <c r="E237" s="1220"/>
      <c r="F237" s="1220"/>
    </row>
    <row r="238" spans="1:6">
      <c r="A238" s="278"/>
      <c r="B238" s="278"/>
      <c r="C238" s="278"/>
      <c r="D238" s="1220"/>
      <c r="E238" s="1220"/>
      <c r="F238" s="1220"/>
    </row>
    <row r="239" spans="1:6">
      <c r="A239" s="278"/>
      <c r="B239" s="278"/>
      <c r="C239" s="278"/>
      <c r="D239" s="1220"/>
      <c r="E239" s="1220"/>
      <c r="F239" s="1220"/>
    </row>
    <row r="240" spans="1:6">
      <c r="A240" s="278"/>
      <c r="B240" s="278"/>
      <c r="C240" s="278"/>
      <c r="D240" s="85"/>
      <c r="E240" s="85"/>
      <c r="F240" s="85"/>
    </row>
    <row r="241" spans="1:7" ht="14.4">
      <c r="A241" s="124"/>
      <c r="B241" s="361" t="s">
        <v>294</v>
      </c>
      <c r="C241" s="278"/>
      <c r="D241" s="1220" t="s">
        <v>359</v>
      </c>
      <c r="E241" s="1220"/>
      <c r="F241" s="1220"/>
      <c r="G241" s="3"/>
    </row>
    <row r="242" spans="1:7">
      <c r="A242" s="278"/>
      <c r="B242" s="278"/>
      <c r="C242" s="278"/>
      <c r="D242" s="1220"/>
      <c r="E242" s="1220"/>
      <c r="F242" s="1220"/>
      <c r="G242" s="3"/>
    </row>
    <row r="243" spans="1:7">
      <c r="A243" s="278"/>
      <c r="B243" s="278"/>
      <c r="C243" s="278"/>
      <c r="D243" s="1220"/>
      <c r="E243" s="1220"/>
      <c r="F243" s="1220"/>
      <c r="G243" s="3"/>
    </row>
    <row r="244" spans="1:7">
      <c r="A244" s="278"/>
      <c r="B244" s="278"/>
      <c r="C244" s="278"/>
      <c r="D244" s="913"/>
      <c r="E244" s="85"/>
      <c r="F244" s="85"/>
      <c r="G244" s="3"/>
    </row>
    <row r="245" spans="1:7">
      <c r="A245" s="1241" t="s">
        <v>360</v>
      </c>
      <c r="B245" s="1241"/>
      <c r="C245" s="1241"/>
      <c r="D245" s="1241"/>
      <c r="E245" s="1241"/>
      <c r="F245" s="1241"/>
      <c r="G245" s="1241"/>
    </row>
    <row r="246" spans="1:7">
      <c r="A246" s="278"/>
      <c r="B246" s="278"/>
      <c r="C246" s="278"/>
      <c r="D246" s="913"/>
      <c r="E246" s="85"/>
      <c r="F246" s="85"/>
      <c r="G246" s="3"/>
    </row>
    <row r="247" spans="1:7">
      <c r="A247" s="278"/>
      <c r="B247" s="278"/>
      <c r="C247" s="120"/>
      <c r="D247" s="1250" t="s">
        <v>361</v>
      </c>
      <c r="E247" s="1250"/>
      <c r="F247" s="1250"/>
      <c r="G247" s="3"/>
    </row>
    <row r="248" spans="1:7">
      <c r="A248" s="278"/>
      <c r="B248" s="278"/>
      <c r="C248" s="120"/>
      <c r="D248" s="1250"/>
      <c r="E248" s="1250"/>
      <c r="F248" s="1250"/>
      <c r="G248" s="3"/>
    </row>
    <row r="249" spans="1:7">
      <c r="A249" s="123"/>
      <c r="B249" s="123"/>
      <c r="C249" s="123"/>
      <c r="D249" s="2"/>
      <c r="E249" s="3"/>
      <c r="F249" s="3"/>
      <c r="G249" s="3"/>
    </row>
    <row r="250" spans="1:7">
      <c r="A250" s="278"/>
      <c r="B250" s="278"/>
      <c r="C250" s="123"/>
      <c r="D250" s="1239" t="s">
        <v>362</v>
      </c>
      <c r="E250" s="1239"/>
      <c r="F250" s="1239"/>
      <c r="G250" s="3"/>
    </row>
    <row r="251" spans="1:7" ht="15.75" customHeight="1">
      <c r="A251" s="124"/>
      <c r="B251" s="124"/>
      <c r="C251" s="278"/>
      <c r="D251" s="1244" t="s">
        <v>363</v>
      </c>
      <c r="E251" s="1244"/>
      <c r="F251" s="1244"/>
      <c r="G251" s="3"/>
    </row>
    <row r="252" spans="1:7">
      <c r="A252" s="278"/>
      <c r="B252" s="278"/>
      <c r="C252" s="278"/>
      <c r="D252" s="3"/>
      <c r="E252" s="85"/>
      <c r="F252" s="85"/>
      <c r="G252" s="3"/>
    </row>
    <row r="253" spans="1:7" ht="14.4">
      <c r="A253" s="124"/>
      <c r="B253" s="361" t="s">
        <v>294</v>
      </c>
      <c r="C253" s="278"/>
      <c r="D253" s="1220" t="s">
        <v>364</v>
      </c>
      <c r="E253" s="1220"/>
      <c r="F253" s="1220"/>
      <c r="G253" s="3"/>
    </row>
    <row r="254" spans="1:7" ht="14.4">
      <c r="A254" s="124"/>
      <c r="B254" s="124"/>
      <c r="C254" s="278"/>
      <c r="D254" s="1220"/>
      <c r="E254" s="1220"/>
      <c r="F254" s="1220"/>
      <c r="G254" s="3"/>
    </row>
    <row r="255" spans="1:7">
      <c r="A255" s="278"/>
      <c r="B255" s="278"/>
      <c r="C255" s="278"/>
      <c r="D255" s="85"/>
      <c r="E255" s="85"/>
      <c r="F255" s="85"/>
      <c r="G255" s="3"/>
    </row>
    <row r="256" spans="1:7" ht="14.4">
      <c r="A256" s="124"/>
      <c r="B256" s="361" t="s">
        <v>294</v>
      </c>
      <c r="C256" s="278"/>
      <c r="D256" s="1220" t="s">
        <v>365</v>
      </c>
      <c r="E256" s="1220"/>
      <c r="F256" s="1220"/>
      <c r="G256" s="3"/>
    </row>
    <row r="257" spans="1:7" ht="14.4">
      <c r="A257" s="124"/>
      <c r="B257" s="124"/>
      <c r="C257" s="278"/>
      <c r="D257" s="1220"/>
      <c r="E257" s="1220"/>
      <c r="F257" s="1220"/>
      <c r="G257" s="3"/>
    </row>
    <row r="258" spans="1:7" ht="14.4">
      <c r="A258" s="124"/>
      <c r="B258" s="124"/>
      <c r="C258" s="278"/>
      <c r="D258" s="1220"/>
      <c r="E258" s="1220"/>
      <c r="F258" s="1220"/>
      <c r="G258" s="3"/>
    </row>
    <row r="259" spans="1:7">
      <c r="A259" s="278"/>
      <c r="B259" s="278"/>
      <c r="C259" s="278"/>
      <c r="D259" s="85"/>
      <c r="E259" s="85"/>
      <c r="F259" s="85"/>
      <c r="G259" s="3"/>
    </row>
    <row r="260" spans="1:7" ht="14.4">
      <c r="A260" s="124"/>
      <c r="B260" s="361" t="s">
        <v>294</v>
      </c>
      <c r="C260" s="278"/>
      <c r="D260" s="1220" t="s">
        <v>366</v>
      </c>
      <c r="E260" s="1220"/>
      <c r="F260" s="1220"/>
      <c r="G260" s="3"/>
    </row>
    <row r="261" spans="1:7" ht="14.4">
      <c r="A261" s="124"/>
      <c r="B261" s="124"/>
      <c r="C261" s="278"/>
      <c r="D261" s="1220"/>
      <c r="E261" s="1220"/>
      <c r="F261" s="1220"/>
      <c r="G261" s="3"/>
    </row>
    <row r="262" spans="1:7">
      <c r="A262" s="13"/>
      <c r="B262" s="13"/>
      <c r="C262" s="278"/>
      <c r="D262" s="3"/>
      <c r="E262" s="85"/>
      <c r="F262" s="85"/>
      <c r="G262" s="3"/>
    </row>
    <row r="263" spans="1:7">
      <c r="A263" s="1241" t="s">
        <v>367</v>
      </c>
      <c r="B263" s="1241"/>
      <c r="C263" s="1241"/>
      <c r="D263" s="1241"/>
      <c r="E263" s="1241"/>
      <c r="F263" s="1241"/>
      <c r="G263" s="1241"/>
    </row>
    <row r="264" spans="1:7">
      <c r="A264" s="13"/>
      <c r="B264" s="13"/>
      <c r="C264" s="278"/>
      <c r="D264" s="85"/>
      <c r="E264" s="85"/>
      <c r="F264" s="85"/>
      <c r="G264" s="3"/>
    </row>
    <row r="265" spans="1:7">
      <c r="A265" s="278"/>
      <c r="B265" s="278"/>
      <c r="C265" s="13"/>
      <c r="D265" s="1239" t="s">
        <v>368</v>
      </c>
      <c r="E265" s="1239"/>
      <c r="F265" s="1239"/>
      <c r="G265" s="3"/>
    </row>
    <row r="266" spans="1:7">
      <c r="A266" s="278"/>
      <c r="B266" s="278"/>
      <c r="C266" s="13"/>
      <c r="D266" s="1240" t="s">
        <v>369</v>
      </c>
      <c r="E266" s="1240"/>
      <c r="F266" s="1240"/>
      <c r="G266" s="3"/>
    </row>
    <row r="267" spans="1:7">
      <c r="A267" s="278"/>
      <c r="B267" s="278"/>
      <c r="C267" s="13"/>
      <c r="D267" s="121"/>
      <c r="E267" s="3"/>
      <c r="F267" s="3"/>
      <c r="G267" s="3"/>
    </row>
    <row r="268" spans="1:7">
      <c r="A268" s="278"/>
      <c r="B268" s="361" t="s">
        <v>294</v>
      </c>
      <c r="C268" s="278"/>
      <c r="D268" s="1240" t="s">
        <v>370</v>
      </c>
      <c r="E268" s="1240"/>
      <c r="F268" s="1240"/>
      <c r="G268" s="3"/>
    </row>
    <row r="269" spans="1:7" ht="14.4">
      <c r="A269" s="124"/>
      <c r="B269" s="124"/>
      <c r="C269" s="278"/>
      <c r="D269" s="238"/>
      <c r="E269" s="1147"/>
      <c r="F269" s="1147"/>
      <c r="G269" s="3"/>
    </row>
    <row r="270" spans="1:7" ht="13.2" customHeight="1">
      <c r="A270" s="278"/>
      <c r="B270" s="361" t="s">
        <v>294</v>
      </c>
      <c r="C270" s="278"/>
      <c r="D270" s="1268" t="s">
        <v>371</v>
      </c>
      <c r="E270" s="1268"/>
      <c r="F270" s="1268"/>
      <c r="G270" s="3"/>
    </row>
    <row r="271" spans="1:7" ht="14.4">
      <c r="A271" s="124"/>
      <c r="B271" s="124"/>
      <c r="C271" s="278"/>
      <c r="D271" s="1268"/>
      <c r="E271" s="1268"/>
      <c r="F271" s="1268"/>
      <c r="G271" s="3"/>
    </row>
    <row r="272" spans="1:7" ht="14.4">
      <c r="A272" s="124"/>
      <c r="B272" s="124"/>
      <c r="C272" s="278"/>
      <c r="D272" s="1268"/>
      <c r="E272" s="1268"/>
      <c r="F272" s="1268"/>
      <c r="G272" s="3"/>
    </row>
    <row r="273" spans="1:6" ht="14.4">
      <c r="A273" s="124"/>
      <c r="B273" s="124"/>
      <c r="C273" s="278"/>
      <c r="D273" s="1268"/>
      <c r="E273" s="1268"/>
      <c r="F273" s="1268"/>
    </row>
    <row r="274" spans="1:6" ht="14.4">
      <c r="A274" s="124"/>
      <c r="B274" s="124"/>
      <c r="C274" s="278"/>
      <c r="D274" s="1268"/>
      <c r="E274" s="1268"/>
      <c r="F274" s="1268"/>
    </row>
    <row r="275" spans="1:6" ht="14.4">
      <c r="A275" s="124"/>
      <c r="B275" s="124"/>
      <c r="C275" s="278"/>
      <c r="D275" s="238"/>
      <c r="E275" s="1147"/>
      <c r="F275" s="1147"/>
    </row>
    <row r="276" spans="1:6" ht="13.2" customHeight="1">
      <c r="A276" s="278"/>
      <c r="B276" s="361" t="s">
        <v>294</v>
      </c>
      <c r="C276" s="278"/>
      <c r="D276" s="1268" t="s">
        <v>372</v>
      </c>
      <c r="E276" s="1268"/>
      <c r="F276" s="1268"/>
    </row>
    <row r="277" spans="1:6">
      <c r="A277" s="278"/>
      <c r="B277" s="278"/>
      <c r="C277" s="278"/>
      <c r="D277" s="1268"/>
      <c r="E277" s="1268"/>
      <c r="F277" s="1268"/>
    </row>
    <row r="278" spans="1:6" ht="14.4">
      <c r="A278" s="124"/>
      <c r="B278" s="124"/>
      <c r="C278" s="278"/>
      <c r="D278" s="238"/>
      <c r="E278" s="1147"/>
      <c r="F278" s="1147"/>
    </row>
    <row r="279" spans="1:6">
      <c r="A279" s="278"/>
      <c r="B279" s="361" t="s">
        <v>294</v>
      </c>
      <c r="C279" s="278"/>
      <c r="D279" s="1240" t="s">
        <v>373</v>
      </c>
      <c r="E279" s="1240"/>
      <c r="F279" s="1240"/>
    </row>
    <row r="280" spans="1:6">
      <c r="A280" s="278"/>
      <c r="B280" s="278"/>
      <c r="C280" s="278"/>
      <c r="D280" s="3"/>
      <c r="E280" s="85"/>
      <c r="F280" s="85"/>
    </row>
    <row r="281" spans="1:6" ht="14.4">
      <c r="A281" s="124"/>
      <c r="B281" s="361" t="s">
        <v>294</v>
      </c>
      <c r="C281" s="278"/>
      <c r="D281" s="1220" t="s">
        <v>374</v>
      </c>
      <c r="E281" s="1220"/>
      <c r="F281" s="1220"/>
    </row>
    <row r="282" spans="1:6" ht="14.4">
      <c r="A282" s="124"/>
      <c r="B282" s="124"/>
      <c r="C282" s="278"/>
      <c r="D282" s="1220"/>
      <c r="E282" s="1220"/>
      <c r="F282" s="1220"/>
    </row>
    <row r="283" spans="1:6" ht="14.4">
      <c r="A283" s="124"/>
      <c r="B283" s="124"/>
      <c r="C283" s="278"/>
      <c r="D283" s="1220"/>
      <c r="E283" s="1220"/>
      <c r="F283" s="1220"/>
    </row>
    <row r="284" spans="1:6" ht="14.4">
      <c r="A284" s="124"/>
      <c r="B284" s="124"/>
      <c r="C284" s="278"/>
      <c r="D284" s="1220"/>
      <c r="E284" s="1220"/>
      <c r="F284" s="1220"/>
    </row>
    <row r="285" spans="1:6" ht="14.4">
      <c r="A285" s="124"/>
      <c r="B285" s="124"/>
      <c r="C285" s="278"/>
      <c r="D285" s="1220"/>
      <c r="E285" s="1220"/>
      <c r="F285" s="1220"/>
    </row>
    <row r="286" spans="1:6" ht="14.4">
      <c r="A286" s="124"/>
      <c r="B286" s="124"/>
      <c r="C286" s="278"/>
      <c r="D286" s="1220"/>
      <c r="E286" s="1220"/>
      <c r="F286" s="1220"/>
    </row>
    <row r="287" spans="1:6" ht="14.4">
      <c r="A287" s="124"/>
      <c r="B287" s="124"/>
      <c r="C287" s="278"/>
      <c r="D287" s="1220"/>
      <c r="E287" s="1220"/>
      <c r="F287" s="1220"/>
    </row>
    <row r="288" spans="1:6" ht="14.4">
      <c r="A288" s="124"/>
      <c r="B288" s="124"/>
      <c r="C288" s="278"/>
      <c r="D288" s="1220"/>
      <c r="E288" s="1220"/>
      <c r="F288" s="1220"/>
    </row>
    <row r="289" spans="1:6" ht="14.4">
      <c r="A289" s="124"/>
      <c r="B289" s="124"/>
      <c r="C289" s="278"/>
      <c r="D289" s="1220"/>
      <c r="E289" s="1220"/>
      <c r="F289" s="1220"/>
    </row>
    <row r="290" spans="1:6" ht="14.4">
      <c r="A290" s="124"/>
      <c r="B290" s="124"/>
      <c r="C290" s="278"/>
      <c r="D290" s="1220"/>
      <c r="E290" s="1220"/>
      <c r="F290" s="1220"/>
    </row>
    <row r="291" spans="1:6" ht="14.4">
      <c r="A291" s="124"/>
      <c r="B291" s="124"/>
      <c r="C291" s="278"/>
      <c r="D291" s="1220"/>
      <c r="E291" s="1220"/>
      <c r="F291" s="1220"/>
    </row>
    <row r="292" spans="1:6" ht="14.4">
      <c r="A292" s="124"/>
      <c r="B292" s="124"/>
      <c r="C292" s="278"/>
      <c r="D292" s="1220"/>
      <c r="E292" s="1220"/>
      <c r="F292" s="1220"/>
    </row>
    <row r="293" spans="1:6" ht="14.4">
      <c r="A293" s="124"/>
      <c r="B293" s="124"/>
      <c r="C293" s="278"/>
      <c r="D293" s="1220"/>
      <c r="E293" s="1220"/>
      <c r="F293" s="1220"/>
    </row>
    <row r="294" spans="1:6" ht="14.4">
      <c r="A294" s="124"/>
      <c r="B294" s="124"/>
      <c r="C294" s="278"/>
      <c r="D294" s="1220"/>
      <c r="E294" s="1220"/>
      <c r="F294" s="1220"/>
    </row>
    <row r="295" spans="1:6" ht="14.4">
      <c r="A295" s="124"/>
      <c r="B295" s="124"/>
      <c r="C295" s="278"/>
      <c r="D295" s="1220"/>
      <c r="E295" s="1220"/>
      <c r="F295" s="1220"/>
    </row>
    <row r="296" spans="1:6">
      <c r="A296" s="278"/>
      <c r="B296" s="278"/>
      <c r="C296" s="278"/>
      <c r="D296" s="85"/>
      <c r="E296" s="85"/>
      <c r="F296" s="85"/>
    </row>
    <row r="297" spans="1:6" ht="14.4">
      <c r="A297" s="124"/>
      <c r="B297" s="361" t="s">
        <v>294</v>
      </c>
      <c r="C297" s="278"/>
      <c r="D297" s="1220" t="s">
        <v>375</v>
      </c>
      <c r="E297" s="1220"/>
      <c r="F297" s="1220"/>
    </row>
    <row r="298" spans="1:6">
      <c r="A298" s="278"/>
      <c r="B298" s="278"/>
      <c r="C298" s="278"/>
      <c r="D298" s="1220"/>
      <c r="E298" s="1220"/>
      <c r="F298" s="1220"/>
    </row>
    <row r="299" spans="1:6">
      <c r="A299" s="278"/>
      <c r="B299" s="278"/>
      <c r="C299" s="278"/>
      <c r="D299" s="1220"/>
      <c r="E299" s="1220"/>
      <c r="F299" s="1220"/>
    </row>
    <row r="300" spans="1:6">
      <c r="A300" s="278"/>
      <c r="B300" s="278"/>
      <c r="C300" s="278"/>
      <c r="D300" s="1220"/>
      <c r="E300" s="1220"/>
      <c r="F300" s="1220"/>
    </row>
    <row r="301" spans="1:6">
      <c r="A301" s="278"/>
      <c r="B301" s="278"/>
      <c r="C301" s="278"/>
      <c r="D301" s="1220"/>
      <c r="E301" s="1220"/>
      <c r="F301" s="1220"/>
    </row>
    <row r="302" spans="1:6">
      <c r="A302" s="278"/>
      <c r="B302" s="278"/>
      <c r="C302" s="278"/>
      <c r="D302" s="1220"/>
      <c r="E302" s="1220"/>
      <c r="F302" s="1220"/>
    </row>
    <row r="303" spans="1:6">
      <c r="A303" s="278"/>
      <c r="B303" s="278"/>
      <c r="C303" s="278"/>
      <c r="D303" s="1220"/>
      <c r="E303" s="1220"/>
      <c r="F303" s="1220"/>
    </row>
    <row r="304" spans="1:6">
      <c r="A304" s="278"/>
      <c r="B304" s="278"/>
      <c r="C304" s="278"/>
      <c r="D304" s="1220"/>
      <c r="E304" s="1220"/>
      <c r="F304" s="1220"/>
    </row>
    <row r="305" spans="1:7">
      <c r="A305" s="278"/>
      <c r="B305" s="278"/>
      <c r="C305" s="278"/>
      <c r="D305" s="1220"/>
      <c r="E305" s="1220"/>
      <c r="F305" s="1220"/>
      <c r="G305" s="3"/>
    </row>
    <row r="306" spans="1:7">
      <c r="A306" s="278"/>
      <c r="B306" s="278"/>
      <c r="C306" s="278"/>
      <c r="D306" s="85"/>
      <c r="E306" s="85"/>
      <c r="F306" s="85"/>
      <c r="G306" s="3"/>
    </row>
    <row r="307" spans="1:7" ht="14.4">
      <c r="A307" s="124"/>
      <c r="B307" s="361" t="s">
        <v>294</v>
      </c>
      <c r="C307" s="278"/>
      <c r="D307" s="1220" t="s">
        <v>376</v>
      </c>
      <c r="E307" s="1220"/>
      <c r="F307" s="1220"/>
      <c r="G307" s="3"/>
    </row>
    <row r="308" spans="1:7">
      <c r="A308" s="278"/>
      <c r="B308" s="278"/>
      <c r="C308" s="278"/>
      <c r="D308" s="1220"/>
      <c r="E308" s="1220"/>
      <c r="F308" s="1220"/>
      <c r="G308"/>
    </row>
    <row r="309" spans="1:7">
      <c r="A309" s="278"/>
      <c r="B309" s="278"/>
      <c r="C309" s="278"/>
      <c r="D309" s="1220"/>
      <c r="E309" s="1220"/>
      <c r="F309" s="1220"/>
      <c r="G309"/>
    </row>
    <row r="310" spans="1:7">
      <c r="A310" s="278"/>
      <c r="B310" s="278"/>
      <c r="C310" s="278"/>
      <c r="D310" s="1220"/>
      <c r="E310" s="1220"/>
      <c r="F310" s="1220"/>
      <c r="G310"/>
    </row>
    <row r="311" spans="1:7">
      <c r="A311" s="278"/>
      <c r="B311" s="278"/>
      <c r="C311" s="278"/>
      <c r="D311" s="1220"/>
      <c r="E311" s="1220"/>
      <c r="F311" s="1220"/>
      <c r="G311"/>
    </row>
    <row r="312" spans="1:7">
      <c r="A312" s="278"/>
      <c r="B312" s="278"/>
      <c r="C312" s="278"/>
      <c r="D312" s="1220"/>
      <c r="E312" s="1220"/>
      <c r="F312" s="1220"/>
      <c r="G312"/>
    </row>
    <row r="313" spans="1:7">
      <c r="A313" s="278"/>
      <c r="B313" s="278"/>
      <c r="C313" s="278"/>
      <c r="D313" s="367"/>
      <c r="E313" s="367"/>
      <c r="F313" s="367"/>
      <c r="G313"/>
    </row>
    <row r="314" spans="1:7" ht="13.8" thickBot="1">
      <c r="A314" s="278"/>
      <c r="B314" s="278"/>
      <c r="C314" s="278"/>
      <c r="D314" s="1264" t="s">
        <v>377</v>
      </c>
      <c r="E314" s="1264"/>
      <c r="F314" s="1264"/>
      <c r="G314"/>
    </row>
    <row r="315" spans="1:7" ht="13.8" thickTop="1">
      <c r="A315" s="278"/>
      <c r="B315" s="278"/>
      <c r="C315" s="278"/>
      <c r="D315" s="1265" t="s">
        <v>378</v>
      </c>
      <c r="E315" s="1265"/>
      <c r="F315" s="1265"/>
      <c r="G315"/>
    </row>
    <row r="316" spans="1:7">
      <c r="A316" s="143"/>
      <c r="B316" s="143"/>
      <c r="C316" s="143"/>
      <c r="D316" s="145"/>
      <c r="E316" s="145"/>
      <c r="F316" s="85"/>
      <c r="G316"/>
    </row>
    <row r="317" spans="1:7" ht="14.4">
      <c r="A317" s="124"/>
      <c r="B317" s="361" t="s">
        <v>294</v>
      </c>
      <c r="C317" s="143"/>
      <c r="D317" s="1266" t="s">
        <v>379</v>
      </c>
      <c r="E317" s="1266"/>
      <c r="F317" s="1266"/>
      <c r="G317"/>
    </row>
    <row r="318" spans="1:7">
      <c r="A318" s="143"/>
      <c r="B318" s="143"/>
      <c r="C318" s="143"/>
      <c r="D318" s="145"/>
      <c r="E318" s="145"/>
      <c r="F318" s="85"/>
      <c r="G318"/>
    </row>
    <row r="319" spans="1:7">
      <c r="A319" s="143"/>
      <c r="B319" s="361" t="s">
        <v>294</v>
      </c>
      <c r="C319" s="143"/>
      <c r="D319" s="1223" t="s">
        <v>380</v>
      </c>
      <c r="E319" s="1223"/>
      <c r="F319" s="1223"/>
      <c r="G319"/>
    </row>
    <row r="320" spans="1:7">
      <c r="A320" s="143"/>
      <c r="B320" s="143"/>
      <c r="C320" s="143"/>
      <c r="D320" s="1223"/>
      <c r="E320" s="1223"/>
      <c r="F320" s="1223"/>
      <c r="G320"/>
    </row>
    <row r="321" spans="1:7">
      <c r="A321" s="143"/>
      <c r="B321" s="143"/>
      <c r="C321" s="143"/>
      <c r="D321" s="1223"/>
      <c r="E321" s="1223"/>
      <c r="F321" s="1223"/>
      <c r="G321"/>
    </row>
    <row r="322" spans="1:7">
      <c r="A322" s="143"/>
      <c r="B322" s="143"/>
      <c r="C322" s="143"/>
      <c r="D322" s="1223"/>
      <c r="E322" s="1223"/>
      <c r="F322" s="1223"/>
      <c r="G322"/>
    </row>
    <row r="323" spans="1:7">
      <c r="A323" s="143"/>
      <c r="B323" s="143"/>
      <c r="C323" s="143"/>
      <c r="D323" s="1223"/>
      <c r="E323" s="1223"/>
      <c r="F323" s="1223"/>
      <c r="G323"/>
    </row>
    <row r="324" spans="1:7">
      <c r="A324" s="143"/>
      <c r="B324" s="143"/>
      <c r="C324" s="143"/>
      <c r="D324" s="1223"/>
      <c r="E324" s="1223"/>
      <c r="F324" s="1223"/>
      <c r="G324"/>
    </row>
    <row r="325" spans="1:7">
      <c r="A325" s="143"/>
      <c r="B325" s="143"/>
      <c r="C325" s="143"/>
      <c r="D325" s="1223"/>
      <c r="E325" s="1223"/>
      <c r="F325" s="1223"/>
      <c r="G325"/>
    </row>
    <row r="326" spans="1:7">
      <c r="A326" s="143"/>
      <c r="B326" s="143"/>
      <c r="C326" s="143"/>
      <c r="D326" s="1223"/>
      <c r="E326" s="1223"/>
      <c r="F326" s="1223"/>
      <c r="G326"/>
    </row>
    <row r="327" spans="1:7">
      <c r="A327" s="143"/>
      <c r="B327" s="143"/>
      <c r="C327" s="143"/>
      <c r="D327" s="1223"/>
      <c r="E327" s="1223"/>
      <c r="F327" s="1223"/>
      <c r="G327"/>
    </row>
    <row r="328" spans="1:7">
      <c r="A328" s="143"/>
      <c r="B328" s="143"/>
      <c r="C328" s="143"/>
      <c r="D328" s="1223"/>
      <c r="E328" s="1223"/>
      <c r="F328" s="1223"/>
      <c r="G328"/>
    </row>
    <row r="329" spans="1:7">
      <c r="A329" s="143"/>
      <c r="B329" s="143"/>
      <c r="C329" s="143"/>
      <c r="D329" s="1223"/>
      <c r="E329" s="1223"/>
      <c r="F329" s="1223"/>
      <c r="G329"/>
    </row>
    <row r="330" spans="1:7">
      <c r="A330" s="143"/>
      <c r="B330" s="143"/>
      <c r="C330" s="143"/>
      <c r="D330"/>
      <c r="E330" s="145"/>
      <c r="F330" s="85"/>
      <c r="G330"/>
    </row>
    <row r="331" spans="1:7" ht="14.4">
      <c r="A331" s="124"/>
      <c r="B331" s="361" t="s">
        <v>294</v>
      </c>
      <c r="C331" s="143"/>
      <c r="D331" s="1223" t="s">
        <v>381</v>
      </c>
      <c r="E331" s="1223"/>
      <c r="F331" s="1223"/>
      <c r="G331"/>
    </row>
    <row r="332" spans="1:7">
      <c r="A332" s="143"/>
      <c r="B332" s="143"/>
      <c r="C332" s="143"/>
      <c r="D332" s="1223"/>
      <c r="E332" s="1223"/>
      <c r="F332" s="1223"/>
      <c r="G332"/>
    </row>
    <row r="333" spans="1:7">
      <c r="A333" s="143"/>
      <c r="B333" s="143"/>
      <c r="C333" s="143"/>
      <c r="D333" s="1223"/>
      <c r="E333" s="1223"/>
      <c r="F333" s="1223"/>
      <c r="G333"/>
    </row>
    <row r="334" spans="1:7">
      <c r="A334" s="143"/>
      <c r="B334" s="143"/>
      <c r="C334" s="143"/>
      <c r="D334" s="1223"/>
      <c r="E334" s="1223"/>
      <c r="F334" s="1223"/>
      <c r="G334"/>
    </row>
    <row r="335" spans="1:7">
      <c r="A335" s="143"/>
      <c r="B335" s="143"/>
      <c r="C335" s="143"/>
      <c r="D335" s="145"/>
      <c r="E335" s="145"/>
      <c r="F335" s="85"/>
      <c r="G335"/>
    </row>
    <row r="336" spans="1:7">
      <c r="A336" s="143"/>
      <c r="B336" s="143"/>
      <c r="C336" s="143"/>
      <c r="D336" s="1223" t="s">
        <v>382</v>
      </c>
      <c r="E336" s="1223"/>
      <c r="F336" s="1223"/>
      <c r="G336"/>
    </row>
    <row r="337" spans="1:7">
      <c r="A337" s="143"/>
      <c r="B337" s="143"/>
      <c r="C337" s="143"/>
      <c r="D337" s="1223"/>
      <c r="E337" s="1223"/>
      <c r="F337" s="1223"/>
      <c r="G337"/>
    </row>
    <row r="338" spans="1:7">
      <c r="A338" s="143"/>
      <c r="B338" s="143"/>
      <c r="C338" s="143"/>
      <c r="D338" s="1223"/>
      <c r="E338" s="1223"/>
      <c r="F338" s="1223"/>
      <c r="G338"/>
    </row>
    <row r="339" spans="1:7">
      <c r="A339" s="143"/>
      <c r="B339" s="143"/>
      <c r="C339" s="143"/>
      <c r="D339" s="1223"/>
      <c r="E339" s="1223"/>
      <c r="F339" s="1223"/>
      <c r="G339"/>
    </row>
    <row r="340" spans="1:7" ht="18" customHeight="1">
      <c r="A340" s="143"/>
      <c r="B340" s="143"/>
      <c r="C340" s="143"/>
      <c r="D340" s="1223"/>
      <c r="E340" s="1223"/>
      <c r="F340" s="1223"/>
      <c r="G340"/>
    </row>
    <row r="341" spans="1:7">
      <c r="A341" s="143"/>
      <c r="B341" s="143"/>
      <c r="C341" s="143"/>
      <c r="D341" s="1223"/>
      <c r="E341" s="1223"/>
      <c r="F341" s="1223"/>
      <c r="G341"/>
    </row>
    <row r="342" spans="1:7">
      <c r="A342" s="143"/>
      <c r="B342" s="143"/>
      <c r="C342" s="143"/>
      <c r="D342" s="1223"/>
      <c r="E342" s="1223"/>
      <c r="F342" s="1223"/>
      <c r="G342"/>
    </row>
    <row r="343" spans="1:7">
      <c r="A343" s="143"/>
      <c r="B343" s="143"/>
      <c r="C343" s="143"/>
      <c r="D343" s="1223"/>
      <c r="E343" s="1223"/>
      <c r="F343" s="1223"/>
      <c r="G343"/>
    </row>
    <row r="344" spans="1:7" ht="8.25" customHeight="1">
      <c r="A344" s="143"/>
      <c r="B344" s="143"/>
      <c r="C344" s="143"/>
      <c r="D344" s="1223"/>
      <c r="E344" s="1223"/>
      <c r="F344" s="1223"/>
      <c r="G344"/>
    </row>
    <row r="345" spans="1:7" ht="13.2" customHeight="1">
      <c r="A345" s="143"/>
      <c r="B345" s="143"/>
      <c r="C345" s="143"/>
      <c r="D345" s="1223" t="s">
        <v>383</v>
      </c>
      <c r="E345" s="1223"/>
      <c r="F345" s="1223"/>
      <c r="G345"/>
    </row>
    <row r="346" spans="1:7">
      <c r="A346" s="143"/>
      <c r="B346" s="143"/>
      <c r="C346" s="143"/>
      <c r="D346" s="1223"/>
      <c r="E346" s="1223"/>
      <c r="F346" s="1223"/>
      <c r="G346"/>
    </row>
    <row r="347" spans="1:7">
      <c r="A347" s="143"/>
      <c r="B347" s="143"/>
      <c r="C347" s="143"/>
      <c r="D347" s="1223"/>
      <c r="E347" s="1223"/>
      <c r="F347" s="1223"/>
      <c r="G347"/>
    </row>
    <row r="348" spans="1:7">
      <c r="A348" s="143"/>
      <c r="B348" s="143"/>
      <c r="C348" s="143"/>
      <c r="D348" s="1223"/>
      <c r="E348" s="1223"/>
      <c r="F348" s="1223"/>
      <c r="G348"/>
    </row>
    <row r="349" spans="1:7">
      <c r="A349" s="143"/>
      <c r="B349" s="143"/>
      <c r="C349" s="143"/>
      <c r="D349" s="1223"/>
      <c r="E349" s="1223"/>
      <c r="F349" s="1223"/>
      <c r="G349"/>
    </row>
    <row r="350" spans="1:7">
      <c r="A350" s="143"/>
      <c r="B350" s="143"/>
      <c r="C350" s="143"/>
      <c r="D350" s="1223"/>
      <c r="E350" s="1223"/>
      <c r="F350" s="1223"/>
      <c r="G350"/>
    </row>
    <row r="351" spans="1:7">
      <c r="A351" s="143"/>
      <c r="B351" s="143"/>
      <c r="C351" s="143"/>
      <c r="D351" s="1223"/>
      <c r="E351" s="1223"/>
      <c r="F351" s="1223"/>
      <c r="G351"/>
    </row>
    <row r="352" spans="1:7">
      <c r="A352" s="143"/>
      <c r="B352" s="143"/>
      <c r="C352" s="143"/>
      <c r="D352" s="1223"/>
      <c r="E352" s="1223"/>
      <c r="F352" s="1223"/>
      <c r="G352"/>
    </row>
    <row r="353" spans="1:7">
      <c r="A353" s="143"/>
      <c r="B353" s="143"/>
      <c r="C353" s="143"/>
      <c r="D353" s="1223"/>
      <c r="E353" s="1223"/>
      <c r="F353" s="1223"/>
      <c r="G353"/>
    </row>
    <row r="354" spans="1:7">
      <c r="A354" s="143"/>
      <c r="B354" s="143"/>
      <c r="C354" s="143"/>
      <c r="D354" s="1223"/>
      <c r="E354" s="1223"/>
      <c r="F354" s="1223"/>
      <c r="G354"/>
    </row>
    <row r="355" spans="1:7">
      <c r="A355" s="143"/>
      <c r="B355" s="143"/>
      <c r="C355" s="143"/>
      <c r="D355" s="1223"/>
      <c r="E355" s="1223"/>
      <c r="F355" s="1223"/>
      <c r="G355"/>
    </row>
    <row r="356" spans="1:7">
      <c r="A356" s="143"/>
      <c r="B356" s="143"/>
      <c r="C356" s="143"/>
      <c r="D356" s="1223"/>
      <c r="E356" s="1223"/>
      <c r="F356" s="1223"/>
      <c r="G356"/>
    </row>
    <row r="357" spans="1:7">
      <c r="A357" s="143"/>
      <c r="B357" s="143"/>
      <c r="C357" s="242"/>
      <c r="D357" s="1223"/>
      <c r="E357" s="1223"/>
      <c r="F357" s="1223"/>
      <c r="G357"/>
    </row>
    <row r="358" spans="1:7">
      <c r="A358" s="143"/>
      <c r="B358" s="143"/>
      <c r="C358" s="242"/>
      <c r="D358" s="1223"/>
      <c r="E358" s="1223"/>
      <c r="F358" s="1223"/>
      <c r="G358"/>
    </row>
    <row r="359" spans="1:7">
      <c r="A359" s="143"/>
      <c r="B359" s="143"/>
      <c r="C359" s="143"/>
      <c r="D359" s="1223"/>
      <c r="E359" s="1223"/>
      <c r="F359" s="1223"/>
      <c r="G359"/>
    </row>
    <row r="360" spans="1:7">
      <c r="A360" s="143"/>
      <c r="B360" s="143"/>
      <c r="C360" s="242"/>
      <c r="D360" s="1223"/>
      <c r="E360" s="1223"/>
      <c r="F360" s="1223"/>
      <c r="G360"/>
    </row>
    <row r="361" spans="1:7">
      <c r="A361" s="143"/>
      <c r="B361" s="143"/>
      <c r="C361" s="242"/>
      <c r="D361" s="1223"/>
      <c r="E361" s="1223"/>
      <c r="F361" s="1223"/>
      <c r="G361"/>
    </row>
    <row r="362" spans="1:7">
      <c r="A362" s="143"/>
      <c r="B362" s="143"/>
      <c r="C362" s="242"/>
      <c r="D362" s="1223"/>
      <c r="E362" s="1223"/>
      <c r="F362" s="1223"/>
      <c r="G362"/>
    </row>
    <row r="363" spans="1:7">
      <c r="A363" s="143"/>
      <c r="B363" s="143"/>
      <c r="C363" s="143"/>
      <c r="D363" s="145"/>
      <c r="E363" s="145"/>
      <c r="F363" s="85"/>
      <c r="G363"/>
    </row>
    <row r="364" spans="1:7">
      <c r="A364" s="143"/>
      <c r="B364" s="361" t="s">
        <v>294</v>
      </c>
      <c r="C364" s="143"/>
      <c r="D364" s="1223" t="s">
        <v>384</v>
      </c>
      <c r="E364" s="1223"/>
      <c r="F364" s="1223"/>
      <c r="G364"/>
    </row>
    <row r="365" spans="1:7">
      <c r="A365" s="143"/>
      <c r="B365" s="143"/>
      <c r="C365" s="143"/>
      <c r="D365" s="1223"/>
      <c r="E365" s="1223"/>
      <c r="F365" s="1223"/>
      <c r="G365"/>
    </row>
    <row r="366" spans="1:7">
      <c r="A366" s="143"/>
      <c r="B366" s="143"/>
      <c r="C366" s="143"/>
      <c r="D366" s="145"/>
      <c r="E366" s="145"/>
      <c r="F366" s="85"/>
      <c r="G366"/>
    </row>
    <row r="367" spans="1:7" ht="14.4">
      <c r="A367" s="124"/>
      <c r="B367" s="361" t="s">
        <v>294</v>
      </c>
      <c r="C367" s="143"/>
      <c r="D367" s="1223" t="s">
        <v>385</v>
      </c>
      <c r="E367" s="1223"/>
      <c r="F367" s="1223"/>
      <c r="G367"/>
    </row>
    <row r="368" spans="1:7" ht="14.4">
      <c r="A368" s="241"/>
      <c r="B368" s="241"/>
      <c r="C368" s="143"/>
      <c r="D368" s="1223"/>
      <c r="E368" s="1223"/>
      <c r="F368" s="1223"/>
      <c r="G368"/>
    </row>
    <row r="369" spans="1:7" ht="14.4">
      <c r="A369" s="241"/>
      <c r="B369" s="241"/>
      <c r="C369" s="143"/>
      <c r="D369" s="1223"/>
      <c r="E369" s="1223"/>
      <c r="F369" s="1223"/>
      <c r="G369"/>
    </row>
    <row r="370" spans="1:7" ht="14.4">
      <c r="A370" s="241"/>
      <c r="B370" s="241"/>
      <c r="C370" s="143"/>
      <c r="D370" s="1223"/>
      <c r="E370" s="1223"/>
      <c r="F370" s="1223"/>
      <c r="G370"/>
    </row>
    <row r="371" spans="1:7" ht="14.4">
      <c r="A371" s="241"/>
      <c r="B371" s="241"/>
      <c r="C371" s="143"/>
      <c r="D371" s="1223"/>
      <c r="E371" s="1223"/>
      <c r="F371" s="1223"/>
      <c r="G371"/>
    </row>
    <row r="372" spans="1:7">
      <c r="A372" s="278"/>
      <c r="B372" s="278"/>
      <c r="C372" s="278"/>
      <c r="D372" s="85"/>
      <c r="E372" s="85"/>
      <c r="F372" s="85"/>
      <c r="G372"/>
    </row>
    <row r="373" spans="1:7" ht="14.4">
      <c r="A373" s="124"/>
      <c r="B373" s="361" t="s">
        <v>294</v>
      </c>
      <c r="C373" s="908"/>
      <c r="D373" s="1220" t="s">
        <v>386</v>
      </c>
      <c r="E373" s="1220"/>
      <c r="F373" s="1220"/>
      <c r="G373"/>
    </row>
    <row r="374" spans="1:7" ht="14.4">
      <c r="A374" s="124"/>
      <c r="B374" s="124"/>
      <c r="C374" s="278"/>
      <c r="D374" s="1220"/>
      <c r="E374" s="1220"/>
      <c r="F374" s="1220"/>
      <c r="G374"/>
    </row>
    <row r="375" spans="1:7">
      <c r="A375" s="278"/>
      <c r="B375" s="278"/>
      <c r="C375" s="278"/>
      <c r="D375" s="1220"/>
      <c r="E375" s="1220"/>
      <c r="F375" s="1220"/>
      <c r="G375"/>
    </row>
    <row r="376" spans="1:7">
      <c r="A376" s="278"/>
      <c r="B376" s="278"/>
      <c r="C376" s="278"/>
      <c r="D376" s="1220"/>
      <c r="E376" s="1220"/>
      <c r="F376" s="1220"/>
      <c r="G376"/>
    </row>
    <row r="377" spans="1:7">
      <c r="A377" s="278"/>
      <c r="B377" s="278"/>
      <c r="C377" s="278"/>
      <c r="D377" s="1220"/>
      <c r="E377" s="1220"/>
      <c r="F377" s="1220"/>
      <c r="G377"/>
    </row>
    <row r="378" spans="1:7">
      <c r="A378" s="278"/>
      <c r="B378" s="278"/>
      <c r="C378" s="278"/>
      <c r="D378" s="1220"/>
      <c r="E378" s="1220"/>
      <c r="F378" s="1220"/>
      <c r="G378"/>
    </row>
    <row r="379" spans="1:7">
      <c r="A379" s="278"/>
      <c r="B379" s="278"/>
      <c r="C379" s="278"/>
      <c r="D379" s="1220"/>
      <c r="E379" s="1220"/>
      <c r="F379" s="1220"/>
      <c r="G379"/>
    </row>
    <row r="380" spans="1:7">
      <c r="A380" s="278"/>
      <c r="B380" s="278"/>
      <c r="C380" s="278"/>
      <c r="D380" s="1220"/>
      <c r="E380" s="1220"/>
      <c r="F380" s="1220"/>
      <c r="G380"/>
    </row>
    <row r="381" spans="1:7">
      <c r="A381" s="278"/>
      <c r="B381" s="278"/>
      <c r="C381" s="278"/>
      <c r="D381" s="1220"/>
      <c r="E381" s="1220"/>
      <c r="F381" s="1220"/>
      <c r="G381"/>
    </row>
    <row r="382" spans="1:7">
      <c r="A382" s="278"/>
      <c r="B382" s="278"/>
      <c r="C382" s="278"/>
      <c r="D382" s="1220"/>
      <c r="E382" s="1220"/>
      <c r="F382" s="1220"/>
      <c r="G382"/>
    </row>
    <row r="383" spans="1:7">
      <c r="A383" s="278"/>
      <c r="B383" s="278"/>
      <c r="C383" s="278"/>
      <c r="D383" s="1220"/>
      <c r="E383" s="1220"/>
      <c r="F383" s="1220"/>
      <c r="G383"/>
    </row>
    <row r="384" spans="1:7">
      <c r="A384" s="278"/>
      <c r="B384" s="278"/>
      <c r="C384" s="278"/>
      <c r="D384" s="1220"/>
      <c r="E384" s="1220"/>
      <c r="F384" s="1220"/>
      <c r="G384"/>
    </row>
    <row r="385" spans="1:7">
      <c r="A385" s="278"/>
      <c r="B385" s="278"/>
      <c r="C385" s="278"/>
      <c r="D385" s="1220"/>
      <c r="E385" s="1220"/>
      <c r="F385" s="1220"/>
      <c r="G385"/>
    </row>
    <row r="386" spans="1:7">
      <c r="A386"/>
      <c r="B386"/>
      <c r="C386"/>
      <c r="D386" s="1220"/>
      <c r="E386" s="1220"/>
      <c r="F386" s="1220"/>
      <c r="G386"/>
    </row>
    <row r="387" spans="1:7">
      <c r="A387"/>
      <c r="B387"/>
      <c r="C387"/>
      <c r="D387" s="1220"/>
      <c r="E387" s="1220"/>
      <c r="F387" s="1220"/>
      <c r="G387"/>
    </row>
    <row r="388" spans="1:7">
      <c r="A388"/>
      <c r="B388"/>
      <c r="C388"/>
      <c r="D388" s="1220"/>
      <c r="E388" s="1220"/>
      <c r="F388" s="1220"/>
      <c r="G388"/>
    </row>
    <row r="389" spans="1:7">
      <c r="A389"/>
      <c r="B389"/>
      <c r="C389"/>
      <c r="D389" s="1220"/>
      <c r="E389" s="1220"/>
      <c r="F389" s="1220"/>
      <c r="G389"/>
    </row>
    <row r="390" spans="1:7">
      <c r="A390"/>
      <c r="B390"/>
      <c r="C390"/>
      <c r="D390" s="1220"/>
      <c r="E390" s="1220"/>
      <c r="F390" s="1220"/>
      <c r="G390"/>
    </row>
    <row r="391" spans="1:7">
      <c r="A391"/>
      <c r="B391"/>
      <c r="C391"/>
      <c r="D391" s="1220"/>
      <c r="E391" s="1220"/>
      <c r="F391" s="1220"/>
      <c r="G391"/>
    </row>
    <row r="392" spans="1:7">
      <c r="A392"/>
      <c r="B392"/>
      <c r="C392"/>
      <c r="D392" s="1220"/>
      <c r="E392" s="1220"/>
      <c r="F392" s="1220"/>
      <c r="G392"/>
    </row>
    <row r="393" spans="1:7">
      <c r="A393"/>
      <c r="B393"/>
      <c r="C393"/>
      <c r="D393" s="1220"/>
      <c r="E393" s="1220"/>
      <c r="F393" s="1220"/>
      <c r="G393"/>
    </row>
    <row r="394" spans="1:7">
      <c r="A394"/>
      <c r="B394"/>
      <c r="C394"/>
      <c r="D394" s="1220"/>
      <c r="E394" s="1220"/>
      <c r="F394" s="1220"/>
      <c r="G394"/>
    </row>
    <row r="395" spans="1:7">
      <c r="A395"/>
      <c r="B395"/>
      <c r="C395"/>
      <c r="D395" s="1220"/>
      <c r="E395" s="1220"/>
      <c r="F395" s="1220"/>
      <c r="G395"/>
    </row>
    <row r="396" spans="1:7">
      <c r="A396"/>
      <c r="B396"/>
      <c r="C396"/>
      <c r="D396" s="1220"/>
      <c r="E396" s="1220"/>
      <c r="F396" s="1220"/>
      <c r="G396"/>
    </row>
    <row r="397" spans="1:7">
      <c r="A397"/>
      <c r="B397"/>
      <c r="C397"/>
      <c r="D397" s="1220"/>
      <c r="E397" s="1220"/>
      <c r="F397" s="1220"/>
      <c r="G397"/>
    </row>
    <row r="398" spans="1:7">
      <c r="A398"/>
      <c r="B398"/>
      <c r="C398"/>
      <c r="D398" s="1220"/>
      <c r="E398" s="1220"/>
      <c r="F398" s="1220"/>
      <c r="G398"/>
    </row>
    <row r="399" spans="1:7">
      <c r="A399"/>
      <c r="B399"/>
      <c r="C399"/>
      <c r="D399" s="1220"/>
      <c r="E399" s="1220"/>
      <c r="F399" s="1220"/>
      <c r="G399"/>
    </row>
    <row r="400" spans="1:7">
      <c r="A400"/>
      <c r="B400"/>
      <c r="C400"/>
      <c r="D400" s="1220"/>
      <c r="E400" s="1220"/>
      <c r="F400" s="1220"/>
      <c r="G400"/>
    </row>
    <row r="401" spans="1:7">
      <c r="A401"/>
      <c r="B401"/>
      <c r="C401"/>
      <c r="D401" s="1220"/>
      <c r="E401" s="1220"/>
      <c r="F401" s="1220"/>
      <c r="G401"/>
    </row>
    <row r="402" spans="1:7">
      <c r="A402" s="278"/>
      <c r="B402" s="278"/>
      <c r="C402" s="278"/>
      <c r="D402" s="1220"/>
      <c r="E402" s="1220"/>
      <c r="F402" s="1220"/>
      <c r="G402" s="3"/>
    </row>
    <row r="403" spans="1:7" ht="40.950000000000003" customHeight="1">
      <c r="A403" s="278"/>
      <c r="B403" s="278"/>
      <c r="C403" s="278"/>
      <c r="D403" s="1220"/>
      <c r="E403" s="1220"/>
      <c r="F403" s="1220"/>
      <c r="G403" s="3"/>
    </row>
    <row r="404" spans="1:7">
      <c r="A404" s="278"/>
      <c r="B404" s="278"/>
      <c r="C404" s="278"/>
      <c r="D404" s="85"/>
      <c r="E404" s="85"/>
      <c r="F404" s="85"/>
      <c r="G404" s="3"/>
    </row>
    <row r="405" spans="1:7" ht="14.4">
      <c r="A405" s="124"/>
      <c r="B405" s="361" t="s">
        <v>294</v>
      </c>
      <c r="C405" s="908"/>
      <c r="D405" s="1240" t="s">
        <v>387</v>
      </c>
      <c r="E405" s="1240"/>
      <c r="F405" s="1240"/>
      <c r="G405" s="3"/>
    </row>
    <row r="406" spans="1:7">
      <c r="A406" s="278"/>
      <c r="B406" s="278"/>
      <c r="C406" s="278"/>
      <c r="D406" s="1263" t="s">
        <v>388</v>
      </c>
      <c r="E406" s="1263"/>
      <c r="F406" s="1263"/>
      <c r="G406" s="3"/>
    </row>
    <row r="407" spans="1:7">
      <c r="A407" s="278"/>
      <c r="B407" s="278"/>
      <c r="C407" s="278"/>
      <c r="D407" s="1220" t="s">
        <v>389</v>
      </c>
      <c r="E407" s="1220"/>
      <c r="F407" s="1220"/>
      <c r="G407" s="3"/>
    </row>
    <row r="408" spans="1:7">
      <c r="A408" s="278"/>
      <c r="B408" s="278"/>
      <c r="C408" s="278"/>
      <c r="D408" s="1220"/>
      <c r="E408" s="1220"/>
      <c r="F408" s="1220"/>
      <c r="G408" s="3"/>
    </row>
    <row r="409" spans="1:7">
      <c r="A409" s="278"/>
      <c r="B409" s="278"/>
      <c r="C409" s="278"/>
      <c r="D409" s="1220"/>
      <c r="E409" s="1220"/>
      <c r="F409" s="1220"/>
      <c r="G409" s="3"/>
    </row>
    <row r="410" spans="1:7">
      <c r="A410" s="278"/>
      <c r="B410" s="278"/>
      <c r="C410" s="278"/>
      <c r="D410" s="1220"/>
      <c r="E410" s="1220"/>
      <c r="F410" s="1220"/>
      <c r="G410" s="3"/>
    </row>
    <row r="411" spans="1:7">
      <c r="A411" s="278"/>
      <c r="B411" s="278"/>
      <c r="C411" s="278"/>
      <c r="D411" s="85"/>
      <c r="E411" s="85"/>
      <c r="F411" s="85"/>
      <c r="G411"/>
    </row>
    <row r="412" spans="1:7" ht="14.4">
      <c r="A412" s="124"/>
      <c r="B412" s="361" t="s">
        <v>294</v>
      </c>
      <c r="C412" s="908"/>
      <c r="D412" s="1220" t="s">
        <v>390</v>
      </c>
      <c r="E412" s="1220"/>
      <c r="F412" s="1220"/>
      <c r="G412"/>
    </row>
    <row r="413" spans="1:7">
      <c r="A413" s="278"/>
      <c r="B413" s="278"/>
      <c r="C413" s="278"/>
      <c r="D413" s="1220"/>
      <c r="E413" s="1220"/>
      <c r="F413" s="1220"/>
      <c r="G413"/>
    </row>
    <row r="414" spans="1:7">
      <c r="A414" s="278"/>
      <c r="B414" s="278"/>
      <c r="C414" s="278"/>
      <c r="D414" s="1220"/>
      <c r="E414" s="1220"/>
      <c r="F414" s="1220"/>
      <c r="G414"/>
    </row>
    <row r="415" spans="1:7">
      <c r="A415" s="278"/>
      <c r="B415" s="278"/>
      <c r="C415" s="278"/>
      <c r="D415" s="367"/>
      <c r="E415" s="367"/>
      <c r="F415" s="367"/>
      <c r="G415"/>
    </row>
    <row r="416" spans="1:7" ht="14.4">
      <c r="A416" s="278"/>
      <c r="B416" s="361" t="s">
        <v>294</v>
      </c>
      <c r="C416" s="124"/>
      <c r="D416" s="1220" t="s">
        <v>391</v>
      </c>
      <c r="E416" s="1220"/>
      <c r="F416" s="1220"/>
      <c r="G416"/>
    </row>
    <row r="417" spans="1:7">
      <c r="A417" s="278"/>
      <c r="B417" s="278"/>
      <c r="C417" s="278"/>
      <c r="D417" s="1220"/>
      <c r="E417" s="1220"/>
      <c r="F417" s="1220"/>
      <c r="G417"/>
    </row>
    <row r="418" spans="1:7">
      <c r="A418" s="278"/>
      <c r="B418" s="278"/>
      <c r="C418" s="278"/>
      <c r="D418" s="85"/>
      <c r="E418" s="85"/>
      <c r="F418" s="85"/>
      <c r="G418"/>
    </row>
    <row r="419" spans="1:7" ht="14.4">
      <c r="A419" s="278"/>
      <c r="B419" s="361" t="s">
        <v>294</v>
      </c>
      <c r="C419" s="124"/>
      <c r="D419" s="1220" t="s">
        <v>392</v>
      </c>
      <c r="E419" s="1220"/>
      <c r="F419" s="1220"/>
      <c r="G419"/>
    </row>
    <row r="420" spans="1:7">
      <c r="A420" s="278"/>
      <c r="B420" s="278"/>
      <c r="C420" s="278"/>
      <c r="D420" s="1220"/>
      <c r="E420" s="1220"/>
      <c r="F420" s="1220"/>
      <c r="G420"/>
    </row>
    <row r="421" spans="1:7">
      <c r="A421" s="278"/>
      <c r="B421" s="278"/>
      <c r="C421" s="278"/>
      <c r="D421" s="1220"/>
      <c r="E421" s="1220"/>
      <c r="F421" s="1220"/>
      <c r="G421"/>
    </row>
    <row r="422" spans="1:7">
      <c r="A422" s="278"/>
      <c r="B422" s="278"/>
      <c r="C422" s="278"/>
      <c r="D422" s="1220"/>
      <c r="E422" s="1220"/>
      <c r="F422" s="1220"/>
      <c r="G422"/>
    </row>
    <row r="423" spans="1:7">
      <c r="A423" s="278"/>
      <c r="B423" s="361" t="s">
        <v>294</v>
      </c>
      <c r="C423" s="278"/>
      <c r="D423" s="1220"/>
      <c r="E423" s="1220"/>
      <c r="F423" s="1220"/>
      <c r="G423"/>
    </row>
    <row r="424" spans="1:7">
      <c r="A424"/>
      <c r="B424"/>
      <c r="C424"/>
      <c r="D424" s="1220"/>
      <c r="E424" s="1220"/>
      <c r="F424" s="1220"/>
      <c r="G424"/>
    </row>
    <row r="425" spans="1:7">
      <c r="A425"/>
      <c r="B425" s="278"/>
      <c r="C425"/>
      <c r="D425" s="1220"/>
      <c r="E425" s="1220"/>
      <c r="F425" s="1220"/>
      <c r="G425"/>
    </row>
    <row r="426" spans="1:7">
      <c r="A426"/>
      <c r="B426" s="361" t="s">
        <v>294</v>
      </c>
      <c r="C426"/>
      <c r="D426" s="1220"/>
      <c r="E426" s="1220"/>
      <c r="F426" s="1220"/>
      <c r="G426"/>
    </row>
    <row r="427" spans="1:7">
      <c r="A427"/>
      <c r="B427"/>
      <c r="C427"/>
      <c r="D427" s="1220"/>
      <c r="E427" s="1220"/>
      <c r="F427" s="1220"/>
      <c r="G427"/>
    </row>
    <row r="428" spans="1:7">
      <c r="A428"/>
      <c r="B428" s="278"/>
      <c r="C428"/>
      <c r="D428" s="1220"/>
      <c r="E428" s="1220"/>
      <c r="F428" s="1220"/>
      <c r="G428"/>
    </row>
    <row r="429" spans="1:7">
      <c r="A429"/>
      <c r="B429" s="278"/>
      <c r="C429"/>
      <c r="D429" s="1220"/>
      <c r="E429" s="1220"/>
      <c r="F429" s="1220"/>
      <c r="G429"/>
    </row>
    <row r="430" spans="1:7">
      <c r="A430"/>
      <c r="B430" s="361" t="s">
        <v>294</v>
      </c>
      <c r="C430"/>
      <c r="D430" s="1220"/>
      <c r="E430" s="1220"/>
      <c r="F430" s="1220"/>
      <c r="G430"/>
    </row>
    <row r="431" spans="1:7">
      <c r="A431"/>
      <c r="B431"/>
      <c r="C431"/>
      <c r="D431" s="1220"/>
      <c r="E431" s="1220"/>
      <c r="F431" s="1220"/>
      <c r="G431"/>
    </row>
    <row r="432" spans="1:7">
      <c r="A432"/>
      <c r="B432" s="361" t="s">
        <v>294</v>
      </c>
      <c r="C432"/>
      <c r="D432" s="1220"/>
      <c r="E432" s="1220"/>
      <c r="F432" s="1220"/>
      <c r="G432"/>
    </row>
    <row r="433" spans="1:7">
      <c r="A433"/>
      <c r="B433"/>
      <c r="C433"/>
      <c r="D433" s="367"/>
      <c r="E433" s="367"/>
      <c r="F433" s="367"/>
      <c r="G433"/>
    </row>
    <row r="434" spans="1:7">
      <c r="A434"/>
      <c r="B434" s="361" t="s">
        <v>294</v>
      </c>
      <c r="C434"/>
      <c r="D434" s="1220" t="s">
        <v>393</v>
      </c>
      <c r="E434" s="1220"/>
      <c r="F434" s="1220"/>
      <c r="G434"/>
    </row>
    <row r="435" spans="1:7">
      <c r="A435"/>
      <c r="B435"/>
      <c r="C435"/>
      <c r="D435" s="1220"/>
      <c r="E435" s="1220"/>
      <c r="F435" s="1220"/>
      <c r="G435"/>
    </row>
    <row r="436" spans="1:7">
      <c r="A436"/>
      <c r="B436"/>
      <c r="C436"/>
      <c r="D436" s="1220"/>
      <c r="E436" s="1220"/>
      <c r="F436" s="1220"/>
      <c r="G436"/>
    </row>
    <row r="437" spans="1:7">
      <c r="A437"/>
      <c r="B437"/>
      <c r="C437"/>
      <c r="D437" s="1220"/>
      <c r="E437" s="1220"/>
      <c r="F437" s="1220"/>
      <c r="G437"/>
    </row>
    <row r="438" spans="1:7">
      <c r="A438" s="278"/>
      <c r="B438" s="278"/>
      <c r="C438" s="278"/>
      <c r="D438" s="1220"/>
      <c r="E438" s="1220"/>
      <c r="F438" s="1220"/>
      <c r="G438" s="3"/>
    </row>
    <row r="439" spans="1:7">
      <c r="A439" s="278"/>
      <c r="B439" s="278"/>
      <c r="C439" s="278"/>
      <c r="D439" s="85"/>
      <c r="E439" s="85"/>
      <c r="F439" s="85"/>
      <c r="G439" s="3"/>
    </row>
    <row r="440" spans="1:7">
      <c r="A440" s="278"/>
      <c r="B440" s="361" t="s">
        <v>294</v>
      </c>
      <c r="C440" s="278"/>
      <c r="D440" s="1240" t="s">
        <v>394</v>
      </c>
      <c r="E440" s="1240"/>
      <c r="F440" s="1240"/>
      <c r="G440" s="3"/>
    </row>
    <row r="441" spans="1:7">
      <c r="A441" s="85"/>
      <c r="B441" s="85"/>
      <c r="C441" s="278"/>
      <c r="D441" s="3"/>
      <c r="E441" s="3"/>
      <c r="F441" s="3"/>
      <c r="G441" s="3"/>
    </row>
    <row r="442" spans="1:7">
      <c r="A442" s="1241" t="s">
        <v>395</v>
      </c>
      <c r="B442" s="1241"/>
      <c r="C442" s="1241"/>
      <c r="D442" s="1241"/>
      <c r="E442" s="1241"/>
      <c r="F442" s="1241"/>
      <c r="G442" s="1241"/>
    </row>
    <row r="443" spans="1:7">
      <c r="A443" s="85"/>
      <c r="B443" s="85"/>
      <c r="C443" s="278"/>
      <c r="D443" s="3"/>
      <c r="E443" s="3"/>
      <c r="F443" s="3"/>
      <c r="G443" s="3"/>
    </row>
    <row r="444" spans="1:7">
      <c r="A444" s="278"/>
      <c r="B444" s="278"/>
      <c r="C444" s="278"/>
      <c r="D444" s="1269" t="s">
        <v>396</v>
      </c>
      <c r="E444" s="1269"/>
      <c r="F444" s="1269"/>
      <c r="G444" s="3"/>
    </row>
    <row r="445" spans="1:7" ht="14.4">
      <c r="A445" s="124"/>
      <c r="B445" s="124"/>
      <c r="C445" s="278"/>
      <c r="D445" s="1266" t="s">
        <v>397</v>
      </c>
      <c r="E445" s="1266"/>
      <c r="F445" s="1266"/>
      <c r="G445" s="3"/>
    </row>
    <row r="446" spans="1:7" ht="14.4">
      <c r="A446" s="124"/>
      <c r="B446" s="124"/>
      <c r="C446" s="278"/>
      <c r="D446" s="373"/>
      <c r="E446" s="3"/>
      <c r="F446" s="3"/>
      <c r="G446" s="3"/>
    </row>
    <row r="447" spans="1:7" ht="14.4">
      <c r="A447" s="124"/>
      <c r="B447" s="361" t="s">
        <v>294</v>
      </c>
      <c r="C447" s="278"/>
      <c r="D447" s="1223" t="s">
        <v>398</v>
      </c>
      <c r="E447" s="1223"/>
      <c r="F447" s="1223"/>
      <c r="G447" s="3"/>
    </row>
    <row r="448" spans="1:7" ht="14.4">
      <c r="A448" s="124"/>
      <c r="B448" s="124"/>
      <c r="C448" s="278"/>
      <c r="D448" s="1223"/>
      <c r="E448" s="1223"/>
      <c r="F448" s="1223"/>
      <c r="G448" s="3"/>
    </row>
    <row r="449" spans="1:7" ht="14.4">
      <c r="A449" s="124"/>
      <c r="B449" s="124"/>
      <c r="C449" s="278"/>
      <c r="D449" s="85"/>
      <c r="E449" s="3"/>
      <c r="F449" s="3"/>
      <c r="G449" s="3"/>
    </row>
    <row r="450" spans="1:7">
      <c r="A450" s="278"/>
      <c r="B450" s="361" t="s">
        <v>294</v>
      </c>
      <c r="C450" s="278"/>
      <c r="D450" s="1255" t="s">
        <v>399</v>
      </c>
      <c r="E450" s="1255"/>
      <c r="F450" s="1255"/>
      <c r="G450" s="3"/>
    </row>
    <row r="451" spans="1:7" ht="14.4">
      <c r="A451" s="124"/>
      <c r="B451" s="278"/>
      <c r="C451" s="278"/>
      <c r="D451" s="1255"/>
      <c r="E451" s="1255"/>
      <c r="F451" s="1255"/>
      <c r="G451" s="3"/>
    </row>
    <row r="452" spans="1:7" ht="14.4">
      <c r="A452" s="124"/>
      <c r="B452" s="124"/>
      <c r="C452" s="278"/>
      <c r="D452" s="1255"/>
      <c r="E452" s="1255"/>
      <c r="F452" s="1255"/>
      <c r="G452" s="3"/>
    </row>
    <row r="453" spans="1:7" ht="14.4">
      <c r="A453" s="124"/>
      <c r="B453" s="124"/>
      <c r="C453" s="278"/>
      <c r="D453" s="1255"/>
      <c r="E453" s="1255"/>
      <c r="F453" s="1255"/>
      <c r="G453" s="3"/>
    </row>
    <row r="454" spans="1:7">
      <c r="A454" s="278"/>
      <c r="B454" s="278"/>
      <c r="C454" s="278"/>
      <c r="D454" s="3"/>
      <c r="E454" s="3"/>
      <c r="F454" s="3"/>
      <c r="G454"/>
    </row>
    <row r="455" spans="1:7" ht="14.4">
      <c r="A455" s="124"/>
      <c r="B455" s="361" t="s">
        <v>294</v>
      </c>
      <c r="C455" s="278"/>
      <c r="D455" s="1220" t="s">
        <v>400</v>
      </c>
      <c r="E455" s="1220"/>
      <c r="F455" s="1220"/>
      <c r="G455"/>
    </row>
    <row r="456" spans="1:7" ht="14.4">
      <c r="A456" s="124"/>
      <c r="B456" s="124"/>
      <c r="C456" s="278"/>
      <c r="D456" s="1220"/>
      <c r="E456" s="1220"/>
      <c r="F456" s="1220"/>
      <c r="G456"/>
    </row>
    <row r="457" spans="1:7" ht="14.4">
      <c r="A457" s="124"/>
      <c r="B457" s="278"/>
      <c r="C457" s="278"/>
      <c r="D457" s="1220"/>
      <c r="E457" s="1220"/>
      <c r="F457" s="1220"/>
      <c r="G457"/>
    </row>
    <row r="458" spans="1:7" ht="14.4">
      <c r="A458" s="124"/>
      <c r="B458" s="124"/>
      <c r="C458" s="278"/>
      <c r="D458" s="3"/>
      <c r="E458" s="3"/>
      <c r="F458" s="3"/>
      <c r="G458"/>
    </row>
    <row r="459" spans="1:7" ht="14.4">
      <c r="A459" s="124"/>
      <c r="B459" s="361" t="s">
        <v>294</v>
      </c>
      <c r="C459" s="278"/>
      <c r="D459" s="1240" t="s">
        <v>401</v>
      </c>
      <c r="E459" s="1240"/>
      <c r="F459" s="1240"/>
      <c r="G459"/>
    </row>
    <row r="460" spans="1:7" ht="14.4">
      <c r="A460" s="124"/>
      <c r="B460" s="124"/>
      <c r="C460" s="278"/>
      <c r="D460" s="85"/>
      <c r="E460" s="3"/>
      <c r="F460" s="3"/>
      <c r="G460"/>
    </row>
    <row r="461" spans="1:7" ht="14.4">
      <c r="A461" s="124"/>
      <c r="B461" s="361" t="s">
        <v>294</v>
      </c>
      <c r="C461" s="278"/>
      <c r="D461" s="1220" t="s">
        <v>402</v>
      </c>
      <c r="E461" s="1220"/>
      <c r="F461" s="1220"/>
      <c r="G461"/>
    </row>
    <row r="462" spans="1:7" ht="14.4">
      <c r="A462" s="124"/>
      <c r="B462" s="278"/>
      <c r="C462" s="278"/>
      <c r="D462" s="1220"/>
      <c r="E462" s="1220"/>
      <c r="F462" s="1220"/>
      <c r="G462"/>
    </row>
    <row r="463" spans="1:7">
      <c r="A463" s="13"/>
      <c r="B463" s="13"/>
      <c r="C463" s="278"/>
      <c r="D463" s="373"/>
      <c r="E463" s="3"/>
      <c r="F463" s="3"/>
      <c r="G463"/>
    </row>
    <row r="464" spans="1:7">
      <c r="A464" s="13"/>
      <c r="B464" s="361" t="s">
        <v>294</v>
      </c>
      <c r="C464" s="278"/>
      <c r="D464" s="1240" t="s">
        <v>403</v>
      </c>
      <c r="E464" s="1240"/>
      <c r="F464" s="1240"/>
      <c r="G464"/>
    </row>
    <row r="465" spans="1:7" ht="14.4">
      <c r="A465" s="124"/>
      <c r="B465" s="124"/>
      <c r="C465" s="278"/>
      <c r="D465" s="85"/>
      <c r="E465" s="3"/>
      <c r="F465" s="3"/>
      <c r="G465" s="3"/>
    </row>
    <row r="466" spans="1:7">
      <c r="A466" s="1241" t="s">
        <v>404</v>
      </c>
      <c r="B466" s="1241"/>
      <c r="C466" s="1241"/>
      <c r="D466" s="1241"/>
      <c r="E466" s="1241"/>
      <c r="F466" s="1241"/>
      <c r="G466" s="1241"/>
    </row>
    <row r="467" spans="1:7" ht="12" customHeight="1">
      <c r="A467" s="124"/>
      <c r="B467" s="124"/>
      <c r="C467" s="278"/>
      <c r="D467" s="85"/>
      <c r="E467" s="3"/>
      <c r="F467" s="3"/>
      <c r="G467" s="3"/>
    </row>
    <row r="468" spans="1:7">
      <c r="A468" s="278"/>
      <c r="B468" s="278"/>
      <c r="C468" s="120"/>
      <c r="D468" s="1239" t="s">
        <v>405</v>
      </c>
      <c r="E468" s="1239"/>
      <c r="F468" s="1239"/>
      <c r="G468" s="3"/>
    </row>
    <row r="469" spans="1:7" ht="13.2" customHeight="1">
      <c r="A469" s="123"/>
      <c r="B469" s="123"/>
      <c r="C469" s="123"/>
      <c r="D469" s="1270" t="s">
        <v>406</v>
      </c>
      <c r="E469" s="1270"/>
      <c r="F469" s="1270"/>
      <c r="G469" s="3"/>
    </row>
    <row r="470" spans="1:7">
      <c r="A470" s="123"/>
      <c r="B470" s="123"/>
      <c r="C470" s="123"/>
      <c r="D470" s="1270"/>
      <c r="E470" s="1270"/>
      <c r="F470" s="1270"/>
      <c r="G470" s="3"/>
    </row>
    <row r="471" spans="1:7">
      <c r="A471" s="123"/>
      <c r="B471" s="123"/>
      <c r="C471" s="123"/>
      <c r="D471" s="1270"/>
      <c r="E471" s="1270"/>
      <c r="F471" s="1270"/>
      <c r="G471" s="3"/>
    </row>
    <row r="472" spans="1:7">
      <c r="A472" s="123"/>
      <c r="B472" s="123"/>
      <c r="C472" s="123"/>
      <c r="D472" s="1270"/>
      <c r="E472" s="1270"/>
      <c r="F472" s="1270"/>
      <c r="G472" s="3"/>
    </row>
    <row r="473" spans="1:7">
      <c r="A473" s="123"/>
      <c r="B473" s="123"/>
      <c r="C473" s="123"/>
      <c r="D473" s="1270"/>
      <c r="E473" s="1270"/>
      <c r="F473" s="1270"/>
      <c r="G473" s="3"/>
    </row>
    <row r="474" spans="1:7">
      <c r="A474" s="123"/>
      <c r="B474" s="123"/>
      <c r="C474" s="123"/>
      <c r="D474" s="224"/>
      <c r="E474" s="3"/>
      <c r="F474" s="85"/>
      <c r="G474" s="3"/>
    </row>
    <row r="475" spans="1:7" ht="14.7" customHeight="1">
      <c r="A475" s="124"/>
      <c r="B475" s="361" t="s">
        <v>294</v>
      </c>
      <c r="C475" s="123"/>
      <c r="D475" s="1254" t="s">
        <v>407</v>
      </c>
      <c r="E475" s="1254"/>
      <c r="F475" s="1254"/>
      <c r="G475" s="3"/>
    </row>
    <row r="476" spans="1:7">
      <c r="A476" s="123"/>
      <c r="B476" s="123"/>
      <c r="C476" s="123"/>
      <c r="D476" s="1254"/>
      <c r="E476" s="1254"/>
      <c r="F476" s="1254"/>
      <c r="G476" s="3"/>
    </row>
    <row r="477" spans="1:7">
      <c r="A477" s="123"/>
      <c r="B477" s="123"/>
      <c r="C477" s="123"/>
      <c r="D477" s="1254"/>
      <c r="E477" s="1254"/>
      <c r="F477" s="1254"/>
      <c r="G477" s="3"/>
    </row>
    <row r="478" spans="1:7">
      <c r="A478" s="123"/>
      <c r="B478" s="123"/>
      <c r="C478" s="123"/>
      <c r="D478" s="1254"/>
      <c r="E478" s="1254"/>
      <c r="F478" s="1254"/>
      <c r="G478" s="3"/>
    </row>
    <row r="479" spans="1:7">
      <c r="A479" s="123"/>
      <c r="B479" s="123"/>
      <c r="C479" s="123"/>
      <c r="D479" s="1254"/>
      <c r="E479" s="1254"/>
      <c r="F479" s="1254"/>
      <c r="G479" s="3"/>
    </row>
    <row r="480" spans="1:7">
      <c r="A480" s="123"/>
      <c r="B480" s="123"/>
      <c r="C480" s="123"/>
      <c r="D480" s="145"/>
      <c r="E480" s="3"/>
      <c r="F480" s="85"/>
      <c r="G480" s="3"/>
    </row>
    <row r="481" spans="1:6" ht="14.7" customHeight="1">
      <c r="A481" s="124"/>
      <c r="B481" s="361" t="s">
        <v>294</v>
      </c>
      <c r="C481" s="123"/>
      <c r="D481" s="1254" t="s">
        <v>408</v>
      </c>
      <c r="E481" s="1254"/>
      <c r="F481" s="1254"/>
    </row>
    <row r="482" spans="1:6">
      <c r="A482" s="123"/>
      <c r="B482" s="123"/>
      <c r="C482" s="123"/>
      <c r="D482" s="1254"/>
      <c r="E482" s="1254"/>
      <c r="F482" s="1254"/>
    </row>
    <row r="483" spans="1:6">
      <c r="A483" s="123"/>
      <c r="B483" s="123"/>
      <c r="C483" s="123"/>
      <c r="D483" s="1254"/>
      <c r="E483" s="1254"/>
      <c r="F483" s="1254"/>
    </row>
    <row r="484" spans="1:6">
      <c r="A484" s="123"/>
      <c r="B484" s="123"/>
      <c r="C484" s="123"/>
      <c r="D484" s="1254"/>
      <c r="E484" s="1254"/>
      <c r="F484" s="1254"/>
    </row>
    <row r="485" spans="1:6" ht="10.199999999999999" customHeight="1">
      <c r="A485" s="123"/>
      <c r="B485" s="123"/>
      <c r="C485" s="123"/>
      <c r="D485" s="145"/>
      <c r="E485" s="3"/>
      <c r="F485" s="85"/>
    </row>
    <row r="486" spans="1:6" ht="14.7" customHeight="1">
      <c r="A486" s="124"/>
      <c r="B486" s="361" t="s">
        <v>294</v>
      </c>
      <c r="C486" s="123"/>
      <c r="D486" s="1254" t="s">
        <v>409</v>
      </c>
      <c r="E486" s="1254"/>
      <c r="F486" s="1254"/>
    </row>
    <row r="487" spans="1:6">
      <c r="A487" s="123"/>
      <c r="B487" s="123"/>
      <c r="C487" s="123"/>
      <c r="D487" s="1254"/>
      <c r="E487" s="1254"/>
      <c r="F487" s="1254"/>
    </row>
    <row r="488" spans="1:6">
      <c r="A488" s="123"/>
      <c r="B488" s="123"/>
      <c r="C488" s="123"/>
      <c r="D488" s="1254"/>
      <c r="E488" s="1254"/>
      <c r="F488" s="1254"/>
    </row>
    <row r="489" spans="1:6">
      <c r="A489" s="123"/>
      <c r="B489" s="123"/>
      <c r="C489" s="123"/>
      <c r="D489" s="368"/>
      <c r="E489" s="368"/>
      <c r="F489" s="368"/>
    </row>
    <row r="490" spans="1:6" ht="14.7" customHeight="1">
      <c r="A490" s="124"/>
      <c r="B490" s="361" t="s">
        <v>294</v>
      </c>
      <c r="C490" s="123"/>
      <c r="D490" s="1254" t="s">
        <v>410</v>
      </c>
      <c r="E490" s="1254"/>
      <c r="F490" s="1254"/>
    </row>
    <row r="491" spans="1:6">
      <c r="A491" s="123"/>
      <c r="B491" s="123"/>
      <c r="C491" s="123"/>
      <c r="D491" s="1254"/>
      <c r="E491" s="1254"/>
      <c r="F491" s="1254"/>
    </row>
    <row r="492" spans="1:6">
      <c r="A492" s="123"/>
      <c r="B492" s="123"/>
      <c r="C492" s="123"/>
      <c r="D492" s="1254"/>
      <c r="E492" s="1254"/>
      <c r="F492" s="1254"/>
    </row>
    <row r="493" spans="1:6">
      <c r="A493" s="123"/>
      <c r="B493" s="123"/>
      <c r="C493" s="123"/>
      <c r="D493" s="1254"/>
      <c r="E493" s="1254"/>
      <c r="F493" s="1254"/>
    </row>
    <row r="494" spans="1:6">
      <c r="A494" s="123"/>
      <c r="B494" s="123"/>
      <c r="C494" s="123"/>
      <c r="D494" s="1254"/>
      <c r="E494" s="1254"/>
      <c r="F494" s="1254"/>
    </row>
    <row r="495" spans="1:6">
      <c r="A495" s="123"/>
      <c r="B495" s="123"/>
      <c r="C495" s="123"/>
      <c r="D495" s="1254"/>
      <c r="E495" s="1254"/>
      <c r="F495" s="1254"/>
    </row>
    <row r="496" spans="1:6">
      <c r="A496" s="123"/>
      <c r="B496" s="123"/>
      <c r="C496" s="123"/>
      <c r="D496" s="1254"/>
      <c r="E496" s="1254"/>
      <c r="F496" s="1254"/>
    </row>
    <row r="497" spans="1:7">
      <c r="A497" s="123"/>
      <c r="B497" s="123"/>
      <c r="C497" s="123"/>
      <c r="D497" s="1254"/>
      <c r="E497" s="1254"/>
      <c r="F497" s="1254"/>
      <c r="G497" s="3"/>
    </row>
    <row r="498" spans="1:7">
      <c r="A498" s="123"/>
      <c r="B498" s="123"/>
      <c r="C498" s="123"/>
      <c r="D498" s="1254"/>
      <c r="E498" s="1254"/>
      <c r="F498" s="1254"/>
      <c r="G498" s="3"/>
    </row>
    <row r="499" spans="1:7">
      <c r="A499" s="123"/>
      <c r="B499" s="123"/>
      <c r="C499" s="123"/>
      <c r="D499" s="145"/>
      <c r="E499" s="3"/>
      <c r="F499" s="85"/>
      <c r="G499" s="3"/>
    </row>
    <row r="500" spans="1:7" ht="13.2" customHeight="1">
      <c r="A500" s="123"/>
      <c r="B500" s="361" t="s">
        <v>294</v>
      </c>
      <c r="C500" s="123"/>
      <c r="D500" s="1223" t="s">
        <v>411</v>
      </c>
      <c r="E500" s="1223"/>
      <c r="F500" s="1223"/>
      <c r="G500" s="3"/>
    </row>
    <row r="501" spans="1:7">
      <c r="A501" s="123"/>
      <c r="B501" s="123"/>
      <c r="C501" s="123"/>
      <c r="D501" s="1223"/>
      <c r="E501" s="1223"/>
      <c r="F501" s="1223"/>
      <c r="G501" s="3"/>
    </row>
    <row r="502" spans="1:7">
      <c r="A502" s="123"/>
      <c r="B502" s="123"/>
      <c r="C502" s="123"/>
      <c r="D502" s="1223"/>
      <c r="E502" s="1223"/>
      <c r="F502" s="1223"/>
      <c r="G502" s="3"/>
    </row>
    <row r="503" spans="1:7">
      <c r="A503" s="123"/>
      <c r="B503" s="123"/>
      <c r="C503" s="123"/>
      <c r="D503" s="1223"/>
      <c r="E503" s="1223"/>
      <c r="F503" s="1223"/>
      <c r="G503" s="3"/>
    </row>
    <row r="504" spans="1:7">
      <c r="A504" s="123"/>
      <c r="B504" s="123"/>
      <c r="C504" s="123"/>
      <c r="D504" s="1223"/>
      <c r="E504" s="1223"/>
      <c r="F504" s="1223"/>
      <c r="G504" s="3"/>
    </row>
    <row r="505" spans="1:7">
      <c r="A505" s="123"/>
      <c r="B505" s="123"/>
      <c r="C505" s="123"/>
      <c r="D505" s="377"/>
      <c r="E505" s="377"/>
      <c r="F505" s="377"/>
      <c r="G505" s="3"/>
    </row>
    <row r="506" spans="1:7" ht="14.7" customHeight="1">
      <c r="A506" s="124"/>
      <c r="B506" s="361" t="s">
        <v>294</v>
      </c>
      <c r="C506" s="278"/>
      <c r="D506" s="1254" t="s">
        <v>412</v>
      </c>
      <c r="E506" s="1254"/>
      <c r="F506" s="1254"/>
      <c r="G506" s="3"/>
    </row>
    <row r="507" spans="1:7">
      <c r="A507" s="278"/>
      <c r="B507" s="278"/>
      <c r="C507" s="278"/>
      <c r="D507" s="1254"/>
      <c r="E507" s="1254"/>
      <c r="F507" s="1254"/>
      <c r="G507" s="3"/>
    </row>
    <row r="508" spans="1:7">
      <c r="A508" s="278"/>
      <c r="B508" s="278"/>
      <c r="C508" s="278"/>
      <c r="D508" s="1254"/>
      <c r="E508" s="1254"/>
      <c r="F508" s="1254"/>
      <c r="G508" s="3"/>
    </row>
    <row r="509" spans="1:7" ht="12" customHeight="1">
      <c r="A509" s="85"/>
      <c r="B509" s="85"/>
      <c r="C509" s="908"/>
      <c r="D509" s="85"/>
      <c r="E509" s="3"/>
      <c r="F509" s="50"/>
      <c r="G509" s="3"/>
    </row>
    <row r="510" spans="1:7">
      <c r="A510" s="1241" t="s">
        <v>413</v>
      </c>
      <c r="B510" s="1241"/>
      <c r="C510" s="1241"/>
      <c r="D510" s="1241"/>
      <c r="E510" s="1241"/>
      <c r="F510" s="1241"/>
      <c r="G510" s="1241"/>
    </row>
    <row r="511" spans="1:7">
      <c r="A511" s="85"/>
      <c r="B511" s="85"/>
      <c r="C511" s="908"/>
      <c r="D511" s="3"/>
      <c r="E511" s="3"/>
      <c r="F511" s="50"/>
      <c r="G511" s="3"/>
    </row>
    <row r="512" spans="1:7">
      <c r="A512" s="278"/>
      <c r="B512" s="1238" t="s">
        <v>334</v>
      </c>
      <c r="C512" s="1238"/>
      <c r="D512" s="1238"/>
      <c r="E512" s="1238"/>
      <c r="F512" s="1238"/>
      <c r="G512" s="3"/>
    </row>
    <row r="513" spans="1:7">
      <c r="A513" s="85"/>
      <c r="B513" s="85"/>
      <c r="C513" s="908"/>
      <c r="D513" s="85"/>
      <c r="E513" s="3"/>
      <c r="F513" s="85"/>
      <c r="G513" s="3"/>
    </row>
    <row r="514" spans="1:7">
      <c r="A514" s="1242" t="s">
        <v>414</v>
      </c>
      <c r="B514" s="1242"/>
      <c r="C514" s="1242"/>
      <c r="D514" s="1242"/>
      <c r="E514" s="1242"/>
      <c r="F514" s="1242"/>
      <c r="G514" s="1242"/>
    </row>
    <row r="515" spans="1:7">
      <c r="A515" s="85"/>
      <c r="B515" s="85"/>
      <c r="C515" s="908"/>
      <c r="D515" s="85"/>
      <c r="E515" s="3"/>
      <c r="F515" s="85"/>
      <c r="G515" s="3"/>
    </row>
    <row r="516" spans="1:7">
      <c r="A516" s="278"/>
      <c r="B516" s="278"/>
      <c r="C516" s="908"/>
      <c r="D516" s="1239" t="s">
        <v>415</v>
      </c>
      <c r="E516" s="1239"/>
      <c r="F516" s="1239"/>
      <c r="G516" s="3"/>
    </row>
    <row r="517" spans="1:7">
      <c r="A517" s="278"/>
      <c r="B517" s="278"/>
      <c r="C517" s="908"/>
      <c r="D517" s="1240" t="s">
        <v>416</v>
      </c>
      <c r="E517" s="1240"/>
      <c r="F517" s="1240"/>
      <c r="G517" s="3"/>
    </row>
    <row r="518" spans="1:7">
      <c r="A518" s="278"/>
      <c r="B518" s="278"/>
      <c r="C518" s="908"/>
      <c r="D518" s="85"/>
      <c r="E518" s="85"/>
      <c r="F518" s="85"/>
      <c r="G518" s="3"/>
    </row>
    <row r="519" spans="1:7" ht="13.2" customHeight="1">
      <c r="A519" s="124"/>
      <c r="B519" s="361" t="s">
        <v>294</v>
      </c>
      <c r="C519" s="908"/>
      <c r="D519" s="1240" t="s">
        <v>417</v>
      </c>
      <c r="E519" s="1240"/>
      <c r="F519" s="1240"/>
      <c r="G519"/>
    </row>
    <row r="520" spans="1:7" ht="13.2" customHeight="1">
      <c r="A520" s="908"/>
      <c r="B520" s="908"/>
      <c r="C520" s="908"/>
      <c r="D520" s="85"/>
      <c r="E520"/>
      <c r="F520"/>
      <c r="G520"/>
    </row>
    <row r="521" spans="1:7" ht="14.4">
      <c r="A521" s="124"/>
      <c r="B521" s="361" t="s">
        <v>294</v>
      </c>
      <c r="C521" s="908"/>
      <c r="D521" s="1220" t="s">
        <v>418</v>
      </c>
      <c r="E521" s="1220"/>
      <c r="F521" s="1220"/>
      <c r="G521"/>
    </row>
    <row r="522" spans="1:7">
      <c r="A522" s="908"/>
      <c r="B522" s="908"/>
      <c r="C522" s="908"/>
      <c r="D522" s="1220"/>
      <c r="E522" s="1220"/>
      <c r="F522" s="1220"/>
      <c r="G522"/>
    </row>
    <row r="523" spans="1:7">
      <c r="A523" s="908"/>
      <c r="B523" s="908"/>
      <c r="C523" s="908"/>
      <c r="D523" s="85"/>
      <c r="E523" s="85"/>
      <c r="F523" s="85"/>
      <c r="G523"/>
    </row>
    <row r="524" spans="1:7" ht="14.4">
      <c r="A524" s="124"/>
      <c r="B524" s="361" t="s">
        <v>294</v>
      </c>
      <c r="C524" s="908"/>
      <c r="D524" s="1220" t="s">
        <v>419</v>
      </c>
      <c r="E524" s="1220"/>
      <c r="F524" s="1220"/>
      <c r="G524"/>
    </row>
    <row r="525" spans="1:7">
      <c r="A525" s="908"/>
      <c r="B525" s="908"/>
      <c r="C525" s="908"/>
      <c r="D525" s="1220"/>
      <c r="E525" s="1220"/>
      <c r="F525" s="1220"/>
      <c r="G525"/>
    </row>
    <row r="526" spans="1:7">
      <c r="A526" s="908"/>
      <c r="B526" s="908"/>
      <c r="C526" s="908"/>
      <c r="D526" s="85"/>
      <c r="E526" s="85"/>
      <c r="F526" s="85"/>
      <c r="G526"/>
    </row>
    <row r="527" spans="1:7" ht="14.4">
      <c r="A527" s="124"/>
      <c r="B527" s="361" t="s">
        <v>294</v>
      </c>
      <c r="C527" s="908"/>
      <c r="D527" s="1220" t="s">
        <v>420</v>
      </c>
      <c r="E527" s="1220"/>
      <c r="F527" s="1220"/>
      <c r="G527"/>
    </row>
    <row r="528" spans="1:7">
      <c r="A528" s="908"/>
      <c r="B528" s="908"/>
      <c r="C528" s="908"/>
      <c r="D528" s="1220"/>
      <c r="E528" s="1220"/>
      <c r="F528" s="1220"/>
      <c r="G528"/>
    </row>
    <row r="529" spans="1:7">
      <c r="A529" s="908"/>
      <c r="B529" s="908"/>
      <c r="C529" s="908"/>
      <c r="D529" s="85"/>
      <c r="E529" s="85"/>
      <c r="F529" s="85"/>
      <c r="G529"/>
    </row>
    <row r="530" spans="1:7" ht="14.4">
      <c r="A530" s="124"/>
      <c r="B530" s="361" t="s">
        <v>294</v>
      </c>
      <c r="C530" s="908"/>
      <c r="D530" s="1220" t="s">
        <v>421</v>
      </c>
      <c r="E530" s="1220"/>
      <c r="F530" s="1220"/>
      <c r="G530"/>
    </row>
    <row r="531" spans="1:7">
      <c r="A531" s="908"/>
      <c r="B531" s="908"/>
      <c r="C531" s="908"/>
      <c r="D531" s="1220"/>
      <c r="E531" s="1220"/>
      <c r="F531" s="1220"/>
      <c r="G531"/>
    </row>
    <row r="532" spans="1:7">
      <c r="A532" s="908"/>
      <c r="B532" s="908"/>
      <c r="C532" s="908"/>
      <c r="D532" s="1220"/>
      <c r="E532" s="1220"/>
      <c r="F532" s="1220"/>
      <c r="G532"/>
    </row>
    <row r="533" spans="1:7">
      <c r="A533" s="908"/>
      <c r="B533" s="908"/>
      <c r="C533" s="908"/>
      <c r="D533" s="85"/>
      <c r="E533" s="85"/>
      <c r="F533" s="85"/>
      <c r="G533" s="3"/>
    </row>
    <row r="534" spans="1:7" ht="14.4">
      <c r="A534" s="124"/>
      <c r="B534" s="361" t="s">
        <v>294</v>
      </c>
      <c r="C534" s="908"/>
      <c r="D534" s="1220" t="s">
        <v>422</v>
      </c>
      <c r="E534" s="1220"/>
      <c r="F534" s="1220"/>
      <c r="G534" s="3"/>
    </row>
    <row r="535" spans="1:7">
      <c r="A535" s="908"/>
      <c r="B535" s="908"/>
      <c r="C535" s="908"/>
      <c r="D535" s="1220"/>
      <c r="E535" s="1220"/>
      <c r="F535" s="1220"/>
      <c r="G535" s="3"/>
    </row>
    <row r="536" spans="1:7">
      <c r="A536" s="908"/>
      <c r="B536" s="908"/>
      <c r="C536" s="908"/>
      <c r="D536" s="85"/>
      <c r="E536" s="85"/>
      <c r="F536" s="85"/>
      <c r="G536" s="3"/>
    </row>
    <row r="537" spans="1:7" ht="14.4">
      <c r="A537" s="124"/>
      <c r="B537" s="361" t="s">
        <v>294</v>
      </c>
      <c r="C537" s="908"/>
      <c r="D537" s="1220" t="s">
        <v>423</v>
      </c>
      <c r="E537" s="1220"/>
      <c r="F537" s="1220"/>
      <c r="G537" s="3"/>
    </row>
    <row r="538" spans="1:7">
      <c r="A538" s="908"/>
      <c r="B538" s="908"/>
      <c r="C538" s="908"/>
      <c r="D538" s="1220"/>
      <c r="E538" s="1220"/>
      <c r="F538" s="1220"/>
      <c r="G538" s="3"/>
    </row>
    <row r="539" spans="1:7">
      <c r="A539" s="908"/>
      <c r="B539" s="908"/>
      <c r="C539" s="908"/>
      <c r="D539" s="85"/>
      <c r="E539" s="85"/>
      <c r="F539" s="85"/>
      <c r="G539" s="3"/>
    </row>
    <row r="540" spans="1:7" ht="14.4">
      <c r="A540" s="124"/>
      <c r="B540" s="361" t="s">
        <v>294</v>
      </c>
      <c r="C540" s="908"/>
      <c r="D540" s="1220" t="s">
        <v>424</v>
      </c>
      <c r="E540" s="1220"/>
      <c r="F540" s="1220"/>
      <c r="G540" s="3"/>
    </row>
    <row r="541" spans="1:7">
      <c r="A541" s="908"/>
      <c r="B541" s="908"/>
      <c r="C541" s="908"/>
      <c r="D541" s="1220"/>
      <c r="E541" s="1220"/>
      <c r="F541" s="1220"/>
      <c r="G541" s="3"/>
    </row>
    <row r="542" spans="1:7">
      <c r="A542" s="908"/>
      <c r="B542" s="908"/>
      <c r="C542" s="908"/>
      <c r="D542" s="85"/>
      <c r="E542" s="85"/>
      <c r="F542" s="85"/>
      <c r="G542" s="3"/>
    </row>
    <row r="543" spans="1:7" ht="14.4">
      <c r="A543" s="124"/>
      <c r="B543" s="361" t="s">
        <v>294</v>
      </c>
      <c r="C543" s="908"/>
      <c r="D543" s="1240" t="s">
        <v>425</v>
      </c>
      <c r="E543" s="1240"/>
      <c r="F543" s="1240"/>
      <c r="G543" s="3"/>
    </row>
    <row r="544" spans="1:7">
      <c r="A544" s="13"/>
      <c r="B544" s="13"/>
      <c r="C544" s="908"/>
      <c r="D544" s="1240" t="s">
        <v>426</v>
      </c>
      <c r="E544" s="1240"/>
      <c r="F544" s="1240"/>
      <c r="G544" s="3"/>
    </row>
    <row r="545" spans="1:7">
      <c r="A545" s="13"/>
      <c r="B545" s="13"/>
      <c r="C545" s="908"/>
      <c r="D545" s="3"/>
      <c r="E545" s="1244" t="s">
        <v>427</v>
      </c>
      <c r="F545" s="1244"/>
      <c r="G545" s="3"/>
    </row>
    <row r="546" spans="1:7" ht="14.4">
      <c r="A546" s="124"/>
      <c r="B546" s="124"/>
      <c r="C546" s="908"/>
      <c r="D546" s="3"/>
      <c r="E546" s="85"/>
      <c r="F546" s="85"/>
      <c r="G546" s="3"/>
    </row>
    <row r="547" spans="1:7" ht="14.4">
      <c r="A547" s="124"/>
      <c r="B547" s="361" t="s">
        <v>294</v>
      </c>
      <c r="C547" s="908"/>
      <c r="D547" s="1240" t="s">
        <v>428</v>
      </c>
      <c r="E547" s="1240"/>
      <c r="F547" s="1240"/>
      <c r="G547" s="3"/>
    </row>
    <row r="548" spans="1:7">
      <c r="A548" s="278"/>
      <c r="B548" s="278"/>
      <c r="C548" s="908"/>
      <c r="D548" s="1220" t="s">
        <v>429</v>
      </c>
      <c r="E548" s="1220"/>
      <c r="F548" s="1220"/>
      <c r="G548" s="3"/>
    </row>
    <row r="549" spans="1:7">
      <c r="A549" s="908"/>
      <c r="B549" s="908"/>
      <c r="C549" s="908"/>
      <c r="D549" s="1220"/>
      <c r="E549" s="1220"/>
      <c r="F549" s="1220"/>
      <c r="G549" s="3"/>
    </row>
    <row r="550" spans="1:7">
      <c r="A550" s="908"/>
      <c r="B550" s="908"/>
      <c r="C550" s="908"/>
      <c r="D550" s="1220"/>
      <c r="E550" s="1220"/>
      <c r="F550" s="1220"/>
      <c r="G550" s="3"/>
    </row>
    <row r="551" spans="1:7">
      <c r="A551" s="908"/>
      <c r="B551" s="908"/>
      <c r="C551" s="908"/>
      <c r="D551" s="85"/>
      <c r="E551" s="85"/>
      <c r="F551" s="85"/>
      <c r="G551" s="3"/>
    </row>
    <row r="552" spans="1:7" ht="14.4">
      <c r="A552" s="124"/>
      <c r="B552" s="361" t="s">
        <v>294</v>
      </c>
      <c r="C552" s="908"/>
      <c r="D552" s="1220" t="s">
        <v>430</v>
      </c>
      <c r="E552" s="1220"/>
      <c r="F552" s="1220"/>
      <c r="G552" s="3"/>
    </row>
    <row r="553" spans="1:7" ht="14.4">
      <c r="A553" s="124"/>
      <c r="B553" s="124"/>
      <c r="C553" s="908"/>
      <c r="D553" s="1220"/>
      <c r="E553" s="1220"/>
      <c r="F553" s="1220"/>
      <c r="G553" s="3"/>
    </row>
    <row r="554" spans="1:7" ht="14.4">
      <c r="A554" s="124"/>
      <c r="B554" s="124"/>
      <c r="C554" s="908"/>
      <c r="D554" s="1220"/>
      <c r="E554" s="1220"/>
      <c r="F554" s="1220"/>
      <c r="G554" s="3"/>
    </row>
    <row r="555" spans="1:7" ht="14.4">
      <c r="A555" s="124"/>
      <c r="B555" s="124"/>
      <c r="C555" s="908"/>
      <c r="D555" s="1220"/>
      <c r="E555" s="1220"/>
      <c r="F555" s="1220"/>
      <c r="G555" s="3"/>
    </row>
    <row r="556" spans="1:7" ht="14.4">
      <c r="A556" s="124"/>
      <c r="B556" s="124"/>
      <c r="C556" s="908"/>
      <c r="D556" s="85"/>
      <c r="E556" s="85"/>
      <c r="F556" s="85"/>
      <c r="G556" s="3"/>
    </row>
    <row r="557" spans="1:7">
      <c r="A557" s="1241" t="s">
        <v>431</v>
      </c>
      <c r="B557" s="1241"/>
      <c r="C557" s="1241"/>
      <c r="D557" s="1241"/>
      <c r="E557" s="1241"/>
      <c r="F557" s="1241"/>
      <c r="G557" s="1241"/>
    </row>
    <row r="558" spans="1:7">
      <c r="A558" s="908"/>
      <c r="B558" s="908"/>
      <c r="C558" s="908"/>
      <c r="D558" s="3"/>
      <c r="E558" s="85"/>
      <c r="F558" s="85"/>
      <c r="G558" s="3"/>
    </row>
    <row r="559" spans="1:7" ht="12.75" customHeight="1">
      <c r="A559" s="278"/>
      <c r="B559" s="278"/>
      <c r="C559" s="120"/>
      <c r="D559" s="1250" t="s">
        <v>432</v>
      </c>
      <c r="E559" s="1250"/>
      <c r="F559" s="1250"/>
      <c r="G559" s="3"/>
    </row>
    <row r="560" spans="1:7">
      <c r="A560" s="123"/>
      <c r="B560" s="123"/>
      <c r="C560" s="123"/>
      <c r="D560" s="1255" t="s">
        <v>433</v>
      </c>
      <c r="E560" s="1255"/>
      <c r="F560" s="1255"/>
      <c r="G560" s="3"/>
    </row>
    <row r="561" spans="1:6">
      <c r="A561"/>
      <c r="B561"/>
      <c r="C561" s="123"/>
      <c r="D561" s="174"/>
      <c r="E561" s="3"/>
      <c r="F561" s="3"/>
    </row>
    <row r="562" spans="1:6">
      <c r="A562" s="123"/>
      <c r="B562" s="361" t="s">
        <v>294</v>
      </c>
      <c r="C562" s="278"/>
      <c r="D562" s="1255" t="s">
        <v>434</v>
      </c>
      <c r="E562" s="1255"/>
      <c r="F562" s="1255"/>
    </row>
    <row r="563" spans="1:6">
      <c r="A563" s="13"/>
      <c r="B563" s="13"/>
      <c r="C563" s="278"/>
      <c r="D563" s="143"/>
      <c r="E563" s="3"/>
      <c r="F563" s="3"/>
    </row>
    <row r="564" spans="1:6">
      <c r="A564" s="13"/>
      <c r="B564" s="361" t="s">
        <v>294</v>
      </c>
      <c r="C564" s="278"/>
      <c r="D564" s="1255" t="s">
        <v>435</v>
      </c>
      <c r="E564" s="1255"/>
      <c r="F564" s="1255"/>
    </row>
    <row r="565" spans="1:6">
      <c r="A565" s="13"/>
      <c r="B565" s="13"/>
      <c r="C565" s="278"/>
      <c r="D565" s="1255"/>
      <c r="E565" s="1255"/>
      <c r="F565" s="1255"/>
    </row>
    <row r="566" spans="1:6">
      <c r="A566" s="13"/>
      <c r="B566" s="13"/>
      <c r="C566" s="278"/>
      <c r="D566" s="1255"/>
      <c r="E566" s="1255"/>
      <c r="F566" s="1255"/>
    </row>
    <row r="567" spans="1:6">
      <c r="A567" s="13"/>
      <c r="B567" s="13"/>
      <c r="C567" s="278"/>
      <c r="D567" s="174"/>
      <c r="E567" s="3"/>
      <c r="F567" s="3"/>
    </row>
    <row r="568" spans="1:6">
      <c r="A568" s="13"/>
      <c r="B568" s="361" t="s">
        <v>294</v>
      </c>
      <c r="C568" s="278"/>
      <c r="D568" s="1255" t="s">
        <v>436</v>
      </c>
      <c r="E568" s="1255"/>
      <c r="F568" s="1255"/>
    </row>
    <row r="569" spans="1:6">
      <c r="A569" s="13"/>
      <c r="B569" s="13"/>
      <c r="C569" s="278"/>
      <c r="D569" s="1255"/>
      <c r="E569" s="1255"/>
      <c r="F569" s="1255"/>
    </row>
    <row r="570" spans="1:6">
      <c r="A570" s="13"/>
      <c r="B570" s="13"/>
      <c r="C570" s="278"/>
      <c r="D570" s="1255"/>
      <c r="E570" s="1255"/>
      <c r="F570" s="1255"/>
    </row>
    <row r="571" spans="1:6">
      <c r="A571" s="13"/>
      <c r="B571" s="13"/>
      <c r="C571" s="278"/>
      <c r="D571" s="1255"/>
      <c r="E571" s="1255"/>
      <c r="F571" s="1255"/>
    </row>
    <row r="572" spans="1:6">
      <c r="A572" s="13"/>
      <c r="B572" s="13"/>
      <c r="C572" s="278"/>
      <c r="D572" s="366"/>
      <c r="E572" s="366"/>
      <c r="F572" s="366"/>
    </row>
    <row r="573" spans="1:6">
      <c r="A573" s="13"/>
      <c r="B573" s="361" t="s">
        <v>294</v>
      </c>
      <c r="C573" s="278"/>
      <c r="D573" s="1255" t="s">
        <v>437</v>
      </c>
      <c r="E573" s="1255"/>
      <c r="F573" s="1255"/>
    </row>
    <row r="574" spans="1:6">
      <c r="A574" s="13"/>
      <c r="B574" s="13"/>
      <c r="C574" s="278"/>
      <c r="D574" s="1255"/>
      <c r="E574" s="1255"/>
      <c r="F574" s="1255"/>
    </row>
    <row r="575" spans="1:6">
      <c r="A575" s="13"/>
      <c r="B575" s="13"/>
      <c r="C575" s="278"/>
      <c r="D575" s="174"/>
      <c r="E575" s="3"/>
      <c r="F575" s="3"/>
    </row>
    <row r="576" spans="1:6">
      <c r="A576" s="13"/>
      <c r="B576" s="361" t="s">
        <v>294</v>
      </c>
      <c r="C576" s="278"/>
      <c r="D576" s="1255" t="s">
        <v>438</v>
      </c>
      <c r="E576" s="1255"/>
      <c r="F576" s="1255"/>
    </row>
    <row r="577" spans="1:7">
      <c r="A577" s="13"/>
      <c r="B577" s="13"/>
      <c r="C577" s="278"/>
      <c r="D577" s="1255"/>
      <c r="E577" s="1255"/>
      <c r="F577" s="1255"/>
      <c r="G577" s="3"/>
    </row>
    <row r="578" spans="1:7">
      <c r="A578" s="13"/>
      <c r="B578" s="13"/>
      <c r="C578" s="278"/>
      <c r="D578" s="174"/>
      <c r="E578" s="3"/>
      <c r="F578" s="3"/>
      <c r="G578" s="3"/>
    </row>
    <row r="579" spans="1:7" ht="14.4">
      <c r="A579" s="124"/>
      <c r="B579" s="361" t="s">
        <v>294</v>
      </c>
      <c r="C579" s="278"/>
      <c r="D579" s="1255" t="s">
        <v>439</v>
      </c>
      <c r="E579" s="1255"/>
      <c r="F579" s="1255"/>
      <c r="G579" s="3"/>
    </row>
    <row r="580" spans="1:7" ht="14.4">
      <c r="A580" s="124"/>
      <c r="B580" s="124"/>
      <c r="C580" s="278"/>
      <c r="D580" s="174"/>
      <c r="E580" s="3"/>
      <c r="F580" s="3"/>
      <c r="G580" s="3"/>
    </row>
    <row r="581" spans="1:7" ht="14.4">
      <c r="A581" s="124"/>
      <c r="B581" s="361" t="s">
        <v>294</v>
      </c>
      <c r="C581" s="278"/>
      <c r="D581" s="1255" t="s">
        <v>440</v>
      </c>
      <c r="E581" s="1255"/>
      <c r="F581" s="1255"/>
      <c r="G581" s="3"/>
    </row>
    <row r="582" spans="1:7" ht="14.4">
      <c r="A582" s="124"/>
      <c r="B582" s="124"/>
      <c r="C582" s="278"/>
      <c r="D582" s="1255"/>
      <c r="E582" s="1255"/>
      <c r="F582" s="1255"/>
      <c r="G582" s="3"/>
    </row>
    <row r="583" spans="1:7">
      <c r="A583" s="278"/>
      <c r="B583" s="278"/>
      <c r="C583" s="278"/>
      <c r="D583" s="1255"/>
      <c r="E583" s="1255"/>
      <c r="F583" s="1255"/>
      <c r="G583" s="3"/>
    </row>
    <row r="584" spans="1:7">
      <c r="A584" s="278"/>
      <c r="B584" s="278"/>
      <c r="C584" s="278"/>
      <c r="D584" s="1255"/>
      <c r="E584" s="1255"/>
      <c r="F584" s="1255"/>
      <c r="G584" s="3"/>
    </row>
    <row r="585" spans="1:7">
      <c r="A585" s="278"/>
      <c r="B585" s="278"/>
      <c r="C585" s="278"/>
      <c r="D585" s="1255"/>
      <c r="E585" s="1255"/>
      <c r="F585" s="1255"/>
      <c r="G585" s="3"/>
    </row>
    <row r="586" spans="1:7">
      <c r="A586" s="278"/>
      <c r="B586" s="278"/>
      <c r="C586" s="278"/>
      <c r="D586" s="1255"/>
      <c r="E586" s="1255"/>
      <c r="F586" s="1255"/>
      <c r="G586" s="3"/>
    </row>
    <row r="587" spans="1:7">
      <c r="A587" s="278"/>
      <c r="B587" s="278"/>
      <c r="C587" s="278"/>
      <c r="D587" s="3"/>
      <c r="E587" s="3"/>
      <c r="F587" s="3"/>
      <c r="G587" s="3"/>
    </row>
    <row r="588" spans="1:7">
      <c r="A588" s="1241" t="s">
        <v>441</v>
      </c>
      <c r="B588" s="1241"/>
      <c r="C588" s="1241"/>
      <c r="D588" s="1241"/>
      <c r="E588" s="1241"/>
      <c r="F588" s="1241"/>
      <c r="G588" s="1241"/>
    </row>
    <row r="589" spans="1:7">
      <c r="A589" s="278"/>
      <c r="B589" s="278"/>
      <c r="C589" s="278"/>
      <c r="D589" s="3"/>
      <c r="E589" s="3"/>
      <c r="F589" s="3"/>
      <c r="G589" s="3"/>
    </row>
    <row r="590" spans="1:7">
      <c r="A590" s="278"/>
      <c r="B590" s="278"/>
      <c r="C590" s="278"/>
      <c r="D590" s="1233" t="s">
        <v>442</v>
      </c>
      <c r="E590" s="1233"/>
      <c r="F590" s="1233"/>
      <c r="G590" s="3"/>
    </row>
    <row r="591" spans="1:7">
      <c r="A591" s="278"/>
      <c r="B591" s="278"/>
      <c r="C591" s="278"/>
      <c r="D591" s="1234" t="s">
        <v>443</v>
      </c>
      <c r="E591" s="1234"/>
      <c r="F591" s="1234"/>
      <c r="G591" s="3"/>
    </row>
    <row r="592" spans="1:7">
      <c r="A592" s="278"/>
      <c r="B592" s="278"/>
      <c r="C592" s="278"/>
      <c r="D592" s="370"/>
      <c r="E592" s="326"/>
      <c r="F592" s="326"/>
      <c r="G592" s="3"/>
    </row>
    <row r="593" spans="1:7" ht="14.4">
      <c r="A593" s="124"/>
      <c r="B593" s="361" t="s">
        <v>294</v>
      </c>
      <c r="C593" s="278"/>
      <c r="D593" s="1235" t="s">
        <v>444</v>
      </c>
      <c r="E593" s="1235"/>
      <c r="F593" s="1235"/>
      <c r="G593" s="3"/>
    </row>
    <row r="594" spans="1:7">
      <c r="A594" s="278"/>
      <c r="B594" s="278"/>
      <c r="C594" s="278"/>
      <c r="D594" s="1235"/>
      <c r="E594" s="1235"/>
      <c r="F594" s="1235"/>
      <c r="G594" s="3"/>
    </row>
    <row r="595" spans="1:7">
      <c r="A595" s="278"/>
      <c r="B595" s="278"/>
      <c r="C595" s="278"/>
      <c r="D595" s="1235"/>
      <c r="E595" s="1235"/>
      <c r="F595" s="1235"/>
      <c r="G595" s="3"/>
    </row>
    <row r="596" spans="1:7">
      <c r="A596" s="278"/>
      <c r="B596" s="278"/>
      <c r="C596" s="278"/>
      <c r="D596" s="3"/>
      <c r="E596" s="3"/>
      <c r="F596" s="3"/>
      <c r="G596" s="3"/>
    </row>
    <row r="597" spans="1:7">
      <c r="A597" s="1241" t="s">
        <v>445</v>
      </c>
      <c r="B597" s="1241"/>
      <c r="C597" s="1241"/>
      <c r="D597" s="1241"/>
      <c r="E597" s="1241"/>
      <c r="F597" s="1241"/>
      <c r="G597" s="1241"/>
    </row>
    <row r="598" spans="1:7">
      <c r="A598" s="85"/>
      <c r="B598" s="85"/>
      <c r="C598" s="278"/>
      <c r="D598" s="3"/>
      <c r="E598" s="3"/>
      <c r="F598" s="3"/>
      <c r="G598" s="3"/>
    </row>
    <row r="599" spans="1:7">
      <c r="A599" s="120"/>
      <c r="B599" s="120"/>
      <c r="C599" s="120"/>
      <c r="D599" s="1236" t="s">
        <v>446</v>
      </c>
      <c r="E599" s="1236"/>
      <c r="F599" s="1236"/>
      <c r="G599" s="3"/>
    </row>
    <row r="600" spans="1:7">
      <c r="A600" s="120"/>
      <c r="B600" s="120"/>
      <c r="C600" s="120"/>
      <c r="D600" s="1236"/>
      <c r="E600" s="1236"/>
      <c r="F600" s="1236"/>
      <c r="G600" s="3"/>
    </row>
    <row r="601" spans="1:7">
      <c r="A601" s="278"/>
      <c r="B601" s="278"/>
      <c r="C601" s="123"/>
      <c r="D601" s="1234" t="s">
        <v>447</v>
      </c>
      <c r="E601" s="1234"/>
      <c r="F601" s="1234"/>
      <c r="G601" s="3"/>
    </row>
    <row r="602" spans="1:7">
      <c r="A602" s="278"/>
      <c r="B602" s="278"/>
      <c r="C602" s="123"/>
      <c r="D602" s="370"/>
      <c r="E602" s="370"/>
      <c r="F602" s="370"/>
      <c r="G602" s="3"/>
    </row>
    <row r="603" spans="1:7">
      <c r="A603" s="13"/>
      <c r="B603" s="361" t="s">
        <v>294</v>
      </c>
      <c r="C603" s="278"/>
      <c r="D603" s="1234" t="s">
        <v>448</v>
      </c>
      <c r="E603" s="1234"/>
      <c r="F603" s="1234"/>
      <c r="G603" s="3"/>
    </row>
    <row r="604" spans="1:7">
      <c r="A604" s="278"/>
      <c r="B604" s="278"/>
      <c r="C604" s="125"/>
      <c r="D604" s="3"/>
      <c r="E604"/>
      <c r="F604" s="3"/>
      <c r="G604" s="3"/>
    </row>
    <row r="605" spans="1:7">
      <c r="A605" s="13"/>
      <c r="B605" s="361" t="s">
        <v>294</v>
      </c>
      <c r="C605" s="278"/>
      <c r="D605" s="1237" t="s">
        <v>449</v>
      </c>
      <c r="E605" s="1237"/>
      <c r="F605" s="1237"/>
      <c r="G605" s="3"/>
    </row>
    <row r="606" spans="1:7">
      <c r="A606" s="278"/>
      <c r="B606" s="278"/>
      <c r="C606" s="278"/>
      <c r="D606" s="1237"/>
      <c r="E606" s="1237"/>
      <c r="F606" s="1237"/>
      <c r="G606" s="3"/>
    </row>
    <row r="607" spans="1:7">
      <c r="A607" s="278"/>
      <c r="B607" s="278"/>
      <c r="C607" s="278"/>
      <c r="D607"/>
      <c r="E607" s="3"/>
      <c r="F607" s="3"/>
      <c r="G607" s="3"/>
    </row>
    <row r="608" spans="1:7">
      <c r="A608" s="278"/>
      <c r="B608" s="361" t="s">
        <v>294</v>
      </c>
      <c r="C608" s="278"/>
      <c r="D608" s="1237" t="s">
        <v>450</v>
      </c>
      <c r="E608" s="1237"/>
      <c r="F608" s="1237"/>
      <c r="G608" s="3"/>
    </row>
    <row r="609" spans="1:7">
      <c r="A609" s="278"/>
      <c r="B609" s="278"/>
      <c r="C609" s="125"/>
      <c r="D609" s="1237"/>
      <c r="E609" s="1237"/>
      <c r="F609" s="1237"/>
      <c r="G609" s="3"/>
    </row>
    <row r="610" spans="1:7">
      <c r="A610" s="278"/>
      <c r="B610" s="278"/>
      <c r="C610" s="125"/>
      <c r="D610" s="3"/>
      <c r="E610" s="3"/>
      <c r="F610" s="3"/>
      <c r="G610" s="3"/>
    </row>
    <row r="611" spans="1:7">
      <c r="A611" s="278"/>
      <c r="B611" s="361" t="s">
        <v>294</v>
      </c>
      <c r="C611" s="125"/>
      <c r="D611" s="1237" t="s">
        <v>451</v>
      </c>
      <c r="E611" s="1237"/>
      <c r="F611" s="1237"/>
      <c r="G611" s="3"/>
    </row>
    <row r="612" spans="1:7">
      <c r="A612" s="278"/>
      <c r="B612" s="278"/>
      <c r="C612" s="125"/>
      <c r="D612" s="1237"/>
      <c r="E612" s="1237"/>
      <c r="F612" s="1237"/>
      <c r="G612" s="3"/>
    </row>
    <row r="613" spans="1:7">
      <c r="A613" s="278"/>
      <c r="B613" s="278"/>
      <c r="C613" s="125"/>
      <c r="D613" s="3"/>
      <c r="E613" s="3"/>
      <c r="F613" s="3"/>
      <c r="G613" s="3"/>
    </row>
    <row r="614" spans="1:7">
      <c r="A614" s="1241" t="s">
        <v>452</v>
      </c>
      <c r="B614" s="1241"/>
      <c r="C614" s="1241"/>
      <c r="D614" s="1241"/>
      <c r="E614" s="1241"/>
      <c r="F614" s="1241"/>
      <c r="G614" s="1241"/>
    </row>
    <row r="615" spans="1:7">
      <c r="A615" s="120"/>
      <c r="B615" s="120"/>
      <c r="C615" s="120"/>
      <c r="D615" s="3"/>
      <c r="E615" s="3"/>
      <c r="F615" s="3"/>
      <c r="G615" s="3"/>
    </row>
    <row r="616" spans="1:7">
      <c r="A616" s="278"/>
      <c r="B616" s="278"/>
      <c r="C616" s="13"/>
      <c r="D616" s="1233" t="s">
        <v>453</v>
      </c>
      <c r="E616" s="1233"/>
      <c r="F616" s="1233"/>
      <c r="G616" s="3"/>
    </row>
    <row r="617" spans="1:7">
      <c r="A617" s="13"/>
      <c r="B617" s="13"/>
      <c r="C617" s="278"/>
      <c r="D617" s="2"/>
      <c r="E617" s="3"/>
      <c r="F617" s="3"/>
      <c r="G617" s="3"/>
    </row>
    <row r="618" spans="1:7" ht="14.4">
      <c r="A618" s="124"/>
      <c r="B618" s="361" t="s">
        <v>294</v>
      </c>
      <c r="C618" s="278"/>
      <c r="D618" s="1235" t="s">
        <v>454</v>
      </c>
      <c r="E618" s="1235"/>
      <c r="F618" s="1235"/>
      <c r="G618" s="3"/>
    </row>
    <row r="619" spans="1:7">
      <c r="A619" s="278"/>
      <c r="B619" s="278"/>
      <c r="C619" s="278"/>
      <c r="D619" s="1235"/>
      <c r="E619" s="1235"/>
      <c r="F619" s="1235"/>
      <c r="G619" s="3"/>
    </row>
    <row r="620" spans="1:7">
      <c r="A620" s="278"/>
      <c r="B620" s="278"/>
      <c r="C620" s="278"/>
      <c r="D620" s="1235"/>
      <c r="E620" s="1235"/>
      <c r="F620" s="1235"/>
      <c r="G620" s="3"/>
    </row>
    <row r="621" spans="1:7">
      <c r="A621" s="278"/>
      <c r="B621" s="278"/>
      <c r="C621" s="278"/>
      <c r="D621" s="1235"/>
      <c r="E621" s="1235"/>
      <c r="F621" s="1235"/>
      <c r="G621" s="3"/>
    </row>
    <row r="622" spans="1:7">
      <c r="A622" s="278"/>
      <c r="B622" s="278"/>
      <c r="C622" s="278"/>
      <c r="D622" s="1235"/>
      <c r="E622" s="1235"/>
      <c r="F622" s="1235"/>
      <c r="G622" s="3"/>
    </row>
    <row r="623" spans="1:7">
      <c r="A623" s="278"/>
      <c r="B623" s="278"/>
      <c r="C623" s="278"/>
      <c r="D623" s="1235"/>
      <c r="E623" s="1235"/>
      <c r="F623" s="1235"/>
      <c r="G623" s="3"/>
    </row>
    <row r="624" spans="1:7">
      <c r="A624" s="278"/>
      <c r="B624" s="278"/>
      <c r="C624" s="278"/>
      <c r="D624" s="371"/>
      <c r="E624" s="371"/>
      <c r="F624" s="371"/>
      <c r="G624" s="3"/>
    </row>
    <row r="625" spans="1:7" ht="14.4">
      <c r="A625" s="124"/>
      <c r="B625" s="361" t="s">
        <v>294</v>
      </c>
      <c r="C625" s="278"/>
      <c r="D625" s="1235" t="s">
        <v>455</v>
      </c>
      <c r="E625" s="1235"/>
      <c r="F625" s="1235"/>
      <c r="G625" s="3"/>
    </row>
    <row r="626" spans="1:7">
      <c r="A626" s="908"/>
      <c r="B626" s="908"/>
      <c r="C626" s="908"/>
      <c r="D626" s="1235"/>
      <c r="E626" s="1235"/>
      <c r="F626" s="1235"/>
      <c r="G626" s="3"/>
    </row>
    <row r="627" spans="1:7">
      <c r="A627" s="908"/>
      <c r="B627" s="908"/>
      <c r="C627" s="908"/>
      <c r="D627" s="85"/>
      <c r="E627" s="85"/>
      <c r="F627" s="85"/>
      <c r="G627" s="3"/>
    </row>
    <row r="628" spans="1:7" ht="14.4">
      <c r="A628" s="124"/>
      <c r="B628" s="361" t="s">
        <v>294</v>
      </c>
      <c r="C628" s="908"/>
      <c r="D628" s="1235" t="s">
        <v>456</v>
      </c>
      <c r="E628" s="1235"/>
      <c r="F628" s="1235"/>
      <c r="G628" s="3"/>
    </row>
    <row r="629" spans="1:7" ht="14.4">
      <c r="A629" s="124"/>
      <c r="B629" s="124"/>
      <c r="C629" s="908"/>
      <c r="D629" s="1235"/>
      <c r="E629" s="1235"/>
      <c r="F629" s="1235"/>
      <c r="G629" s="3"/>
    </row>
    <row r="630" spans="1:7" ht="14.4">
      <c r="A630" s="124"/>
      <c r="B630" s="124"/>
      <c r="C630" s="908"/>
      <c r="D630" s="1235"/>
      <c r="E630" s="1235"/>
      <c r="F630" s="1235"/>
      <c r="G630" s="3"/>
    </row>
    <row r="631" spans="1:7">
      <c r="A631" s="908"/>
      <c r="B631" s="908"/>
      <c r="C631" s="908"/>
      <c r="D631" s="1235"/>
      <c r="E631" s="1235"/>
      <c r="F631" s="1235"/>
      <c r="G631" s="3"/>
    </row>
    <row r="632" spans="1:7">
      <c r="A632" s="908"/>
      <c r="B632" s="908"/>
      <c r="C632" s="908"/>
      <c r="D632" s="371"/>
      <c r="E632" s="371"/>
      <c r="F632" s="371"/>
      <c r="G632" s="3"/>
    </row>
    <row r="633" spans="1:7">
      <c r="A633" s="908"/>
      <c r="B633" s="361" t="s">
        <v>294</v>
      </c>
      <c r="C633" s="908"/>
      <c r="D633" s="1262" t="s">
        <v>457</v>
      </c>
      <c r="E633" s="1262"/>
      <c r="F633" s="1262"/>
      <c r="G633" s="3"/>
    </row>
    <row r="634" spans="1:7">
      <c r="A634" s="908"/>
      <c r="B634" s="908"/>
      <c r="C634" s="908"/>
      <c r="D634" s="372"/>
      <c r="E634" s="372"/>
      <c r="F634" s="372"/>
      <c r="G634" s="3"/>
    </row>
    <row r="635" spans="1:7">
      <c r="A635" s="1241" t="s">
        <v>458</v>
      </c>
      <c r="B635" s="1241"/>
      <c r="C635" s="1241"/>
      <c r="D635" s="1241"/>
      <c r="E635" s="1241"/>
      <c r="F635" s="1241"/>
      <c r="G635" s="1241"/>
    </row>
    <row r="636" spans="1:7">
      <c r="A636" s="85"/>
      <c r="B636" s="85"/>
      <c r="C636" s="908"/>
      <c r="D636" s="85"/>
      <c r="E636" s="85"/>
      <c r="F636" s="85"/>
      <c r="G636" s="3"/>
    </row>
    <row r="637" spans="1:7">
      <c r="A637" s="278"/>
      <c r="B637" s="278"/>
      <c r="C637" s="120"/>
      <c r="D637" s="1239" t="s">
        <v>459</v>
      </c>
      <c r="E637" s="1239"/>
      <c r="F637" s="1239"/>
      <c r="G637" s="3"/>
    </row>
    <row r="638" spans="1:7">
      <c r="A638" s="123"/>
      <c r="B638" s="123"/>
      <c r="C638" s="123"/>
      <c r="D638" s="1240" t="s">
        <v>460</v>
      </c>
      <c r="E638" s="1240"/>
      <c r="F638" s="1240"/>
      <c r="G638" s="3"/>
    </row>
    <row r="639" spans="1:7">
      <c r="A639" s="123"/>
      <c r="B639" s="123"/>
      <c r="C639" s="123"/>
      <c r="D639" s="85"/>
      <c r="E639" s="85"/>
      <c r="F639" s="85"/>
      <c r="G639" s="3"/>
    </row>
    <row r="640" spans="1:7" ht="14.7" customHeight="1">
      <c r="A640" s="124"/>
      <c r="B640" s="361" t="s">
        <v>294</v>
      </c>
      <c r="C640" s="908"/>
      <c r="D640" s="1220" t="s">
        <v>461</v>
      </c>
      <c r="E640" s="1220"/>
      <c r="F640" s="1220"/>
      <c r="G640" s="3"/>
    </row>
    <row r="641" spans="1:11" ht="14.4">
      <c r="A641" s="124"/>
      <c r="B641" s="124"/>
      <c r="C641" s="908"/>
      <c r="D641" s="1220"/>
      <c r="E641" s="1220"/>
      <c r="F641" s="1220"/>
      <c r="G641" s="3"/>
    </row>
    <row r="642" spans="1:11" ht="14.4">
      <c r="A642" s="124"/>
      <c r="B642" s="124"/>
      <c r="C642" s="908"/>
      <c r="D642" s="1220"/>
      <c r="E642" s="1220"/>
      <c r="F642" s="1220"/>
      <c r="G642" s="3"/>
    </row>
    <row r="643" spans="1:11" ht="14.4">
      <c r="A643" s="124"/>
      <c r="B643" s="124"/>
      <c r="C643" s="908"/>
      <c r="D643" s="1220"/>
      <c r="E643" s="1220"/>
      <c r="F643" s="1220"/>
      <c r="G643" s="3"/>
    </row>
    <row r="644" spans="1:11" ht="14.4">
      <c r="A644" s="124"/>
      <c r="B644" s="124"/>
      <c r="C644" s="908"/>
      <c r="D644" s="1220"/>
      <c r="E644" s="1220"/>
      <c r="F644" s="1220"/>
      <c r="G644" s="3"/>
    </row>
    <row r="645" spans="1:11" ht="14.4">
      <c r="A645" s="124"/>
      <c r="B645" s="124"/>
      <c r="C645" s="908"/>
      <c r="D645" s="367"/>
      <c r="E645" s="367"/>
      <c r="F645" s="367"/>
      <c r="G645" s="3"/>
    </row>
    <row r="646" spans="1:11" ht="14.4">
      <c r="A646" s="124"/>
      <c r="B646" s="361" t="s">
        <v>294</v>
      </c>
      <c r="C646" s="908"/>
      <c r="D646" s="1252" t="s">
        <v>462</v>
      </c>
      <c r="E646" s="1252"/>
      <c r="F646" s="1252"/>
      <c r="G646" s="3"/>
    </row>
    <row r="647" spans="1:11" ht="14.4">
      <c r="A647" s="124"/>
      <c r="B647" s="124"/>
      <c r="C647" s="908"/>
      <c r="D647" s="1251" t="s">
        <v>463</v>
      </c>
      <c r="E647" s="1251"/>
      <c r="F647" s="1251"/>
      <c r="G647" s="3"/>
    </row>
    <row r="648" spans="1:11" ht="14.4">
      <c r="A648" s="124"/>
      <c r="B648" s="124"/>
      <c r="C648" s="908"/>
      <c r="D648" s="1251"/>
      <c r="E648" s="1251"/>
      <c r="F648" s="1251"/>
      <c r="G648" s="3"/>
    </row>
    <row r="649" spans="1:11" ht="14.4">
      <c r="A649" s="124"/>
      <c r="B649" s="124"/>
      <c r="C649" s="908"/>
      <c r="D649" s="1251"/>
      <c r="E649" s="1251"/>
      <c r="F649" s="1251"/>
      <c r="G649" s="3"/>
    </row>
    <row r="650" spans="1:11" ht="14.4">
      <c r="A650" s="124"/>
      <c r="B650" s="124"/>
      <c r="C650" s="908"/>
      <c r="D650" s="1251"/>
      <c r="E650" s="1251"/>
      <c r="F650" s="1251"/>
      <c r="G650" s="3"/>
    </row>
    <row r="651" spans="1:11" ht="14.4">
      <c r="A651" s="124"/>
      <c r="B651" s="124"/>
      <c r="C651" s="908"/>
      <c r="D651" s="1251"/>
      <c r="E651" s="1251"/>
      <c r="F651" s="1251"/>
      <c r="G651" s="3"/>
    </row>
    <row r="652" spans="1:11" ht="14.4">
      <c r="A652" s="124"/>
      <c r="B652" s="124"/>
      <c r="C652" s="908"/>
      <c r="D652" s="1253" t="s">
        <v>464</v>
      </c>
      <c r="E652" s="1253"/>
      <c r="F652" s="1253"/>
      <c r="G652" s="3"/>
    </row>
    <row r="653" spans="1:11">
      <c r="A653" s="908"/>
      <c r="B653" s="908"/>
      <c r="C653" s="908"/>
      <c r="D653" s="85"/>
      <c r="E653" s="85"/>
      <c r="F653" s="85"/>
      <c r="G653" s="3"/>
    </row>
    <row r="654" spans="1:11">
      <c r="A654" s="1241" t="s">
        <v>465</v>
      </c>
      <c r="B654" s="1241"/>
      <c r="C654" s="1241"/>
      <c r="D654" s="1241"/>
      <c r="E654" s="1241"/>
      <c r="F654" s="1241"/>
      <c r="G654" s="1241"/>
      <c r="H654" s="126"/>
      <c r="I654" s="126"/>
      <c r="J654" s="126"/>
      <c r="K654" s="126"/>
    </row>
    <row r="655" spans="1:11">
      <c r="A655" s="374"/>
      <c r="B655" s="374"/>
      <c r="C655" s="374"/>
      <c r="D655" s="374"/>
      <c r="E655" s="374"/>
      <c r="F655" s="374"/>
      <c r="G655" s="374"/>
      <c r="H655" s="126"/>
      <c r="I655" s="126"/>
      <c r="J655" s="126"/>
      <c r="K655" s="126"/>
    </row>
    <row r="656" spans="1:11">
      <c r="A656" s="278"/>
      <c r="B656" s="278"/>
      <c r="C656" s="120"/>
      <c r="D656" s="1239" t="s">
        <v>466</v>
      </c>
      <c r="E656" s="1239"/>
      <c r="F656" s="1239"/>
      <c r="G656" s="3"/>
      <c r="H656" s="126"/>
      <c r="I656" s="126"/>
      <c r="J656" s="126"/>
      <c r="K656" s="126"/>
    </row>
    <row r="657" spans="1:11">
      <c r="A657" s="120"/>
      <c r="B657" s="120"/>
      <c r="C657" s="120"/>
      <c r="D657" s="1239" t="s">
        <v>467</v>
      </c>
      <c r="E657" s="1239"/>
      <c r="F657" s="1239"/>
      <c r="G657" s="3"/>
      <c r="H657" s="126"/>
      <c r="I657" s="126"/>
      <c r="J657" s="126"/>
      <c r="K657" s="126"/>
    </row>
    <row r="658" spans="1:11">
      <c r="A658" s="123"/>
      <c r="B658" s="123"/>
      <c r="C658" s="123"/>
      <c r="D658" s="1240" t="s">
        <v>468</v>
      </c>
      <c r="E658" s="1240"/>
      <c r="F658" s="1240"/>
      <c r="G658" s="3"/>
      <c r="H658" s="126"/>
      <c r="I658" s="126"/>
      <c r="J658" s="126"/>
      <c r="K658" s="126"/>
    </row>
    <row r="659" spans="1:11">
      <c r="A659" s="123"/>
      <c r="B659" s="123"/>
      <c r="C659" s="123"/>
      <c r="D659" s="3"/>
      <c r="E659" s="3"/>
      <c r="F659" s="3"/>
      <c r="G659" s="3"/>
      <c r="H659" s="126"/>
      <c r="I659" s="126"/>
      <c r="J659" s="126"/>
      <c r="K659" s="126"/>
    </row>
    <row r="660" spans="1:11" ht="14.4">
      <c r="A660" s="124"/>
      <c r="B660" s="361" t="s">
        <v>294</v>
      </c>
      <c r="C660" s="123"/>
      <c r="D660" s="1240" t="s">
        <v>469</v>
      </c>
      <c r="E660" s="1240"/>
      <c r="F660" s="1240"/>
      <c r="G660" s="3"/>
      <c r="H660" s="126"/>
      <c r="I660" s="126"/>
      <c r="J660" s="126"/>
      <c r="K660" s="126"/>
    </row>
    <row r="661" spans="1:11">
      <c r="A661" s="123"/>
      <c r="B661" s="123"/>
      <c r="C661" s="123"/>
      <c r="D661" s="1240" t="s">
        <v>470</v>
      </c>
      <c r="E661" s="1240"/>
      <c r="F661" s="1240"/>
      <c r="G661" s="3"/>
      <c r="H661" s="126"/>
      <c r="I661" s="126"/>
      <c r="J661" s="126"/>
      <c r="K661" s="126"/>
    </row>
    <row r="662" spans="1:11">
      <c r="A662" s="123"/>
      <c r="B662" s="123"/>
      <c r="C662" s="123"/>
      <c r="D662" s="3"/>
      <c r="E662" s="1224" t="s">
        <v>471</v>
      </c>
      <c r="F662" s="1224"/>
      <c r="G662" s="3"/>
      <c r="H662" s="126"/>
      <c r="I662" s="126"/>
      <c r="J662" s="126"/>
      <c r="K662" s="126"/>
    </row>
    <row r="663" spans="1:11">
      <c r="A663" s="123"/>
      <c r="B663" s="123"/>
      <c r="C663" s="123"/>
      <c r="D663" s="3"/>
      <c r="E663" s="1224"/>
      <c r="F663" s="1224"/>
      <c r="G663" s="3"/>
      <c r="H663" s="126"/>
      <c r="I663" s="126"/>
      <c r="J663" s="126"/>
      <c r="K663" s="126"/>
    </row>
    <row r="664" spans="1:11">
      <c r="A664" s="123"/>
      <c r="B664" s="123"/>
      <c r="C664" s="123"/>
      <c r="D664" s="127"/>
      <c r="E664" s="85"/>
      <c r="F664" s="3"/>
      <c r="G664" s="3"/>
      <c r="H664" s="126"/>
      <c r="I664" s="126"/>
      <c r="J664" s="126"/>
      <c r="K664" s="126"/>
    </row>
    <row r="665" spans="1:11" ht="14.4">
      <c r="A665" s="124"/>
      <c r="B665" s="361" t="s">
        <v>294</v>
      </c>
      <c r="C665" s="123"/>
      <c r="D665" s="1220" t="s">
        <v>472</v>
      </c>
      <c r="E665" s="1220"/>
      <c r="F665" s="1220"/>
      <c r="G665" s="3"/>
      <c r="H665" s="126"/>
      <c r="I665" s="126"/>
      <c r="J665" s="126"/>
      <c r="K665" s="126"/>
    </row>
    <row r="666" spans="1:11">
      <c r="A666" s="13"/>
      <c r="B666" s="13"/>
      <c r="C666" s="123"/>
      <c r="D666" s="1220"/>
      <c r="E666" s="1220"/>
      <c r="F666" s="1220"/>
      <c r="G666" s="3"/>
      <c r="H666" s="126"/>
      <c r="I666" s="126"/>
      <c r="J666" s="126"/>
      <c r="K666" s="126"/>
    </row>
    <row r="667" spans="1:11">
      <c r="A667" s="123"/>
      <c r="B667" s="123"/>
      <c r="C667" s="123"/>
      <c r="D667" s="1220"/>
      <c r="E667" s="1220"/>
      <c r="F667" s="1220"/>
      <c r="G667" s="3"/>
      <c r="H667" s="126"/>
      <c r="I667" s="126"/>
      <c r="J667" s="126"/>
      <c r="K667" s="126"/>
    </row>
    <row r="668" spans="1:11">
      <c r="A668" s="123"/>
      <c r="B668" s="123"/>
      <c r="C668" s="123"/>
      <c r="D668" s="3"/>
      <c r="E668" s="3"/>
      <c r="F668" s="3"/>
      <c r="G668" s="3"/>
      <c r="H668" s="126"/>
      <c r="I668" s="126"/>
      <c r="J668" s="126"/>
      <c r="K668" s="126"/>
    </row>
    <row r="669" spans="1:11" ht="14.4">
      <c r="A669" s="124"/>
      <c r="B669" s="361" t="s">
        <v>294</v>
      </c>
      <c r="C669" s="123"/>
      <c r="D669" s="1240" t="s">
        <v>473</v>
      </c>
      <c r="E669" s="1240"/>
      <c r="F669" s="1240"/>
      <c r="G669" s="3"/>
      <c r="H669" s="126"/>
      <c r="I669" s="126"/>
      <c r="J669" s="126"/>
      <c r="K669" s="126"/>
    </row>
    <row r="670" spans="1:11" ht="14.4">
      <c r="A670" s="124"/>
      <c r="B670" s="124"/>
      <c r="C670" s="123"/>
      <c r="D670" s="1240" t="s">
        <v>470</v>
      </c>
      <c r="E670" s="1240"/>
      <c r="F670" s="1240"/>
      <c r="G670" s="3"/>
      <c r="H670" s="126"/>
      <c r="I670" s="126"/>
      <c r="J670" s="126"/>
      <c r="K670" s="126"/>
    </row>
    <row r="671" spans="1:11">
      <c r="A671" s="123"/>
      <c r="B671" s="123"/>
      <c r="C671" s="123"/>
      <c r="D671" s="3"/>
      <c r="E671" s="1244" t="s">
        <v>474</v>
      </c>
      <c r="F671" s="1244"/>
      <c r="G671" s="3"/>
      <c r="H671" s="126"/>
      <c r="I671" s="126"/>
      <c r="J671" s="126"/>
      <c r="K671" s="126"/>
    </row>
    <row r="672" spans="1:11">
      <c r="A672" s="123"/>
      <c r="B672" s="123"/>
      <c r="C672" s="123"/>
      <c r="D672" s="2"/>
      <c r="E672" s="3"/>
      <c r="F672" s="3"/>
      <c r="G672" s="3"/>
      <c r="H672" s="126"/>
      <c r="I672" s="126"/>
      <c r="J672" s="126"/>
      <c r="K672" s="126"/>
    </row>
    <row r="673" spans="1:11" ht="14.4">
      <c r="A673" s="124"/>
      <c r="B673" s="361" t="s">
        <v>294</v>
      </c>
      <c r="C673" s="123"/>
      <c r="D673" s="1220" t="s">
        <v>475</v>
      </c>
      <c r="E673" s="1220"/>
      <c r="F673" s="1220"/>
      <c r="G673" s="3"/>
      <c r="H673" s="126"/>
      <c r="I673" s="126"/>
      <c r="J673" s="126"/>
      <c r="K673" s="126"/>
    </row>
    <row r="674" spans="1:11">
      <c r="A674" s="123"/>
      <c r="B674" s="123"/>
      <c r="C674" s="123"/>
      <c r="D674" s="1220"/>
      <c r="E674" s="1220"/>
      <c r="F674" s="1220"/>
      <c r="G674" s="3"/>
      <c r="H674" s="126"/>
      <c r="I674" s="126"/>
      <c r="J674" s="126"/>
      <c r="K674" s="126"/>
    </row>
    <row r="675" spans="1:11">
      <c r="A675" s="123"/>
      <c r="B675" s="123"/>
      <c r="C675" s="123"/>
      <c r="D675" s="1220"/>
      <c r="E675" s="1220"/>
      <c r="F675" s="1220"/>
      <c r="G675" s="3"/>
      <c r="H675" s="126"/>
      <c r="I675" s="126"/>
      <c r="J675" s="126"/>
      <c r="K675" s="126"/>
    </row>
    <row r="676" spans="1:11">
      <c r="A676" s="123"/>
      <c r="B676" s="123"/>
      <c r="C676" s="123"/>
      <c r="D676" s="1220"/>
      <c r="E676" s="1220"/>
      <c r="F676" s="1220"/>
      <c r="G676" s="3"/>
      <c r="H676" s="126"/>
      <c r="I676" s="126"/>
      <c r="J676" s="126"/>
      <c r="K676" s="126"/>
    </row>
    <row r="677" spans="1:11">
      <c r="A677" s="123"/>
      <c r="B677" s="123"/>
      <c r="C677" s="123"/>
      <c r="D677" s="1220"/>
      <c r="E677" s="1220"/>
      <c r="F677" s="1220"/>
      <c r="G677" s="3"/>
      <c r="H677" s="126"/>
      <c r="I677" s="126"/>
      <c r="J677" s="126"/>
      <c r="K677" s="126"/>
    </row>
    <row r="678" spans="1:11">
      <c r="A678" s="123"/>
      <c r="B678" s="123"/>
      <c r="C678" s="123"/>
      <c r="D678" s="1220"/>
      <c r="E678" s="1220"/>
      <c r="F678" s="1220"/>
      <c r="G678" s="3"/>
      <c r="H678" s="126"/>
      <c r="I678" s="126"/>
      <c r="J678" s="126"/>
      <c r="K678" s="126"/>
    </row>
    <row r="679" spans="1:11">
      <c r="A679" s="123"/>
      <c r="B679" s="123"/>
      <c r="C679" s="123"/>
      <c r="D679" s="367"/>
      <c r="E679" s="367"/>
      <c r="F679" s="367"/>
      <c r="G679" s="3"/>
      <c r="H679" s="126"/>
      <c r="I679" s="126"/>
      <c r="J679" s="126"/>
      <c r="K679" s="126"/>
    </row>
    <row r="680" spans="1:11" ht="14.4">
      <c r="A680" s="124"/>
      <c r="B680" s="361" t="s">
        <v>294</v>
      </c>
      <c r="C680" s="123"/>
      <c r="D680" s="1220" t="s">
        <v>476</v>
      </c>
      <c r="E680" s="1220"/>
      <c r="F680" s="1220"/>
      <c r="G680" s="3"/>
      <c r="H680" s="126"/>
      <c r="I680" s="126"/>
      <c r="J680" s="126"/>
      <c r="K680" s="126"/>
    </row>
    <row r="681" spans="1:11">
      <c r="A681" s="123"/>
      <c r="B681" s="123"/>
      <c r="C681" s="123"/>
      <c r="D681" s="1220"/>
      <c r="E681" s="1220"/>
      <c r="F681" s="1220"/>
      <c r="G681" s="3"/>
      <c r="H681" s="126"/>
      <c r="I681" s="126"/>
      <c r="J681" s="126"/>
      <c r="K681" s="126"/>
    </row>
    <row r="682" spans="1:11">
      <c r="A682" s="123"/>
      <c r="B682" s="123"/>
      <c r="C682" s="123"/>
      <c r="D682" s="1220"/>
      <c r="E682" s="1220"/>
      <c r="F682" s="1220"/>
      <c r="G682" s="3"/>
      <c r="H682" s="126"/>
      <c r="I682" s="126"/>
      <c r="J682" s="126"/>
      <c r="K682" s="126"/>
    </row>
    <row r="683" spans="1:11" ht="15" customHeight="1">
      <c r="A683" s="123"/>
      <c r="B683" s="123"/>
      <c r="C683" s="123"/>
      <c r="D683" s="1220"/>
      <c r="E683" s="1220"/>
      <c r="F683" s="1220"/>
      <c r="G683" s="3"/>
      <c r="H683" s="126"/>
      <c r="I683" s="126"/>
      <c r="J683" s="126"/>
      <c r="K683" s="126"/>
    </row>
    <row r="684" spans="1:11" ht="15" customHeight="1">
      <c r="A684" s="123"/>
      <c r="B684" s="123"/>
      <c r="C684" s="123"/>
      <c r="D684" s="1220"/>
      <c r="E684" s="1220"/>
      <c r="F684" s="1220"/>
      <c r="G684" s="3"/>
      <c r="H684" s="126"/>
      <c r="I684" s="126"/>
      <c r="J684" s="126"/>
      <c r="K684" s="126"/>
    </row>
    <row r="685" spans="1:11">
      <c r="A685" s="123"/>
      <c r="B685" s="123"/>
      <c r="C685" s="123"/>
      <c r="D685" s="1220"/>
      <c r="E685" s="1220"/>
      <c r="F685" s="1220"/>
      <c r="G685" s="3"/>
      <c r="H685" s="126"/>
      <c r="I685" s="126"/>
      <c r="J685" s="126"/>
      <c r="K685" s="126"/>
    </row>
    <row r="686" spans="1:11">
      <c r="A686" s="123"/>
      <c r="B686" s="123"/>
      <c r="C686" s="123"/>
      <c r="D686" s="1220"/>
      <c r="E686" s="1220"/>
      <c r="F686" s="1220"/>
      <c r="G686" s="3"/>
      <c r="H686" s="126"/>
      <c r="I686" s="126"/>
      <c r="J686" s="126"/>
      <c r="K686" s="126"/>
    </row>
    <row r="687" spans="1:11">
      <c r="A687" s="123"/>
      <c r="B687" s="123"/>
      <c r="C687" s="123"/>
      <c r="D687" s="1220"/>
      <c r="E687" s="1220"/>
      <c r="F687" s="1220"/>
      <c r="G687" s="3"/>
      <c r="H687" s="126"/>
      <c r="I687" s="126"/>
      <c r="J687" s="126"/>
      <c r="K687" s="126"/>
    </row>
    <row r="688" spans="1:11" ht="15" customHeight="1">
      <c r="A688" s="123"/>
      <c r="B688" s="123"/>
      <c r="C688" s="123"/>
      <c r="D688" s="1220"/>
      <c r="E688" s="1220"/>
      <c r="F688" s="1220"/>
      <c r="G688" s="3"/>
      <c r="H688" s="126"/>
      <c r="I688" s="126"/>
      <c r="J688" s="126"/>
      <c r="K688" s="126"/>
    </row>
    <row r="689" spans="1:11">
      <c r="A689" s="123"/>
      <c r="B689" s="123"/>
      <c r="C689" s="123"/>
      <c r="D689" s="1220"/>
      <c r="E689" s="1220"/>
      <c r="F689" s="1220"/>
      <c r="G689" s="3"/>
      <c r="H689" s="126"/>
      <c r="I689" s="126"/>
      <c r="J689" s="126"/>
      <c r="K689" s="126"/>
    </row>
    <row r="690" spans="1:11">
      <c r="A690" s="123"/>
      <c r="B690" s="123"/>
      <c r="C690" s="123"/>
      <c r="D690" s="1220"/>
      <c r="E690" s="1220"/>
      <c r="F690" s="1220"/>
      <c r="G690" s="3"/>
      <c r="H690" s="126"/>
      <c r="I690" s="126"/>
      <c r="J690" s="126"/>
      <c r="K690" s="126"/>
    </row>
    <row r="691" spans="1:11">
      <c r="A691" s="123"/>
      <c r="B691" s="123"/>
      <c r="C691" s="123"/>
      <c r="D691" s="1220"/>
      <c r="E691" s="1220"/>
      <c r="F691" s="1220"/>
      <c r="G691" s="3"/>
      <c r="H691" s="126"/>
      <c r="I691" s="126"/>
      <c r="J691" s="126"/>
      <c r="K691" s="126"/>
    </row>
    <row r="692" spans="1:11">
      <c r="A692" s="123"/>
      <c r="B692" s="123"/>
      <c r="C692" s="123"/>
      <c r="D692" s="367"/>
      <c r="E692" s="367"/>
      <c r="F692" s="367"/>
      <c r="G692" s="3"/>
      <c r="H692" s="126"/>
      <c r="I692" s="126"/>
      <c r="J692" s="126"/>
      <c r="K692" s="126"/>
    </row>
    <row r="693" spans="1:11" ht="14.4">
      <c r="A693" s="124"/>
      <c r="B693" s="361" t="s">
        <v>294</v>
      </c>
      <c r="C693" s="123"/>
      <c r="D693" s="1220" t="s">
        <v>477</v>
      </c>
      <c r="E693" s="1220"/>
      <c r="F693" s="1220"/>
      <c r="G693" s="3"/>
      <c r="H693" s="126"/>
      <c r="I693" s="126"/>
      <c r="J693" s="126"/>
      <c r="K693" s="126"/>
    </row>
    <row r="694" spans="1:11">
      <c r="A694" s="123"/>
      <c r="B694" s="123"/>
      <c r="C694" s="123"/>
      <c r="D694" s="1220"/>
      <c r="E694" s="1220"/>
      <c r="F694" s="1220"/>
      <c r="G694" s="3"/>
      <c r="H694" s="126"/>
      <c r="I694" s="126"/>
      <c r="J694" s="126"/>
      <c r="K694" s="126"/>
    </row>
    <row r="695" spans="1:11">
      <c r="A695" s="123"/>
      <c r="B695" s="123"/>
      <c r="C695" s="123"/>
      <c r="D695" s="1220"/>
      <c r="E695" s="1220"/>
      <c r="F695" s="1220"/>
      <c r="G695" s="3"/>
      <c r="H695" s="126"/>
      <c r="I695" s="126"/>
      <c r="J695" s="126"/>
      <c r="K695" s="126"/>
    </row>
    <row r="696" spans="1:11">
      <c r="A696" s="123"/>
      <c r="B696" s="123"/>
      <c r="C696" s="123"/>
      <c r="D696" s="367"/>
      <c r="E696" s="367"/>
      <c r="F696" s="367"/>
      <c r="G696" s="3"/>
      <c r="H696" s="126"/>
      <c r="I696" s="126"/>
      <c r="J696" s="126"/>
      <c r="K696" s="126"/>
    </row>
    <row r="697" spans="1:11">
      <c r="A697" s="123"/>
      <c r="B697" s="361" t="s">
        <v>294</v>
      </c>
      <c r="C697" s="123"/>
      <c r="D697" s="1220" t="s">
        <v>478</v>
      </c>
      <c r="E697" s="1220"/>
      <c r="F697" s="1220"/>
      <c r="G697" s="3"/>
      <c r="H697" s="126"/>
      <c r="I697" s="126"/>
      <c r="J697" s="126"/>
      <c r="K697" s="126"/>
    </row>
    <row r="698" spans="1:11">
      <c r="A698" s="123"/>
      <c r="B698" s="123"/>
      <c r="C698" s="123"/>
      <c r="D698" s="1220"/>
      <c r="E698" s="1220"/>
      <c r="F698" s="1220"/>
      <c r="G698" s="3"/>
      <c r="H698" s="126"/>
      <c r="I698" s="126"/>
      <c r="J698" s="126"/>
      <c r="K698" s="126"/>
    </row>
    <row r="699" spans="1:11">
      <c r="A699" s="123"/>
      <c r="B699" s="123"/>
      <c r="C699" s="123"/>
      <c r="D699" s="367"/>
      <c r="E699" s="367"/>
      <c r="F699" s="367"/>
      <c r="G699" s="3"/>
      <c r="H699" s="126"/>
      <c r="I699" s="126"/>
      <c r="J699" s="126"/>
      <c r="K699" s="126"/>
    </row>
    <row r="700" spans="1:11">
      <c r="A700" s="123"/>
      <c r="B700" s="361" t="s">
        <v>294</v>
      </c>
      <c r="C700" s="123"/>
      <c r="D700" s="1220" t="s">
        <v>479</v>
      </c>
      <c r="E700" s="1220"/>
      <c r="F700" s="1220"/>
      <c r="G700" s="3"/>
      <c r="H700" s="126"/>
      <c r="I700" s="126"/>
      <c r="J700" s="126"/>
      <c r="K700" s="126"/>
    </row>
    <row r="701" spans="1:11">
      <c r="A701" s="123"/>
      <c r="B701" s="123"/>
      <c r="C701" s="123"/>
      <c r="D701" s="1220"/>
      <c r="E701" s="1220"/>
      <c r="F701" s="1220"/>
      <c r="G701" s="3"/>
      <c r="H701" s="126"/>
      <c r="I701" s="126"/>
      <c r="J701" s="126"/>
      <c r="K701" s="126"/>
    </row>
    <row r="702" spans="1:11">
      <c r="A702" s="123"/>
      <c r="B702" s="123"/>
      <c r="C702" s="123"/>
      <c r="D702" s="1220"/>
      <c r="E702" s="1220"/>
      <c r="F702" s="1220"/>
      <c r="G702" s="3"/>
      <c r="H702" s="126"/>
      <c r="I702" s="126"/>
      <c r="J702" s="126"/>
      <c r="K702" s="126"/>
    </row>
    <row r="703" spans="1:11">
      <c r="A703" s="123"/>
      <c r="B703" s="123"/>
      <c r="C703" s="123"/>
      <c r="D703" s="367"/>
      <c r="E703" s="367"/>
      <c r="F703" s="367"/>
      <c r="G703" s="3"/>
      <c r="H703" s="126"/>
      <c r="I703" s="126"/>
      <c r="J703" s="126"/>
      <c r="K703" s="126"/>
    </row>
    <row r="704" spans="1:11">
      <c r="A704" s="123"/>
      <c r="B704" s="361" t="s">
        <v>294</v>
      </c>
      <c r="C704" s="123"/>
      <c r="D704" s="1220" t="s">
        <v>480</v>
      </c>
      <c r="E704" s="1220"/>
      <c r="F704" s="1220"/>
      <c r="G704" s="3"/>
      <c r="H704" s="126"/>
      <c r="I704" s="126"/>
      <c r="J704" s="126"/>
      <c r="K704" s="126"/>
    </row>
    <row r="705" spans="1:11">
      <c r="A705" s="123"/>
      <c r="B705" s="123"/>
      <c r="C705" s="123"/>
      <c r="D705" s="1220"/>
      <c r="E705" s="1220"/>
      <c r="F705" s="1220"/>
      <c r="G705" s="3"/>
      <c r="H705" s="126"/>
      <c r="I705" s="126"/>
      <c r="J705" s="126"/>
      <c r="K705" s="126"/>
    </row>
    <row r="706" spans="1:11">
      <c r="A706" s="123"/>
      <c r="B706" s="123"/>
      <c r="C706" s="123"/>
      <c r="D706" s="1220"/>
      <c r="E706" s="1220"/>
      <c r="F706" s="1220"/>
      <c r="G706" s="3"/>
      <c r="H706" s="126"/>
      <c r="I706" s="126"/>
      <c r="J706" s="126"/>
      <c r="K706" s="126"/>
    </row>
    <row r="707" spans="1:11">
      <c r="A707" s="123"/>
      <c r="B707" s="123"/>
      <c r="C707" s="123"/>
      <c r="D707" s="3"/>
      <c r="E707" s="3"/>
      <c r="F707" s="3"/>
      <c r="G707" s="3"/>
      <c r="H707" s="126"/>
      <c r="I707" s="126"/>
      <c r="J707" s="126"/>
      <c r="K707" s="126"/>
    </row>
    <row r="708" spans="1:11">
      <c r="A708" s="123"/>
      <c r="B708" s="361" t="s">
        <v>294</v>
      </c>
      <c r="C708" s="123"/>
      <c r="D708" s="1220" t="s">
        <v>481</v>
      </c>
      <c r="E708" s="1220"/>
      <c r="F708" s="1220"/>
      <c r="G708" s="3"/>
      <c r="H708" s="126"/>
      <c r="I708" s="126"/>
      <c r="J708" s="126"/>
      <c r="K708" s="126"/>
    </row>
    <row r="709" spans="1:11">
      <c r="A709" s="123"/>
      <c r="B709" s="123"/>
      <c r="C709" s="123"/>
      <c r="D709" s="1220"/>
      <c r="E709" s="1220"/>
      <c r="F709" s="1220"/>
      <c r="G709" s="3"/>
      <c r="H709" s="126"/>
      <c r="I709" s="126"/>
      <c r="J709" s="126"/>
      <c r="K709" s="126"/>
    </row>
    <row r="710" spans="1:11">
      <c r="A710" s="123"/>
      <c r="B710" s="123"/>
      <c r="C710" s="123"/>
      <c r="D710" s="1220"/>
      <c r="E710" s="1220"/>
      <c r="F710" s="1220"/>
      <c r="G710" s="3"/>
      <c r="H710" s="126"/>
      <c r="I710" s="126"/>
      <c r="J710" s="126"/>
      <c r="K710" s="126"/>
    </row>
    <row r="711" spans="1:11">
      <c r="A711" s="123"/>
      <c r="B711" s="123"/>
      <c r="C711" s="123"/>
      <c r="D711"/>
      <c r="E711" s="3"/>
      <c r="F711" s="3"/>
      <c r="G711" s="3"/>
      <c r="H711" s="126"/>
      <c r="I711" s="126"/>
      <c r="J711" s="126"/>
      <c r="K711" s="126"/>
    </row>
    <row r="712" spans="1:11" ht="14.4">
      <c r="A712" s="124"/>
      <c r="B712" s="361" t="s">
        <v>294</v>
      </c>
      <c r="C712" s="123"/>
      <c r="D712" s="1220" t="s">
        <v>482</v>
      </c>
      <c r="E712" s="1220"/>
      <c r="F712" s="1220"/>
      <c r="G712" s="3"/>
      <c r="H712" s="126"/>
      <c r="I712" s="126"/>
      <c r="J712" s="126"/>
      <c r="K712" s="126"/>
    </row>
    <row r="713" spans="1:11">
      <c r="A713" s="123"/>
      <c r="B713" s="123"/>
      <c r="C713" s="123"/>
      <c r="D713" s="1220"/>
      <c r="E713" s="1220"/>
      <c r="F713" s="1220"/>
      <c r="G713" s="3"/>
      <c r="H713" s="126"/>
      <c r="I713" s="126"/>
      <c r="J713" s="126"/>
      <c r="K713" s="126"/>
    </row>
    <row r="714" spans="1:11">
      <c r="A714" s="123"/>
      <c r="B714" s="123"/>
      <c r="C714" s="123"/>
      <c r="D714" s="1220"/>
      <c r="E714" s="1220"/>
      <c r="F714" s="1220"/>
      <c r="G714" s="3"/>
      <c r="H714" s="126"/>
      <c r="I714" s="126"/>
      <c r="J714" s="126"/>
      <c r="K714" s="126"/>
    </row>
    <row r="715" spans="1:11">
      <c r="A715" s="123"/>
      <c r="B715" s="123"/>
      <c r="C715" s="123"/>
      <c r="D715" s="1220"/>
      <c r="E715" s="1220"/>
      <c r="F715" s="1220"/>
      <c r="G715" s="3"/>
      <c r="H715" s="126"/>
      <c r="I715" s="126"/>
      <c r="J715" s="126"/>
      <c r="K715" s="126"/>
    </row>
    <row r="716" spans="1:11">
      <c r="A716" s="123"/>
      <c r="B716" s="123"/>
      <c r="C716" s="123"/>
      <c r="D716" s="913"/>
      <c r="E716" s="3"/>
      <c r="F716" s="3"/>
      <c r="G716" s="3"/>
      <c r="H716" s="126"/>
      <c r="I716" s="126"/>
      <c r="J716" s="126"/>
      <c r="K716" s="126"/>
    </row>
    <row r="717" spans="1:11" ht="14.4">
      <c r="A717" s="124"/>
      <c r="B717" s="361" t="s">
        <v>294</v>
      </c>
      <c r="C717" s="123"/>
      <c r="D717" s="1220" t="s">
        <v>483</v>
      </c>
      <c r="E717" s="1220"/>
      <c r="F717" s="1220"/>
      <c r="G717" s="3"/>
      <c r="H717" s="126"/>
      <c r="I717" s="126"/>
      <c r="J717" s="126"/>
      <c r="K717" s="126"/>
    </row>
    <row r="718" spans="1:11">
      <c r="A718" s="123"/>
      <c r="B718" s="123"/>
      <c r="C718" s="123"/>
      <c r="D718" s="1220"/>
      <c r="E718" s="1220"/>
      <c r="F718" s="1220"/>
      <c r="G718" s="3"/>
      <c r="H718" s="126"/>
      <c r="I718" s="126"/>
      <c r="J718" s="126"/>
      <c r="K718" s="126"/>
    </row>
    <row r="719" spans="1:11">
      <c r="A719" s="123"/>
      <c r="B719" s="123"/>
      <c r="C719" s="123"/>
      <c r="D719" s="1220"/>
      <c r="E719" s="1220"/>
      <c r="F719" s="1220"/>
      <c r="G719" s="3"/>
      <c r="H719" s="126"/>
      <c r="I719" s="126"/>
      <c r="J719" s="126"/>
      <c r="K719" s="126"/>
    </row>
    <row r="720" spans="1:11">
      <c r="A720" s="123"/>
      <c r="B720" s="123"/>
      <c r="C720" s="123"/>
      <c r="D720" s="1220"/>
      <c r="E720" s="1220"/>
      <c r="F720" s="1220"/>
      <c r="G720" s="3"/>
      <c r="H720" s="126"/>
      <c r="I720" s="126"/>
      <c r="J720" s="126"/>
      <c r="K720" s="126"/>
    </row>
    <row r="721" spans="1:11">
      <c r="A721" s="123"/>
      <c r="B721" s="123"/>
      <c r="C721" s="123"/>
      <c r="D721" s="1220"/>
      <c r="E721" s="1220"/>
      <c r="F721" s="1220"/>
      <c r="G721" s="3"/>
      <c r="H721" s="126"/>
      <c r="I721" s="126"/>
      <c r="J721" s="126"/>
      <c r="K721" s="126"/>
    </row>
    <row r="722" spans="1:11">
      <c r="A722" s="123"/>
      <c r="B722" s="123"/>
      <c r="C722" s="123"/>
      <c r="D722" s="1220"/>
      <c r="E722" s="1220"/>
      <c r="F722" s="1220"/>
      <c r="G722" s="3"/>
      <c r="H722" s="126"/>
      <c r="I722" s="126"/>
      <c r="J722" s="126"/>
      <c r="K722" s="126"/>
    </row>
    <row r="723" spans="1:11">
      <c r="A723" s="123"/>
      <c r="B723" s="123"/>
      <c r="C723" s="123"/>
      <c r="D723" s="1220"/>
      <c r="E723" s="1220"/>
      <c r="F723" s="1220"/>
      <c r="G723" s="3"/>
      <c r="H723" s="126"/>
      <c r="I723" s="126"/>
      <c r="J723" s="126"/>
      <c r="K723" s="126"/>
    </row>
    <row r="724" spans="1:11">
      <c r="A724" s="123"/>
      <c r="B724" s="123"/>
      <c r="C724" s="123"/>
      <c r="D724" s="1245" t="s">
        <v>484</v>
      </c>
      <c r="E724" s="1245"/>
      <c r="F724" s="1245"/>
      <c r="G724" s="3"/>
      <c r="H724" s="126"/>
      <c r="I724" s="126"/>
      <c r="J724" s="126"/>
      <c r="K724" s="126"/>
    </row>
    <row r="725" spans="1:11">
      <c r="A725" s="123"/>
      <c r="B725" s="123"/>
      <c r="C725" s="123"/>
      <c r="D725" s="262"/>
      <c r="E725" s="3"/>
      <c r="F725" s="3"/>
      <c r="G725" s="3"/>
      <c r="H725" s="126"/>
      <c r="I725" s="126"/>
      <c r="J725" s="126"/>
      <c r="K725" s="126"/>
    </row>
    <row r="726" spans="1:11">
      <c r="A726" s="1242" t="s">
        <v>485</v>
      </c>
      <c r="B726" s="1242"/>
      <c r="C726" s="1242"/>
      <c r="D726" s="1242"/>
      <c r="E726" s="1242"/>
      <c r="F726" s="1242"/>
      <c r="G726" s="1242"/>
      <c r="H726" s="126"/>
      <c r="I726" s="126"/>
      <c r="J726" s="126"/>
      <c r="K726" s="126"/>
    </row>
    <row r="727" spans="1:11">
      <c r="A727" s="123"/>
      <c r="B727" s="123"/>
      <c r="C727" s="123"/>
      <c r="D727" s="913"/>
      <c r="E727" s="3"/>
      <c r="F727" s="3"/>
      <c r="G727" s="907"/>
      <c r="H727" s="126"/>
      <c r="I727" s="126"/>
      <c r="J727" s="126"/>
      <c r="K727" s="126"/>
    </row>
    <row r="728" spans="1:11" ht="13.2" customHeight="1">
      <c r="A728" s="278"/>
      <c r="B728" s="278"/>
      <c r="C728" s="123"/>
      <c r="D728" s="1250" t="s">
        <v>486</v>
      </c>
      <c r="E728" s="1250"/>
      <c r="F728" s="1250"/>
      <c r="G728" s="907"/>
      <c r="H728" s="126"/>
      <c r="I728" s="126"/>
      <c r="J728" s="126"/>
      <c r="K728" s="126"/>
    </row>
    <row r="729" spans="1:11">
      <c r="A729" s="123"/>
      <c r="B729" s="123"/>
      <c r="C729" s="123"/>
      <c r="D729" s="1238" t="s">
        <v>487</v>
      </c>
      <c r="E729" s="1238"/>
      <c r="F729" s="1238"/>
      <c r="G729" s="907"/>
      <c r="H729" s="126"/>
      <c r="I729" s="126"/>
      <c r="J729" s="126"/>
      <c r="K729" s="126"/>
    </row>
    <row r="730" spans="1:11">
      <c r="A730" s="123"/>
      <c r="B730" s="123"/>
      <c r="C730" s="123"/>
      <c r="D730" s="3"/>
      <c r="E730" s="3"/>
      <c r="F730" s="3"/>
      <c r="G730" s="907"/>
      <c r="H730" s="126"/>
      <c r="I730" s="126"/>
      <c r="J730" s="126"/>
      <c r="K730" s="126"/>
    </row>
    <row r="731" spans="1:11" ht="14.4">
      <c r="A731" s="124"/>
      <c r="B731" s="361" t="s">
        <v>294</v>
      </c>
      <c r="C731" s="278"/>
      <c r="D731" s="1220" t="s">
        <v>488</v>
      </c>
      <c r="E731" s="1220"/>
      <c r="F731" s="1220"/>
      <c r="G731" s="907"/>
      <c r="H731" s="126"/>
      <c r="I731" s="126"/>
      <c r="J731" s="126"/>
      <c r="K731" s="126"/>
    </row>
    <row r="732" spans="1:11" ht="10.5" customHeight="1">
      <c r="A732" s="278"/>
      <c r="B732" s="278"/>
      <c r="C732" s="278"/>
      <c r="D732" s="1220"/>
      <c r="E732" s="1220"/>
      <c r="F732" s="1220"/>
      <c r="G732" s="907"/>
      <c r="H732" s="126"/>
      <c r="I732" s="126"/>
      <c r="J732" s="126"/>
      <c r="K732" s="126"/>
    </row>
    <row r="733" spans="1:11">
      <c r="A733" s="278"/>
      <c r="B733" s="278"/>
      <c r="C733" s="278"/>
      <c r="D733" s="1220"/>
      <c r="E733" s="1220"/>
      <c r="F733" s="1220"/>
      <c r="G733" s="907"/>
      <c r="H733" s="126"/>
      <c r="I733" s="126"/>
      <c r="J733" s="126"/>
      <c r="K733" s="126"/>
    </row>
    <row r="734" spans="1:11">
      <c r="A734" s="278"/>
      <c r="B734" s="278"/>
      <c r="C734" s="278"/>
      <c r="D734" s="1220"/>
      <c r="E734" s="1220"/>
      <c r="F734" s="1220"/>
      <c r="G734" s="907"/>
      <c r="H734" s="126"/>
      <c r="I734" s="126"/>
      <c r="J734" s="126"/>
      <c r="K734" s="126"/>
    </row>
    <row r="735" spans="1:11">
      <c r="A735" s="278"/>
      <c r="B735" s="278"/>
      <c r="C735" s="278"/>
      <c r="D735" s="1220"/>
      <c r="E735" s="1220"/>
      <c r="F735" s="1220"/>
      <c r="G735" s="907"/>
      <c r="H735" s="126"/>
      <c r="I735" s="126"/>
      <c r="J735" s="126"/>
      <c r="K735" s="126"/>
    </row>
    <row r="736" spans="1:11" ht="15.6" customHeight="1">
      <c r="A736" s="278"/>
      <c r="B736" s="278"/>
      <c r="C736" s="278"/>
      <c r="D736" s="1220"/>
      <c r="E736" s="1220"/>
      <c r="F736" s="1220"/>
      <c r="G736" s="907"/>
      <c r="H736" s="126"/>
      <c r="I736" s="126"/>
      <c r="J736" s="126"/>
      <c r="K736" s="126"/>
    </row>
    <row r="737" spans="1:11">
      <c r="A737" s="278"/>
      <c r="B737" s="278"/>
      <c r="C737" s="278"/>
      <c r="D737" s="174"/>
      <c r="E737" s="85"/>
      <c r="F737" s="85"/>
      <c r="G737" s="907"/>
      <c r="H737" s="126"/>
      <c r="I737" s="126"/>
      <c r="J737" s="126"/>
      <c r="K737" s="126"/>
    </row>
    <row r="738" spans="1:11" s="180" customFormat="1" ht="14.4">
      <c r="A738" s="179"/>
      <c r="B738" s="361" t="s">
        <v>294</v>
      </c>
      <c r="C738" s="919"/>
      <c r="D738" s="1220" t="s">
        <v>489</v>
      </c>
      <c r="E738" s="1220"/>
      <c r="F738" s="1220"/>
      <c r="G738" s="920"/>
    </row>
    <row r="739" spans="1:11" s="180" customFormat="1">
      <c r="A739" s="919"/>
      <c r="B739" s="919"/>
      <c r="C739" s="919"/>
      <c r="D739" s="1220"/>
      <c r="E739" s="1220"/>
      <c r="F739" s="1220"/>
      <c r="G739" s="920"/>
    </row>
    <row r="740" spans="1:11" s="180" customFormat="1">
      <c r="A740" s="919"/>
      <c r="B740" s="919"/>
      <c r="C740" s="919"/>
      <c r="D740" s="1220"/>
      <c r="E740" s="1220"/>
      <c r="F740" s="1220"/>
      <c r="G740" s="920"/>
    </row>
    <row r="741" spans="1:11" s="180" customFormat="1">
      <c r="A741" s="919"/>
      <c r="B741" s="919"/>
      <c r="C741" s="919"/>
      <c r="D741" s="1220"/>
      <c r="E741" s="1220"/>
      <c r="F741" s="1220"/>
      <c r="G741" s="920"/>
    </row>
    <row r="742" spans="1:11" s="180" customFormat="1">
      <c r="A742" s="919"/>
      <c r="B742" s="919"/>
      <c r="C742" s="919"/>
      <c r="D742" s="174"/>
      <c r="E742" s="920"/>
      <c r="F742" s="920"/>
      <c r="G742" s="920"/>
    </row>
    <row r="743" spans="1:11" s="180" customFormat="1" ht="14.4">
      <c r="A743" s="124"/>
      <c r="B743" s="361" t="s">
        <v>294</v>
      </c>
      <c r="C743" s="919"/>
      <c r="D743" s="1251" t="s">
        <v>490</v>
      </c>
      <c r="E743" s="1251"/>
      <c r="F743" s="1251"/>
      <c r="G743" s="920"/>
    </row>
    <row r="744" spans="1:11" s="180" customFormat="1">
      <c r="A744" s="919"/>
      <c r="B744" s="919"/>
      <c r="C744" s="919"/>
      <c r="D744" s="1251"/>
      <c r="E744" s="1251"/>
      <c r="F744" s="1251"/>
      <c r="G744" s="920"/>
    </row>
    <row r="745" spans="1:11" s="180" customFormat="1">
      <c r="A745" s="919"/>
      <c r="B745" s="919"/>
      <c r="C745" s="919"/>
      <c r="D745" s="1251"/>
      <c r="E745" s="1251"/>
      <c r="F745" s="1251"/>
      <c r="G745" s="920"/>
    </row>
    <row r="746" spans="1:11">
      <c r="A746" s="278"/>
      <c r="B746" s="278"/>
      <c r="C746" s="278"/>
      <c r="D746" s="174"/>
      <c r="E746" s="85"/>
      <c r="F746" s="85"/>
      <c r="G746" s="907"/>
      <c r="H746" s="126"/>
      <c r="I746" s="126"/>
      <c r="J746" s="126"/>
      <c r="K746" s="126"/>
    </row>
    <row r="747" spans="1:11" ht="14.4">
      <c r="A747" s="124"/>
      <c r="B747" s="361" t="s">
        <v>294</v>
      </c>
      <c r="C747" s="278"/>
      <c r="D747" s="1220" t="s">
        <v>491</v>
      </c>
      <c r="E747" s="1220"/>
      <c r="F747" s="1220"/>
      <c r="G747" s="907"/>
      <c r="H747" s="126"/>
      <c r="I747" s="126"/>
      <c r="J747" s="126"/>
      <c r="K747" s="126"/>
    </row>
    <row r="748" spans="1:11">
      <c r="A748" s="278"/>
      <c r="B748" s="278"/>
      <c r="C748" s="278"/>
      <c r="D748" s="1220"/>
      <c r="E748" s="1220"/>
      <c r="F748" s="1220"/>
      <c r="G748" s="907"/>
      <c r="H748" s="126"/>
      <c r="I748" s="126"/>
      <c r="J748" s="126"/>
      <c r="K748" s="126"/>
    </row>
    <row r="749" spans="1:11">
      <c r="A749" s="278"/>
      <c r="B749" s="278"/>
      <c r="C749" s="278"/>
      <c r="D749" s="367"/>
      <c r="E749" s="367"/>
      <c r="F749" s="367"/>
      <c r="G749" s="907"/>
      <c r="H749" s="126"/>
      <c r="I749" s="126"/>
      <c r="J749" s="126"/>
      <c r="K749" s="126"/>
    </row>
    <row r="750" spans="1:11">
      <c r="A750" s="278"/>
      <c r="B750" s="361" t="s">
        <v>294</v>
      </c>
      <c r="C750" s="278"/>
      <c r="D750" s="1220" t="s">
        <v>492</v>
      </c>
      <c r="E750" s="1220"/>
      <c r="F750" s="1220"/>
      <c r="G750" s="907"/>
      <c r="H750" s="126"/>
      <c r="I750" s="126"/>
      <c r="J750" s="126"/>
      <c r="K750" s="126"/>
    </row>
    <row r="751" spans="1:11">
      <c r="A751" s="278"/>
      <c r="B751" s="278"/>
      <c r="C751" s="278"/>
      <c r="D751" s="1220"/>
      <c r="E751" s="1220"/>
      <c r="F751" s="1220"/>
      <c r="G751" s="907"/>
      <c r="H751" s="126"/>
      <c r="I751" s="126"/>
      <c r="J751" s="126"/>
      <c r="K751" s="126"/>
    </row>
    <row r="752" spans="1:11">
      <c r="A752" s="278"/>
      <c r="B752" s="278"/>
      <c r="C752" s="278"/>
      <c r="D752" s="1220"/>
      <c r="E752" s="1220"/>
      <c r="F752" s="1220"/>
      <c r="G752" s="907"/>
      <c r="H752" s="126"/>
      <c r="I752" s="126"/>
      <c r="J752" s="126"/>
      <c r="K752" s="126"/>
    </row>
    <row r="753" spans="1:11">
      <c r="A753" s="278"/>
      <c r="B753" s="278"/>
      <c r="C753" s="278"/>
      <c r="D753" s="367"/>
      <c r="E753" s="367"/>
      <c r="F753" s="367"/>
      <c r="G753" s="907"/>
      <c r="H753" s="126"/>
      <c r="I753" s="126"/>
      <c r="J753" s="126"/>
      <c r="K753" s="126"/>
    </row>
    <row r="754" spans="1:11">
      <c r="A754" s="1241" t="s">
        <v>493</v>
      </c>
      <c r="B754" s="1241"/>
      <c r="C754" s="1241"/>
      <c r="D754" s="1241"/>
      <c r="E754" s="1241"/>
      <c r="F754" s="1241"/>
      <c r="G754" s="1241"/>
    </row>
    <row r="755" spans="1:11">
      <c r="A755" s="123"/>
      <c r="B755" s="123"/>
      <c r="C755" s="123"/>
      <c r="D755" s="128"/>
      <c r="E755" s="3"/>
      <c r="F755" s="85"/>
      <c r="G755" s="907"/>
    </row>
    <row r="756" spans="1:11">
      <c r="A756" s="278"/>
      <c r="B756" s="278"/>
      <c r="C756" s="278"/>
      <c r="D756" s="1247" t="s">
        <v>494</v>
      </c>
      <c r="E756" s="1247"/>
      <c r="F756" s="1247"/>
      <c r="G756" s="907"/>
    </row>
    <row r="757" spans="1:11">
      <c r="A757" s="240"/>
      <c r="B757" s="240"/>
      <c r="C757" s="240"/>
      <c r="D757" s="1248" t="s">
        <v>495</v>
      </c>
      <c r="E757" s="1248"/>
      <c r="F757" s="1248"/>
      <c r="G757" s="907"/>
    </row>
    <row r="758" spans="1:11">
      <c r="A758" s="278"/>
      <c r="B758" s="278"/>
      <c r="C758" s="278"/>
      <c r="D758" s="326"/>
      <c r="E758" s="326"/>
      <c r="F758" s="326"/>
      <c r="G758" s="907"/>
    </row>
    <row r="759" spans="1:11" ht="14.4">
      <c r="A759" s="124"/>
      <c r="B759" s="361" t="s">
        <v>294</v>
      </c>
      <c r="C759" s="278"/>
      <c r="D759" s="1248" t="s">
        <v>496</v>
      </c>
      <c r="E759" s="1248"/>
      <c r="F759" s="1248"/>
      <c r="G759" s="907"/>
    </row>
    <row r="760" spans="1:11">
      <c r="A760" s="278"/>
      <c r="B760" s="278"/>
      <c r="C760" s="278"/>
      <c r="D760" s="326"/>
      <c r="E760" s="1249" t="s">
        <v>497</v>
      </c>
      <c r="F760" s="1249"/>
      <c r="G760" s="907"/>
    </row>
    <row r="761" spans="1:11">
      <c r="A761" s="120"/>
      <c r="B761" s="120"/>
      <c r="C761" s="120"/>
      <c r="D761" s="85"/>
      <c r="E761" s="3"/>
      <c r="F761" s="3"/>
      <c r="G761" s="907"/>
    </row>
    <row r="762" spans="1:11">
      <c r="A762" s="1246" t="s">
        <v>498</v>
      </c>
      <c r="B762" s="1246"/>
      <c r="C762" s="1246"/>
      <c r="D762" s="1246"/>
      <c r="E762" s="1246"/>
      <c r="F762" s="1246"/>
      <c r="G762" s="1246"/>
    </row>
    <row r="763" spans="1:11">
      <c r="A763" s="120"/>
      <c r="B763" s="120"/>
      <c r="C763" s="908"/>
      <c r="D763" s="907"/>
      <c r="E763" s="907"/>
      <c r="F763" s="907"/>
      <c r="G763" s="907"/>
    </row>
    <row r="764" spans="1:11">
      <c r="A764" s="85"/>
      <c r="B764" s="1238" t="s">
        <v>499</v>
      </c>
      <c r="C764" s="1238"/>
      <c r="D764" s="1238"/>
      <c r="E764" s="1238"/>
      <c r="F764" s="1238"/>
      <c r="G764" s="907"/>
    </row>
    <row r="765" spans="1:11">
      <c r="A765" s="13"/>
      <c r="B765" s="13"/>
      <c r="C765" s="278"/>
      <c r="D765" s="3"/>
      <c r="E765" s="3"/>
      <c r="F765" s="3"/>
      <c r="G765" s="907"/>
    </row>
    <row r="766" spans="1:11">
      <c r="A766" s="1246" t="s">
        <v>500</v>
      </c>
      <c r="B766" s="1246"/>
      <c r="C766" s="1246"/>
      <c r="D766" s="1246"/>
      <c r="E766" s="1246"/>
      <c r="F766" s="1246"/>
      <c r="G766" s="1246"/>
    </row>
    <row r="767" spans="1:11">
      <c r="A767" s="120"/>
      <c r="B767" s="120"/>
      <c r="C767" s="120"/>
      <c r="D767" s="913"/>
      <c r="E767" s="3"/>
      <c r="F767" s="3"/>
      <c r="G767" s="907"/>
    </row>
    <row r="768" spans="1:11">
      <c r="A768" s="85"/>
      <c r="B768" s="1240" t="s">
        <v>334</v>
      </c>
      <c r="C768" s="1240"/>
      <c r="D768" s="1240"/>
      <c r="E768" s="1240"/>
      <c r="F768" s="1240"/>
      <c r="G768" s="907"/>
    </row>
    <row r="769" spans="1:7" ht="14.4">
      <c r="A769" s="124"/>
      <c r="B769" s="124"/>
      <c r="C769" s="278"/>
      <c r="D769" s="85"/>
      <c r="E769" s="85"/>
      <c r="F769" s="907"/>
      <c r="G769" s="907"/>
    </row>
    <row r="770" spans="1:7">
      <c r="A770" s="1246" t="s">
        <v>501</v>
      </c>
      <c r="B770" s="1246"/>
      <c r="C770" s="1246"/>
      <c r="D770" s="1246"/>
      <c r="E770" s="1246"/>
      <c r="F770" s="1246"/>
      <c r="G770" s="1246"/>
    </row>
    <row r="771" spans="1:7">
      <c r="A771" s="278"/>
      <c r="B771" s="278"/>
      <c r="C771" s="123"/>
      <c r="D771" s="121"/>
      <c r="E771" s="85"/>
      <c r="F771" s="907"/>
      <c r="G771" s="907"/>
    </row>
    <row r="772" spans="1:7">
      <c r="A772" s="85"/>
      <c r="B772" s="1240" t="s">
        <v>334</v>
      </c>
      <c r="C772" s="1240"/>
      <c r="D772" s="1240"/>
      <c r="E772" s="1240"/>
      <c r="F772" s="1240"/>
      <c r="G772" s="907"/>
    </row>
    <row r="773" spans="1:7">
      <c r="A773" s="85"/>
      <c r="B773" s="85"/>
      <c r="C773" s="908"/>
      <c r="D773" s="907"/>
      <c r="E773" s="907"/>
      <c r="F773" s="907"/>
      <c r="G773" s="907"/>
    </row>
    <row r="774" spans="1:7">
      <c r="A774" s="1246" t="s">
        <v>502</v>
      </c>
      <c r="B774" s="1246"/>
      <c r="C774" s="1246"/>
      <c r="D774" s="1246"/>
      <c r="E774" s="1246"/>
      <c r="F774" s="1246"/>
      <c r="G774" s="1246"/>
    </row>
    <row r="775" spans="1:7">
      <c r="A775" s="85"/>
      <c r="B775" s="85"/>
      <c r="C775" s="278"/>
      <c r="D775" s="3"/>
      <c r="E775" s="3"/>
      <c r="F775" s="3"/>
      <c r="G775" s="3"/>
    </row>
    <row r="776" spans="1:7">
      <c r="A776" s="85"/>
      <c r="B776" s="1240" t="s">
        <v>334</v>
      </c>
      <c r="C776" s="1240"/>
      <c r="D776" s="1240"/>
      <c r="E776" s="1240"/>
      <c r="F776" s="1240"/>
      <c r="G776" s="3"/>
    </row>
    <row r="777" spans="1:7">
      <c r="A777" s="908"/>
      <c r="B777" s="908"/>
      <c r="C777" s="908"/>
      <c r="D777" s="122"/>
      <c r="E777" s="3"/>
      <c r="F777" s="907"/>
      <c r="G777" s="3"/>
    </row>
    <row r="778" spans="1:7">
      <c r="A778" s="1246" t="s">
        <v>503</v>
      </c>
      <c r="B778" s="1246"/>
      <c r="C778" s="1246"/>
      <c r="D778" s="1246"/>
      <c r="E778" s="1246"/>
      <c r="F778" s="1246"/>
      <c r="G778" s="1246"/>
    </row>
    <row r="779" spans="1:7">
      <c r="A779" s="85"/>
      <c r="B779" s="85"/>
      <c r="C779" s="278"/>
      <c r="D779" s="3"/>
      <c r="E779" s="3"/>
      <c r="F779" s="3"/>
      <c r="G779" s="3"/>
    </row>
    <row r="780" spans="1:7">
      <c r="A780" s="85"/>
      <c r="B780" s="1240" t="s">
        <v>334</v>
      </c>
      <c r="C780" s="1240"/>
      <c r="D780" s="1240"/>
      <c r="E780" s="1240"/>
      <c r="F780" s="1240"/>
      <c r="G780" s="3"/>
    </row>
    <row r="781" spans="1:7">
      <c r="A781" s="908"/>
      <c r="B781" s="908"/>
      <c r="C781" s="908"/>
      <c r="D781" s="122"/>
      <c r="E781" s="3"/>
      <c r="F781" s="907"/>
      <c r="G781" s="3"/>
    </row>
    <row r="782" spans="1:7">
      <c r="A782" s="1246" t="s">
        <v>504</v>
      </c>
      <c r="B782" s="1246"/>
      <c r="C782" s="1246"/>
      <c r="D782" s="1246"/>
      <c r="E782" s="1246"/>
      <c r="F782" s="1246"/>
      <c r="G782" s="1246"/>
    </row>
    <row r="783" spans="1:7">
      <c r="A783" s="85"/>
      <c r="B783" s="85"/>
      <c r="C783" s="278"/>
      <c r="D783" s="3"/>
      <c r="E783" s="3"/>
      <c r="F783" s="3"/>
      <c r="G783" s="3"/>
    </row>
    <row r="784" spans="1:7">
      <c r="A784" s="85"/>
      <c r="B784" s="1240" t="s">
        <v>334</v>
      </c>
      <c r="C784" s="1240"/>
      <c r="D784" s="1240"/>
      <c r="E784" s="1240"/>
      <c r="F784" s="1240"/>
      <c r="G784" s="3"/>
    </row>
    <row r="785" spans="1:7">
      <c r="A785" s="278"/>
      <c r="B785" s="278"/>
      <c r="C785" s="278"/>
      <c r="D785" s="122"/>
      <c r="E785" s="3"/>
      <c r="F785" s="3"/>
      <c r="G785" s="3"/>
    </row>
    <row r="786" spans="1:7">
      <c r="A786" s="1246" t="s">
        <v>505</v>
      </c>
      <c r="B786" s="1246"/>
      <c r="C786" s="1246"/>
      <c r="D786" s="1246"/>
      <c r="E786" s="1246"/>
      <c r="F786" s="1246"/>
      <c r="G786" s="1246"/>
    </row>
    <row r="787" spans="1:7">
      <c r="A787" s="85"/>
      <c r="B787" s="85"/>
      <c r="C787" s="278"/>
      <c r="D787" s="3"/>
      <c r="E787" s="3"/>
      <c r="F787" s="3"/>
      <c r="G787" s="3"/>
    </row>
    <row r="788" spans="1:7">
      <c r="A788" s="85"/>
      <c r="B788" s="1240" t="s">
        <v>334</v>
      </c>
      <c r="C788" s="1240"/>
      <c r="D788" s="1240"/>
      <c r="E788" s="1240"/>
      <c r="F788" s="1240"/>
      <c r="G788" s="3"/>
    </row>
    <row r="789" spans="1:7">
      <c r="A789" s="85"/>
      <c r="B789" s="85"/>
      <c r="C789" s="278"/>
      <c r="D789" s="122"/>
      <c r="E789" s="3"/>
      <c r="F789" s="3"/>
      <c r="G789" s="3"/>
    </row>
    <row r="790" spans="1:7">
      <c r="A790" s="1246" t="s">
        <v>506</v>
      </c>
      <c r="B790" s="1246"/>
      <c r="C790" s="1246"/>
      <c r="D790" s="1246"/>
      <c r="E790" s="1246"/>
      <c r="F790" s="1246"/>
      <c r="G790" s="1246"/>
    </row>
    <row r="791" spans="1:7">
      <c r="A791" s="85"/>
      <c r="B791" s="85"/>
      <c r="C791" s="278"/>
      <c r="D791" s="3"/>
      <c r="E791" s="3"/>
      <c r="F791" s="3"/>
      <c r="G791" s="3"/>
    </row>
    <row r="792" spans="1:7">
      <c r="A792" s="85"/>
      <c r="B792" s="1240" t="s">
        <v>334</v>
      </c>
      <c r="C792" s="1240"/>
      <c r="D792" s="1240"/>
      <c r="E792" s="1240"/>
      <c r="F792" s="1240"/>
      <c r="G792"/>
    </row>
    <row r="793" spans="1:7">
      <c r="A793" s="120"/>
      <c r="B793" s="120"/>
      <c r="C793" s="120"/>
      <c r="D793" s="3"/>
      <c r="E793"/>
      <c r="F793"/>
      <c r="G793"/>
    </row>
    <row r="794" spans="1:7" ht="14.4">
      <c r="A794" s="124"/>
      <c r="B794" s="124"/>
      <c r="C794" s="123"/>
      <c r="D794" s="122"/>
      <c r="E794"/>
      <c r="F794"/>
      <c r="G794"/>
    </row>
    <row r="795" spans="1:7" ht="12.75" hidden="1" customHeight="1">
      <c r="A795" s="278"/>
      <c r="B795" s="278"/>
      <c r="C795" s="278"/>
      <c r="D795" s="85"/>
      <c r="E795"/>
      <c r="F795"/>
      <c r="G795"/>
    </row>
    <row r="796" spans="1:7" ht="12.75" hidden="1" customHeight="1">
      <c r="A796" s="278"/>
      <c r="B796" s="278"/>
      <c r="C796" s="278"/>
      <c r="D796" s="3"/>
      <c r="E796"/>
      <c r="F796"/>
      <c r="G796"/>
    </row>
    <row r="797" spans="1:7" ht="12.75" hidden="1" customHeight="1">
      <c r="A797" s="278"/>
      <c r="B797" s="278"/>
      <c r="C797" s="278"/>
      <c r="D797" s="3"/>
      <c r="E797"/>
      <c r="F797"/>
      <c r="G797"/>
    </row>
    <row r="798" spans="1:7" ht="12.75" hidden="1" customHeight="1">
      <c r="A798" s="278"/>
      <c r="B798" s="278"/>
      <c r="C798" s="278"/>
      <c r="D798" s="2"/>
      <c r="E798"/>
      <c r="F798"/>
      <c r="G798"/>
    </row>
    <row r="799" spans="1:7" ht="12.75" hidden="1" customHeight="1">
      <c r="A799" s="278"/>
      <c r="B799" s="278"/>
      <c r="C799" s="278"/>
      <c r="D799" s="2"/>
      <c r="E799"/>
      <c r="F799"/>
      <c r="G799"/>
    </row>
    <row r="800" spans="1:7" ht="12.75" hidden="1" customHeight="1">
      <c r="A800" s="278"/>
      <c r="B800" s="278"/>
      <c r="C800" s="278"/>
      <c r="D800" s="2"/>
      <c r="E800"/>
      <c r="F800"/>
      <c r="G800"/>
    </row>
    <row r="801" spans="1:7" ht="12.75" hidden="1" customHeight="1">
      <c r="A801" s="278"/>
      <c r="B801" s="278"/>
      <c r="C801" s="278"/>
      <c r="D801" s="3"/>
      <c r="E801"/>
      <c r="F801"/>
      <c r="G801"/>
    </row>
    <row r="802" spans="1:7" ht="14.25" hidden="1" customHeight="1">
      <c r="A802" s="124"/>
      <c r="B802" s="124"/>
      <c r="C802" s="278"/>
      <c r="D802" s="85"/>
      <c r="E802"/>
      <c r="F802"/>
      <c r="G802"/>
    </row>
    <row r="803" spans="1:7" ht="12.75" hidden="1" customHeight="1">
      <c r="A803" s="278"/>
      <c r="B803" s="278"/>
      <c r="C803" s="278"/>
      <c r="D803" s="3"/>
      <c r="E803"/>
      <c r="F803"/>
      <c r="G803"/>
    </row>
    <row r="804" spans="1:7" ht="12.75" hidden="1" customHeight="1">
      <c r="A804" s="278"/>
      <c r="B804" s="278"/>
      <c r="C804" s="278"/>
      <c r="D804" s="3"/>
      <c r="E804"/>
      <c r="F804"/>
      <c r="G804"/>
    </row>
    <row r="805" spans="1:7" ht="12.75" hidden="1" customHeight="1">
      <c r="A805" s="278"/>
      <c r="B805" s="278"/>
      <c r="C805" s="278"/>
      <c r="D805" s="2"/>
      <c r="E805"/>
      <c r="F805"/>
      <c r="G805"/>
    </row>
    <row r="806" spans="1:7" ht="12.75" hidden="1" customHeight="1">
      <c r="A806" s="278"/>
      <c r="B806" s="278"/>
      <c r="C806" s="278"/>
      <c r="D806" s="2"/>
      <c r="E806"/>
      <c r="F806"/>
      <c r="G806"/>
    </row>
    <row r="807" spans="1:7" ht="14.25" hidden="1" customHeight="1">
      <c r="A807" s="124"/>
      <c r="B807" s="124"/>
      <c r="C807" s="278"/>
      <c r="D807" s="85"/>
      <c r="E807"/>
      <c r="F807"/>
      <c r="G807"/>
    </row>
    <row r="808" spans="1:7" ht="12.75" hidden="1" customHeight="1">
      <c r="A808" s="278"/>
      <c r="B808" s="278"/>
      <c r="C808" s="278"/>
      <c r="D808" s="3"/>
      <c r="E808"/>
      <c r="F808"/>
      <c r="G808"/>
    </row>
    <row r="809" spans="1:7" ht="12.75" hidden="1" customHeight="1">
      <c r="A809" s="278"/>
      <c r="B809" s="278"/>
      <c r="C809" s="278"/>
      <c r="D809" s="3"/>
      <c r="E809"/>
      <c r="F809"/>
      <c r="G809"/>
    </row>
    <row r="810" spans="1:7" ht="14.25" hidden="1" customHeight="1">
      <c r="A810" s="124"/>
      <c r="B810" s="124"/>
      <c r="C810" s="278"/>
      <c r="D810" s="85"/>
      <c r="E810"/>
      <c r="F810"/>
      <c r="G810"/>
    </row>
    <row r="811" spans="1:7" ht="12.75" hidden="1" customHeight="1">
      <c r="A811" s="278"/>
      <c r="B811" s="278"/>
      <c r="C811" s="278"/>
      <c r="D811" s="3"/>
      <c r="E811"/>
      <c r="F811"/>
      <c r="G811"/>
    </row>
    <row r="812" spans="1:7" ht="14.25" hidden="1" customHeight="1">
      <c r="A812" s="124"/>
      <c r="B812" s="124"/>
      <c r="C812" s="278"/>
      <c r="D812" s="85"/>
      <c r="E812"/>
      <c r="F812"/>
      <c r="G812"/>
    </row>
    <row r="813" spans="1:7" ht="12.75" hidden="1" customHeight="1">
      <c r="A813" s="120"/>
      <c r="B813" s="120"/>
      <c r="C813" s="120"/>
      <c r="D813" s="3"/>
      <c r="E813"/>
      <c r="F813"/>
      <c r="G813"/>
    </row>
    <row r="814" spans="1:7" ht="12.75" hidden="1" customHeight="1">
      <c r="A814" s="278"/>
      <c r="B814" s="278"/>
      <c r="C814" s="278"/>
      <c r="D814" s="3"/>
      <c r="E814"/>
      <c r="F814"/>
      <c r="G814"/>
    </row>
    <row r="815" spans="1:7" ht="12.75" hidden="1" customHeight="1">
      <c r="A815" s="278"/>
      <c r="B815" s="278"/>
      <c r="C815" s="278"/>
      <c r="D815" s="3"/>
      <c r="E815"/>
      <c r="F815"/>
      <c r="G815"/>
    </row>
    <row r="816" spans="1:7" ht="12.75" hidden="1" customHeight="1">
      <c r="A816" s="278"/>
      <c r="B816" s="278"/>
      <c r="C816" s="278"/>
      <c r="D816" s="3"/>
      <c r="E816"/>
      <c r="F816"/>
      <c r="G816"/>
    </row>
    <row r="817" spans="1:7" ht="12.75" hidden="1" customHeight="1">
      <c r="A817" s="278"/>
      <c r="B817" s="278"/>
      <c r="C817" s="278"/>
      <c r="D817" s="3"/>
      <c r="E817"/>
      <c r="F817"/>
      <c r="G817"/>
    </row>
    <row r="818" spans="1:7" ht="12.75" hidden="1" customHeight="1">
      <c r="A818" s="278"/>
      <c r="B818" s="278"/>
      <c r="C818" s="278"/>
      <c r="D818" s="3"/>
      <c r="E818"/>
      <c r="F818"/>
      <c r="G818"/>
    </row>
    <row r="819" spans="1:7" ht="12.75" hidden="1" customHeight="1">
      <c r="A819" s="278"/>
      <c r="B819" s="278"/>
      <c r="C819" s="278"/>
      <c r="D819" s="3"/>
      <c r="E819"/>
      <c r="F819"/>
      <c r="G819"/>
    </row>
    <row r="820" spans="1:7" ht="12.75" hidden="1" customHeight="1">
      <c r="A820" s="278"/>
      <c r="B820" s="278"/>
      <c r="C820" s="278"/>
      <c r="D820" s="3"/>
      <c r="E820"/>
      <c r="F820"/>
      <c r="G820"/>
    </row>
    <row r="821" spans="1:7" ht="12.75" hidden="1" customHeight="1">
      <c r="A821" s="278"/>
      <c r="B821" s="278"/>
      <c r="C821" s="278"/>
      <c r="D821" s="3"/>
      <c r="E821"/>
      <c r="F821"/>
      <c r="G821"/>
    </row>
    <row r="822" spans="1:7" ht="12.75" hidden="1" customHeight="1">
      <c r="A822" s="278"/>
      <c r="B822" s="278"/>
      <c r="C822" s="278"/>
      <c r="D822" s="3"/>
      <c r="E822"/>
      <c r="F822"/>
      <c r="G822"/>
    </row>
    <row r="823" spans="1:7" ht="12.75" hidden="1" customHeight="1">
      <c r="A823" s="278"/>
      <c r="B823" s="278"/>
      <c r="C823" s="278"/>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I19" sqref="I19"/>
    </sheetView>
  </sheetViews>
  <sheetFormatPr defaultColWidth="0" defaultRowHeight="12.45" customHeight="1" zeroHeight="1"/>
  <cols>
    <col min="1" max="10" width="10.6640625" style="326" customWidth="1"/>
    <col min="11" max="16384" width="8.6640625" style="326" hidden="1"/>
  </cols>
  <sheetData>
    <row r="1" spans="1:10" ht="14.25" customHeight="1"/>
    <row r="2" spans="1:10" ht="15.6">
      <c r="A2" s="1271" t="s">
        <v>507</v>
      </c>
      <c r="B2" s="1272"/>
      <c r="C2" s="1272"/>
      <c r="D2" s="1272"/>
      <c r="E2" s="1272"/>
      <c r="F2" s="1272"/>
      <c r="G2" s="1272"/>
      <c r="H2" s="1272"/>
      <c r="I2" s="1272"/>
      <c r="J2" s="1272"/>
    </row>
    <row r="3" spans="1:10" ht="15">
      <c r="A3" s="1275" t="s">
        <v>508</v>
      </c>
      <c r="B3" s="1276"/>
      <c r="C3" s="1276"/>
      <c r="D3" s="1276"/>
      <c r="E3" s="1276"/>
      <c r="F3" s="1276"/>
      <c r="G3" s="1276"/>
      <c r="H3" s="1276"/>
      <c r="I3" s="1276"/>
      <c r="J3" s="1276"/>
    </row>
    <row r="4" spans="1:10" ht="13.2"/>
    <row r="5" spans="1:10" ht="12.75" customHeight="1">
      <c r="A5" s="1273" t="s">
        <v>509</v>
      </c>
      <c r="B5" s="1273"/>
      <c r="C5" s="1273"/>
      <c r="D5" s="1273"/>
      <c r="E5" s="1273"/>
      <c r="F5" s="1273"/>
      <c r="G5" s="1273"/>
      <c r="H5" s="1273"/>
      <c r="I5" s="1273"/>
      <c r="J5" s="1273"/>
    </row>
    <row r="6" spans="1:10" ht="13.2">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3.2">
      <c r="A8" s="340"/>
      <c r="B8" s="340"/>
      <c r="C8" s="340"/>
      <c r="D8" s="340"/>
      <c r="E8" s="340"/>
      <c r="F8" s="340"/>
      <c r="G8" s="340"/>
      <c r="H8" s="340"/>
      <c r="I8" s="340"/>
      <c r="J8" s="340"/>
    </row>
    <row r="9" spans="1:10" ht="12.75" customHeight="1">
      <c r="A9" s="326" t="s">
        <v>510</v>
      </c>
      <c r="B9" s="340"/>
      <c r="C9" s="340"/>
      <c r="D9" s="340"/>
      <c r="E9" s="340"/>
      <c r="F9" s="340"/>
      <c r="G9" s="340"/>
      <c r="H9" s="340"/>
      <c r="I9" s="340"/>
      <c r="J9" s="340"/>
    </row>
    <row r="10" spans="1:10" ht="13.2"/>
    <row r="11" spans="1:10" ht="12.75" customHeight="1">
      <c r="A11" s="1277" t="s">
        <v>511</v>
      </c>
      <c r="B11" s="1277"/>
      <c r="C11" s="1277"/>
      <c r="D11" s="1277"/>
      <c r="E11" s="1277"/>
      <c r="F11" s="1277"/>
      <c r="G11" s="1277"/>
      <c r="H11" s="1277"/>
      <c r="I11" s="1277"/>
      <c r="J11" s="1277"/>
    </row>
    <row r="12" spans="1:10" ht="13.2">
      <c r="A12" s="1277"/>
      <c r="B12" s="1277"/>
      <c r="C12" s="1277"/>
      <c r="D12" s="1277"/>
      <c r="E12" s="1277"/>
      <c r="F12" s="1277"/>
      <c r="G12" s="1277"/>
      <c r="H12" s="1277"/>
      <c r="I12" s="1277"/>
      <c r="J12" s="1277"/>
    </row>
    <row r="13" spans="1:10" ht="13.2">
      <c r="A13" s="1277"/>
      <c r="B13" s="1277"/>
      <c r="C13" s="1277"/>
      <c r="D13" s="1277"/>
      <c r="E13" s="1277"/>
      <c r="F13" s="1277"/>
      <c r="G13" s="1277"/>
      <c r="H13" s="1277"/>
      <c r="I13" s="1277"/>
      <c r="J13" s="1277"/>
    </row>
    <row r="14" spans="1:10" ht="13.2">
      <c r="A14" s="1277"/>
      <c r="B14" s="1277"/>
      <c r="C14" s="1277"/>
      <c r="D14" s="1277"/>
      <c r="E14" s="1277"/>
      <c r="F14" s="1277"/>
      <c r="G14" s="1277"/>
      <c r="H14" s="1277"/>
      <c r="I14" s="1277"/>
      <c r="J14" s="1277"/>
    </row>
    <row r="15" spans="1:10" ht="13.2">
      <c r="A15" s="1277"/>
      <c r="B15" s="1277"/>
      <c r="C15" s="1277"/>
      <c r="D15" s="1277"/>
      <c r="E15" s="1277"/>
      <c r="F15" s="1277"/>
      <c r="G15" s="1277"/>
      <c r="H15" s="1277"/>
      <c r="I15" s="1277"/>
      <c r="J15" s="1277"/>
    </row>
    <row r="16" spans="1:10" ht="13.2">
      <c r="A16" s="1277"/>
      <c r="B16" s="1277"/>
      <c r="C16" s="1277"/>
      <c r="D16" s="1277"/>
      <c r="E16" s="1277"/>
      <c r="F16" s="1277"/>
      <c r="G16" s="1277"/>
      <c r="H16" s="1277"/>
      <c r="I16" s="1277"/>
      <c r="J16" s="1277"/>
    </row>
    <row r="17" spans="1:10" ht="13.2">
      <c r="A17" s="448"/>
      <c r="B17" s="448"/>
      <c r="C17" s="448"/>
      <c r="D17" s="448"/>
      <c r="E17" s="448"/>
      <c r="F17" s="448"/>
      <c r="G17" s="448"/>
      <c r="H17" s="448"/>
      <c r="I17" s="448"/>
      <c r="J17" s="448"/>
    </row>
    <row r="18" spans="1:10" ht="13.2">
      <c r="A18" s="401" t="s">
        <v>512</v>
      </c>
      <c r="B18" s="340"/>
      <c r="C18" s="340"/>
      <c r="D18" s="340"/>
      <c r="E18" s="340"/>
      <c r="F18" s="340"/>
      <c r="G18" s="340"/>
      <c r="H18" s="340"/>
      <c r="I18" s="340"/>
      <c r="J18" s="340"/>
    </row>
    <row r="19" spans="1:10" ht="13.2">
      <c r="A19" s="340" t="s">
        <v>253</v>
      </c>
      <c r="B19" s="340"/>
      <c r="C19" s="340"/>
      <c r="D19" s="340"/>
      <c r="E19" s="340"/>
      <c r="F19" s="340"/>
      <c r="G19" s="340"/>
      <c r="H19" s="340"/>
      <c r="I19" s="340"/>
      <c r="J19" s="340"/>
    </row>
    <row r="20" spans="1:10" ht="13.2">
      <c r="A20" s="1276" t="s">
        <v>513</v>
      </c>
      <c r="B20" s="1276"/>
      <c r="C20" s="1276"/>
      <c r="D20" s="1276"/>
      <c r="E20" s="1276"/>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73" t="s">
        <v>514</v>
      </c>
      <c r="B57" s="1273"/>
      <c r="C57" s="1273"/>
      <c r="D57" s="1273"/>
      <c r="E57" s="1273"/>
      <c r="F57" s="1273"/>
      <c r="G57" s="1273"/>
      <c r="H57" s="1273"/>
      <c r="I57" s="1273"/>
      <c r="J57" s="1273"/>
    </row>
    <row r="58" spans="1:10" ht="13.2">
      <c r="A58" s="1273"/>
      <c r="B58" s="1273"/>
      <c r="C58" s="1273"/>
      <c r="D58" s="1273"/>
      <c r="E58" s="1273"/>
      <c r="F58" s="1273"/>
      <c r="G58" s="1273"/>
      <c r="H58" s="1273"/>
      <c r="I58" s="1273"/>
      <c r="J58" s="1273"/>
    </row>
    <row r="59" spans="1:10" ht="13.2">
      <c r="A59" s="1273"/>
      <c r="B59" s="1273"/>
      <c r="C59" s="1273"/>
      <c r="D59" s="1273"/>
      <c r="E59" s="1273"/>
      <c r="F59" s="1273"/>
      <c r="G59" s="1273"/>
      <c r="H59" s="1273"/>
      <c r="I59" s="1273"/>
      <c r="J59" s="1273"/>
    </row>
    <row r="60" spans="1:10" ht="13.2"/>
    <row r="61" spans="1:10" ht="13.2">
      <c r="A61" s="326" t="s">
        <v>513</v>
      </c>
    </row>
    <row r="62" spans="1:10" ht="13.2"/>
    <row r="63" spans="1:10" ht="13.2"/>
    <row r="64" spans="1:10" ht="13.2"/>
    <row r="65" spans="1:9" ht="13.2"/>
    <row r="66" spans="1:9" ht="13.2"/>
    <row r="67" spans="1:9" ht="13.2"/>
    <row r="68" spans="1:9" ht="13.2"/>
    <row r="69" spans="1:9" ht="13.2"/>
    <row r="70" spans="1:9" ht="13.2"/>
    <row r="71" spans="1:9" ht="13.2"/>
    <row r="72" spans="1:9" ht="13.2">
      <c r="A72" s="1274" t="s">
        <v>515</v>
      </c>
      <c r="B72" s="1274"/>
      <c r="C72" s="1274"/>
      <c r="D72" s="1274"/>
      <c r="E72" s="1274"/>
      <c r="F72" s="1274"/>
      <c r="G72" s="1274"/>
      <c r="H72" s="1274"/>
      <c r="I72" s="1274"/>
    </row>
    <row r="73" spans="1:9" ht="13.2">
      <c r="A73" s="1227" t="s">
        <v>13</v>
      </c>
      <c r="B73" s="1227"/>
      <c r="C73" s="1227"/>
      <c r="D73" s="1227"/>
      <c r="E73" s="1227"/>
    </row>
    <row r="74" spans="1:9" ht="13.2">
      <c r="A74" s="1227" t="s">
        <v>14</v>
      </c>
      <c r="B74" s="1227"/>
      <c r="C74" s="1227"/>
      <c r="D74" s="1227"/>
      <c r="E74" s="1227"/>
    </row>
    <row r="75" spans="1:9" ht="13.2">
      <c r="A75" s="1227" t="s">
        <v>516</v>
      </c>
      <c r="B75" s="1227"/>
      <c r="C75" s="1227"/>
      <c r="D75" s="1227"/>
      <c r="E75" s="1227"/>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22860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34" workbookViewId="0">
      <selection activeCell="D952" sqref="D952:F955"/>
    </sheetView>
  </sheetViews>
  <sheetFormatPr defaultColWidth="0" defaultRowHeight="13.2" zeroHeight="1"/>
  <cols>
    <col min="1" max="1" width="3.5546875" style="405" customWidth="1"/>
    <col min="2" max="2" width="13.5546875" style="405" customWidth="1"/>
    <col min="3" max="3" width="2.5546875" style="405" customWidth="1"/>
    <col min="4" max="5" width="3.5546875" style="326" customWidth="1"/>
    <col min="6" max="6" width="65.5546875" style="326" customWidth="1"/>
    <col min="7" max="7" width="1.5546875" style="326" customWidth="1"/>
    <col min="8" max="8" width="3.5546875" style="326" customWidth="1"/>
    <col min="9" max="9" width="24.44140625" style="328" customWidth="1"/>
    <col min="10" max="10" width="8.6640625" style="326" customWidth="1"/>
    <col min="11" max="16384" width="8.6640625" style="326" hidden="1"/>
  </cols>
  <sheetData>
    <row r="1" spans="1:13"/>
    <row r="2" spans="1:13">
      <c r="A2" s="1278" t="s">
        <v>517</v>
      </c>
      <c r="B2" s="1278"/>
      <c r="C2" s="1278"/>
      <c r="D2" s="1278"/>
      <c r="E2" s="1278"/>
      <c r="F2" s="1278"/>
      <c r="G2" s="1278"/>
      <c r="H2" s="1278"/>
      <c r="I2" s="1278"/>
    </row>
    <row r="3" spans="1:13">
      <c r="A3" s="1279" t="s">
        <v>518</v>
      </c>
      <c r="B3" s="1279"/>
      <c r="C3" s="1279"/>
      <c r="D3" s="1279"/>
      <c r="E3" s="1279"/>
      <c r="F3" s="1279"/>
      <c r="G3" s="1279"/>
      <c r="H3" s="1279"/>
      <c r="I3" s="1279"/>
    </row>
    <row r="4" spans="1:13">
      <c r="A4" s="1279"/>
      <c r="B4" s="1279"/>
      <c r="C4" s="1276"/>
      <c r="D4" s="1276"/>
      <c r="E4" s="1276"/>
      <c r="F4" s="1276"/>
      <c r="G4" s="1276"/>
    </row>
    <row r="5" spans="1:13">
      <c r="A5" s="1279"/>
      <c r="B5" s="1279"/>
      <c r="C5" s="1276"/>
      <c r="D5" s="1276"/>
      <c r="E5" s="1276"/>
      <c r="F5" s="1276"/>
      <c r="G5" s="1276"/>
    </row>
    <row r="6" spans="1:13" ht="12.75" customHeight="1">
      <c r="A6" s="1293" t="s">
        <v>519</v>
      </c>
      <c r="B6" s="1293"/>
      <c r="C6" s="1293"/>
      <c r="D6" s="1293"/>
      <c r="E6" s="1293"/>
      <c r="F6" s="1293"/>
      <c r="G6" s="1293"/>
      <c r="I6" s="415" t="s">
        <v>520</v>
      </c>
    </row>
    <row r="7" spans="1:13">
      <c r="A7" s="1293"/>
      <c r="B7" s="1293"/>
      <c r="C7" s="1293"/>
      <c r="D7" s="1293"/>
      <c r="E7" s="1293"/>
      <c r="F7" s="1293"/>
      <c r="G7" s="1293"/>
      <c r="I7" s="415" t="s">
        <v>521</v>
      </c>
    </row>
    <row r="8" spans="1:13">
      <c r="A8" s="406"/>
      <c r="B8" s="406"/>
      <c r="C8" s="407"/>
      <c r="D8" s="407"/>
      <c r="E8" s="407"/>
      <c r="F8" s="407"/>
    </row>
    <row r="9" spans="1:13">
      <c r="A9" s="1241" t="s">
        <v>302</v>
      </c>
      <c r="B9" s="1241"/>
      <c r="C9" s="1241"/>
      <c r="D9" s="1241"/>
      <c r="E9" s="1241"/>
      <c r="F9" s="1241"/>
      <c r="G9" s="1241"/>
      <c r="H9" s="944"/>
      <c r="I9" s="945"/>
    </row>
    <row r="10" spans="1:13">
      <c r="A10" s="407"/>
      <c r="B10" s="407"/>
      <c r="E10" s="328"/>
    </row>
    <row r="11" spans="1:13" ht="13.95" customHeight="1">
      <c r="C11" s="407"/>
      <c r="D11" s="1292" t="s">
        <v>303</v>
      </c>
      <c r="E11" s="1292"/>
      <c r="F11" s="1292"/>
    </row>
    <row r="12" spans="1:13">
      <c r="C12" s="407"/>
      <c r="D12" s="1292"/>
      <c r="E12" s="1292"/>
      <c r="F12" s="1292"/>
    </row>
    <row r="13" spans="1:13">
      <c r="A13" s="408"/>
      <c r="B13" s="408"/>
      <c r="C13" s="408"/>
      <c r="D13" s="1262" t="s">
        <v>304</v>
      </c>
      <c r="E13" s="1262"/>
      <c r="F13" s="1262"/>
      <c r="M13" s="72"/>
    </row>
    <row r="14" spans="1:13">
      <c r="A14" s="408"/>
      <c r="B14" s="408"/>
      <c r="C14" s="408"/>
      <c r="D14" s="401"/>
      <c r="L14" s="234"/>
    </row>
    <row r="15" spans="1:13" ht="14.4">
      <c r="A15" s="409"/>
      <c r="B15" s="410" t="s">
        <v>2796</v>
      </c>
      <c r="C15" s="408"/>
      <c r="D15" s="1235" t="s">
        <v>522</v>
      </c>
      <c r="E15" s="1235"/>
      <c r="F15" s="1235"/>
      <c r="I15" s="415" t="s">
        <v>523</v>
      </c>
    </row>
    <row r="16" spans="1:13">
      <c r="A16" s="408"/>
      <c r="B16" s="408"/>
      <c r="C16" s="408"/>
      <c r="D16" s="1235"/>
      <c r="E16" s="1235"/>
      <c r="F16" s="1235"/>
      <c r="I16" s="415"/>
    </row>
    <row r="17" spans="1:9">
      <c r="A17" s="408"/>
      <c r="B17" s="408"/>
      <c r="C17" s="408"/>
      <c r="D17" s="1235"/>
      <c r="E17" s="1235"/>
      <c r="F17" s="1235"/>
      <c r="I17" s="415"/>
    </row>
    <row r="18" spans="1:9">
      <c r="A18" s="408"/>
      <c r="B18" s="408"/>
      <c r="C18" s="408"/>
      <c r="D18" s="371"/>
      <c r="E18" s="234" t="s">
        <v>524</v>
      </c>
      <c r="F18" s="371"/>
      <c r="I18" s="415"/>
    </row>
    <row r="19" spans="1:9">
      <c r="A19" s="408"/>
      <c r="B19" s="408"/>
      <c r="C19" s="408"/>
      <c r="I19" s="415"/>
    </row>
    <row r="20" spans="1:9" ht="14.4">
      <c r="A20" s="409"/>
      <c r="B20" s="410" t="s">
        <v>2796</v>
      </c>
      <c r="D20" s="1235" t="s">
        <v>525</v>
      </c>
      <c r="E20" s="1235"/>
      <c r="F20" s="1235"/>
      <c r="I20" s="415" t="s">
        <v>526</v>
      </c>
    </row>
    <row r="21" spans="1:9" ht="14.4">
      <c r="A21" s="409"/>
      <c r="D21" s="1235"/>
      <c r="E21" s="1235"/>
      <c r="F21" s="1235"/>
      <c r="I21" s="415"/>
    </row>
    <row r="22" spans="1:9" ht="14.4">
      <c r="A22" s="409"/>
      <c r="D22" s="316"/>
      <c r="E22" s="72" t="s">
        <v>527</v>
      </c>
      <c r="F22" s="316"/>
      <c r="I22" s="415"/>
    </row>
    <row r="23" spans="1:9" ht="14.4">
      <c r="A23" s="409"/>
      <c r="B23" s="409"/>
      <c r="D23" s="372"/>
      <c r="I23" s="415"/>
    </row>
    <row r="24" spans="1:9" ht="14.4">
      <c r="A24" s="409"/>
      <c r="B24" s="410" t="s">
        <v>528</v>
      </c>
      <c r="D24" s="1235" t="s">
        <v>307</v>
      </c>
      <c r="E24" s="1235"/>
      <c r="F24" s="1235"/>
      <c r="I24" s="415" t="s">
        <v>526</v>
      </c>
    </row>
    <row r="25" spans="1:9" ht="14.4">
      <c r="A25" s="409"/>
      <c r="B25" s="409"/>
      <c r="D25" s="1235"/>
      <c r="E25" s="1235"/>
      <c r="F25" s="1235"/>
      <c r="I25" s="415"/>
    </row>
    <row r="26" spans="1:9">
      <c r="I26" s="415"/>
    </row>
    <row r="27" spans="1:9" ht="14.4">
      <c r="A27" s="409"/>
      <c r="B27" s="410" t="s">
        <v>2796</v>
      </c>
      <c r="D27" s="1235" t="s">
        <v>529</v>
      </c>
      <c r="E27" s="1235"/>
      <c r="F27" s="1235"/>
      <c r="I27" s="415" t="s">
        <v>530</v>
      </c>
    </row>
    <row r="28" spans="1:9">
      <c r="D28" s="1235"/>
      <c r="E28" s="1235"/>
      <c r="F28" s="1235"/>
      <c r="I28" s="415"/>
    </row>
    <row r="29" spans="1:9">
      <c r="D29" s="1235"/>
      <c r="E29" s="1235"/>
      <c r="F29" s="1235"/>
      <c r="I29" s="415"/>
    </row>
    <row r="30" spans="1:9">
      <c r="D30" s="1235"/>
      <c r="E30" s="1235"/>
      <c r="F30" s="1235"/>
      <c r="I30" s="415"/>
    </row>
    <row r="31" spans="1:9">
      <c r="D31" s="1235"/>
      <c r="E31" s="1235"/>
      <c r="F31" s="1235"/>
      <c r="I31" s="415"/>
    </row>
    <row r="32" spans="1:9">
      <c r="D32" s="373"/>
      <c r="I32" s="415"/>
    </row>
    <row r="33" spans="1:9">
      <c r="B33" s="410" t="s">
        <v>528</v>
      </c>
      <c r="D33" s="1235" t="s">
        <v>531</v>
      </c>
      <c r="E33" s="1235"/>
      <c r="F33" s="1235"/>
      <c r="I33" s="415" t="s">
        <v>523</v>
      </c>
    </row>
    <row r="34" spans="1:9">
      <c r="D34" s="1235"/>
      <c r="E34" s="1235"/>
      <c r="F34" s="1235"/>
      <c r="I34" s="415"/>
    </row>
    <row r="35" spans="1:9" ht="14.4">
      <c r="A35" s="409"/>
      <c r="B35" s="409"/>
      <c r="D35" s="373"/>
      <c r="I35" s="415"/>
    </row>
    <row r="36" spans="1:9" ht="14.7" customHeight="1">
      <c r="A36" s="409"/>
      <c r="B36" s="410" t="s">
        <v>2796</v>
      </c>
      <c r="D36" s="1235" t="s">
        <v>532</v>
      </c>
      <c r="E36" s="1235"/>
      <c r="F36" s="1235"/>
      <c r="I36" s="415" t="s">
        <v>533</v>
      </c>
    </row>
    <row r="37" spans="1:9" ht="14.4">
      <c r="A37" s="409"/>
      <c r="B37" s="409"/>
      <c r="D37" s="1235"/>
      <c r="E37" s="1235"/>
      <c r="F37" s="1235"/>
      <c r="I37" s="415"/>
    </row>
    <row r="38" spans="1:9" ht="14.4">
      <c r="A38" s="409"/>
      <c r="B38" s="409"/>
      <c r="D38" s="1235"/>
      <c r="E38" s="1235"/>
      <c r="F38" s="1235"/>
      <c r="I38" s="415"/>
    </row>
    <row r="39" spans="1:9" ht="14.4">
      <c r="A39" s="409"/>
      <c r="B39" s="409"/>
      <c r="D39" s="1235"/>
      <c r="E39" s="1235"/>
      <c r="F39" s="1235"/>
      <c r="I39" s="415"/>
    </row>
    <row r="40" spans="1:9" ht="14.4">
      <c r="A40" s="409"/>
      <c r="B40" s="409"/>
      <c r="I40" s="415"/>
    </row>
    <row r="41" spans="1:9" ht="14.4">
      <c r="A41" s="409"/>
      <c r="B41" s="410" t="s">
        <v>528</v>
      </c>
      <c r="D41" s="1235" t="s">
        <v>311</v>
      </c>
      <c r="E41" s="1235"/>
      <c r="F41" s="1235"/>
      <c r="I41" s="415"/>
    </row>
    <row r="42" spans="1:9" ht="14.4">
      <c r="A42" s="409"/>
      <c r="B42" s="409"/>
      <c r="D42" s="1235"/>
      <c r="E42" s="1235"/>
      <c r="F42" s="1235"/>
      <c r="I42" s="415"/>
    </row>
    <row r="43" spans="1:9" ht="14.4">
      <c r="A43" s="409"/>
      <c r="B43" s="409"/>
      <c r="D43" s="1235"/>
      <c r="E43" s="1235"/>
      <c r="F43" s="1235"/>
      <c r="I43" s="415"/>
    </row>
    <row r="44" spans="1:9" ht="14.4">
      <c r="A44" s="409"/>
      <c r="B44" s="409"/>
      <c r="D44" s="1235"/>
      <c r="E44" s="1235"/>
      <c r="F44" s="1235"/>
      <c r="I44" s="415"/>
    </row>
    <row r="45" spans="1:9" ht="14.4">
      <c r="A45" s="409"/>
      <c r="B45" s="409"/>
      <c r="D45" s="1235"/>
      <c r="E45" s="1235"/>
      <c r="F45" s="1235"/>
      <c r="I45" s="415"/>
    </row>
    <row r="46" spans="1:9" ht="14.4">
      <c r="A46" s="409"/>
      <c r="B46" s="409"/>
      <c r="D46" s="371"/>
      <c r="E46" s="371"/>
      <c r="F46" s="371"/>
      <c r="I46" s="415"/>
    </row>
    <row r="47" spans="1:9" ht="14.4">
      <c r="A47" s="409"/>
      <c r="B47" s="410" t="s">
        <v>2796</v>
      </c>
      <c r="D47" s="1235" t="s">
        <v>312</v>
      </c>
      <c r="E47" s="1235"/>
      <c r="F47" s="1235"/>
      <c r="I47" s="415" t="s">
        <v>533</v>
      </c>
    </row>
    <row r="48" spans="1:9" ht="14.4">
      <c r="A48" s="409"/>
      <c r="B48" s="409"/>
      <c r="D48" s="1235"/>
      <c r="E48" s="1235"/>
      <c r="F48" s="1235"/>
      <c r="I48" s="415"/>
    </row>
    <row r="49" spans="1:9" ht="14.4">
      <c r="A49" s="409"/>
      <c r="B49" s="409"/>
      <c r="D49" s="1235"/>
      <c r="E49" s="1235"/>
      <c r="F49" s="1235"/>
      <c r="I49" s="415"/>
    </row>
    <row r="50" spans="1:9" ht="23.25" customHeight="1">
      <c r="A50" s="409"/>
      <c r="B50" s="409"/>
      <c r="D50" s="1235"/>
      <c r="E50" s="1235"/>
      <c r="F50" s="1235"/>
      <c r="I50" s="415"/>
    </row>
    <row r="51" spans="1:9" ht="14.4">
      <c r="A51" s="409"/>
      <c r="B51" s="409"/>
      <c r="D51" s="372"/>
      <c r="I51" s="415"/>
    </row>
    <row r="52" spans="1:9" ht="14.7" customHeight="1">
      <c r="A52" s="409"/>
      <c r="B52" s="410" t="s">
        <v>528</v>
      </c>
      <c r="D52" s="1235" t="s">
        <v>313</v>
      </c>
      <c r="E52" s="1235"/>
      <c r="F52" s="1235"/>
      <c r="I52" s="415" t="s">
        <v>533</v>
      </c>
    </row>
    <row r="53" spans="1:9" ht="14.4">
      <c r="A53" s="409"/>
      <c r="B53" s="409"/>
      <c r="D53" s="1235"/>
      <c r="E53" s="1235"/>
      <c r="F53" s="1235"/>
      <c r="I53" s="415"/>
    </row>
    <row r="54" spans="1:9" ht="14.4">
      <c r="A54" s="409"/>
      <c r="B54" s="409"/>
      <c r="D54" s="1235"/>
      <c r="E54" s="1235"/>
      <c r="F54" s="1235"/>
      <c r="I54" s="415"/>
    </row>
    <row r="55" spans="1:9" ht="14.4">
      <c r="A55" s="409"/>
      <c r="B55" s="409"/>
      <c r="I55" s="415"/>
    </row>
    <row r="56" spans="1:9" ht="14.4">
      <c r="A56" s="409"/>
      <c r="B56" s="410" t="s">
        <v>2796</v>
      </c>
      <c r="D56" s="1289" t="s">
        <v>314</v>
      </c>
      <c r="E56" s="1289"/>
      <c r="F56" s="1289"/>
      <c r="I56" s="415"/>
    </row>
    <row r="57" spans="1:9" ht="14.4">
      <c r="A57" s="409"/>
      <c r="B57" s="409"/>
      <c r="D57" s="1289"/>
      <c r="E57" s="1289"/>
      <c r="F57" s="1289"/>
      <c r="I57" s="415"/>
    </row>
    <row r="58" spans="1:9" ht="14.4">
      <c r="A58" s="409"/>
      <c r="B58" s="409"/>
      <c r="D58" s="316" t="s">
        <v>534</v>
      </c>
      <c r="E58" s="371"/>
      <c r="F58" s="371"/>
      <c r="I58" s="415"/>
    </row>
    <row r="59" spans="1:9" ht="14.4">
      <c r="A59" s="409"/>
      <c r="B59" s="409"/>
      <c r="D59" s="371"/>
      <c r="E59" s="234" t="s">
        <v>524</v>
      </c>
      <c r="F59" s="371"/>
      <c r="I59" s="415"/>
    </row>
    <row r="60" spans="1:9">
      <c r="D60" s="373"/>
      <c r="I60" s="415"/>
    </row>
    <row r="61" spans="1:9" ht="14.4">
      <c r="A61" s="409"/>
      <c r="B61" s="410" t="s">
        <v>2796</v>
      </c>
      <c r="D61" s="1235" t="s">
        <v>315</v>
      </c>
      <c r="E61" s="1235"/>
      <c r="F61" s="1235"/>
      <c r="I61" s="415" t="s">
        <v>535</v>
      </c>
    </row>
    <row r="62" spans="1:9">
      <c r="D62" s="1235"/>
      <c r="E62" s="1235"/>
      <c r="F62" s="1235"/>
      <c r="I62" s="415"/>
    </row>
    <row r="63" spans="1:9">
      <c r="D63" s="1235"/>
      <c r="E63" s="1235"/>
      <c r="F63" s="1235"/>
      <c r="I63" s="415"/>
    </row>
    <row r="64" spans="1:9">
      <c r="I64" s="415"/>
    </row>
    <row r="65" spans="1:9" ht="14.4">
      <c r="A65" s="409"/>
      <c r="B65" s="410" t="s">
        <v>528</v>
      </c>
      <c r="D65" s="1235" t="s">
        <v>316</v>
      </c>
      <c r="E65" s="1235"/>
      <c r="F65" s="1235"/>
      <c r="I65" s="415" t="s">
        <v>536</v>
      </c>
    </row>
    <row r="66" spans="1:9">
      <c r="D66" s="1235"/>
      <c r="E66" s="1235"/>
      <c r="F66" s="1235"/>
      <c r="I66" s="415"/>
    </row>
    <row r="67" spans="1:9">
      <c r="I67" s="415"/>
    </row>
    <row r="68" spans="1:9" ht="14.4">
      <c r="A68" s="409"/>
      <c r="B68" s="410" t="s">
        <v>528</v>
      </c>
      <c r="D68" s="1235" t="s">
        <v>317</v>
      </c>
      <c r="E68" s="1235"/>
      <c r="F68" s="1235"/>
      <c r="I68" s="415"/>
    </row>
    <row r="69" spans="1:9">
      <c r="D69" s="1235"/>
      <c r="E69" s="1235"/>
      <c r="F69" s="1235"/>
      <c r="I69" s="415" t="s">
        <v>530</v>
      </c>
    </row>
    <row r="70" spans="1:9">
      <c r="D70" s="1235"/>
      <c r="E70" s="1235"/>
      <c r="F70" s="1235"/>
      <c r="I70" s="415"/>
    </row>
    <row r="71" spans="1:9">
      <c r="I71" s="415"/>
    </row>
    <row r="72" spans="1:9" ht="14.4">
      <c r="A72" s="409"/>
      <c r="B72" s="410" t="s">
        <v>2796</v>
      </c>
      <c r="D72" s="1235" t="s">
        <v>318</v>
      </c>
      <c r="E72" s="1235"/>
      <c r="F72" s="1235"/>
      <c r="I72" s="415" t="s">
        <v>530</v>
      </c>
    </row>
    <row r="73" spans="1:9">
      <c r="D73" s="1235"/>
      <c r="E73" s="1235"/>
      <c r="F73" s="1235"/>
      <c r="I73" s="415"/>
    </row>
    <row r="74" spans="1:9" ht="14.4">
      <c r="A74" s="409"/>
      <c r="B74" s="409"/>
      <c r="D74" s="372"/>
      <c r="I74" s="415"/>
    </row>
    <row r="75" spans="1:9">
      <c r="A75" s="1241" t="s">
        <v>319</v>
      </c>
      <c r="B75" s="1241"/>
      <c r="C75" s="1241"/>
      <c r="D75" s="1241"/>
      <c r="E75" s="1241"/>
      <c r="F75" s="1241"/>
      <c r="G75" s="1241"/>
      <c r="H75" s="944"/>
      <c r="I75" s="1135"/>
    </row>
    <row r="76" spans="1:9">
      <c r="I76" s="415"/>
    </row>
    <row r="77" spans="1:9">
      <c r="C77" s="411"/>
      <c r="D77" s="1261" t="s">
        <v>320</v>
      </c>
      <c r="E77" s="1261"/>
      <c r="F77" s="1261"/>
      <c r="I77" s="415"/>
    </row>
    <row r="78" spans="1:9">
      <c r="A78" s="372"/>
      <c r="B78" s="372"/>
      <c r="D78" s="1235" t="s">
        <v>321</v>
      </c>
      <c r="E78" s="1235"/>
      <c r="F78" s="1235"/>
      <c r="I78" s="415"/>
    </row>
    <row r="79" spans="1:9">
      <c r="A79" s="372"/>
      <c r="B79" s="372"/>
      <c r="I79" s="415"/>
    </row>
    <row r="80" spans="1:9" ht="13.95" customHeight="1">
      <c r="A80" s="409"/>
      <c r="B80" s="410" t="s">
        <v>2796</v>
      </c>
      <c r="D80" s="1235" t="s">
        <v>537</v>
      </c>
      <c r="E80" s="1235"/>
      <c r="F80" s="1235"/>
      <c r="I80" s="415" t="s">
        <v>538</v>
      </c>
    </row>
    <row r="81" spans="1:9" ht="14.4">
      <c r="A81" s="409"/>
      <c r="B81" s="409"/>
      <c r="D81" s="1235"/>
      <c r="E81" s="1235"/>
      <c r="F81" s="1235"/>
      <c r="I81" s="415"/>
    </row>
    <row r="82" spans="1:9" ht="14.4">
      <c r="A82" s="409"/>
      <c r="B82" s="409"/>
      <c r="D82" s="1235"/>
      <c r="E82" s="1235"/>
      <c r="F82" s="1235"/>
      <c r="I82" s="415"/>
    </row>
    <row r="83" spans="1:9" ht="14.4">
      <c r="A83" s="409"/>
      <c r="B83" s="409"/>
      <c r="D83" s="1235"/>
      <c r="E83" s="1235"/>
      <c r="F83" s="1235"/>
      <c r="I83" s="415"/>
    </row>
    <row r="84" spans="1:9" ht="14.4">
      <c r="A84" s="409"/>
      <c r="B84" s="409"/>
      <c r="D84" s="1235"/>
      <c r="E84" s="1235"/>
      <c r="F84" s="1235"/>
      <c r="I84" s="415"/>
    </row>
    <row r="85" spans="1:9" ht="14.4">
      <c r="A85" s="409"/>
      <c r="B85" s="409"/>
      <c r="D85" s="1235"/>
      <c r="E85" s="1235"/>
      <c r="F85" s="1235"/>
      <c r="I85" s="415"/>
    </row>
    <row r="86" spans="1:9" ht="14.4">
      <c r="A86" s="409"/>
      <c r="B86" s="409"/>
      <c r="D86" s="1235"/>
      <c r="E86" s="1235"/>
      <c r="F86" s="1235"/>
      <c r="I86" s="415"/>
    </row>
    <row r="87" spans="1:9" ht="14.4">
      <c r="A87" s="409"/>
      <c r="B87" s="409"/>
      <c r="D87" s="1235"/>
      <c r="E87" s="1235"/>
      <c r="F87" s="1235"/>
      <c r="I87" s="415"/>
    </row>
    <row r="88" spans="1:9" ht="14.4">
      <c r="A88" s="409"/>
      <c r="B88" s="409"/>
      <c r="D88" s="309"/>
      <c r="E88" s="309"/>
      <c r="F88" s="309"/>
      <c r="I88" s="415"/>
    </row>
    <row r="89" spans="1:9" ht="15" customHeight="1">
      <c r="A89" s="409"/>
      <c r="B89" s="410" t="s">
        <v>2796</v>
      </c>
      <c r="D89" s="1235" t="s">
        <v>539</v>
      </c>
      <c r="E89" s="1235"/>
      <c r="F89" s="1235"/>
      <c r="I89" s="415" t="s">
        <v>540</v>
      </c>
    </row>
    <row r="90" spans="1:9" ht="14.4">
      <c r="A90" s="409"/>
      <c r="B90" s="409"/>
      <c r="D90" s="1235"/>
      <c r="E90" s="1235"/>
      <c r="F90" s="1235"/>
      <c r="I90" s="415"/>
    </row>
    <row r="91" spans="1:9" ht="14.4">
      <c r="A91" s="409"/>
      <c r="B91" s="409"/>
      <c r="D91" s="371"/>
      <c r="E91" s="371"/>
      <c r="F91" s="371"/>
      <c r="I91" s="415"/>
    </row>
    <row r="92" spans="1:9" ht="14.4">
      <c r="A92" s="409"/>
      <c r="B92" s="410" t="s">
        <v>2796</v>
      </c>
      <c r="D92" s="1235" t="s">
        <v>541</v>
      </c>
      <c r="E92" s="1235"/>
      <c r="F92" s="1235"/>
      <c r="I92" s="415" t="s">
        <v>542</v>
      </c>
    </row>
    <row r="93" spans="1:9" ht="14.4">
      <c r="A93" s="409"/>
      <c r="B93" s="409"/>
      <c r="D93" s="1235"/>
      <c r="E93" s="1235"/>
      <c r="F93" s="1235"/>
      <c r="I93" s="415"/>
    </row>
    <row r="94" spans="1:9" ht="14.4">
      <c r="A94" s="409"/>
      <c r="B94" s="409"/>
      <c r="D94" s="1235"/>
      <c r="E94" s="1235"/>
      <c r="F94" s="1235"/>
      <c r="I94" s="415"/>
    </row>
    <row r="95" spans="1:9" ht="14.4">
      <c r="A95" s="409"/>
      <c r="B95" s="409"/>
      <c r="D95" s="371"/>
      <c r="E95" s="371"/>
      <c r="F95" s="371"/>
      <c r="I95" s="415"/>
    </row>
    <row r="96" spans="1:9" ht="14.4">
      <c r="A96" s="409"/>
      <c r="B96" s="410" t="s">
        <v>2796</v>
      </c>
      <c r="D96" s="1235" t="s">
        <v>543</v>
      </c>
      <c r="E96" s="1235"/>
      <c r="F96" s="1235"/>
      <c r="I96" s="415" t="s">
        <v>544</v>
      </c>
    </row>
    <row r="97" spans="1:9" s="906" customFormat="1" ht="14.4">
      <c r="A97" s="904"/>
      <c r="B97" s="904"/>
      <c r="C97" s="905"/>
      <c r="D97" s="1235"/>
      <c r="E97" s="1235"/>
      <c r="F97" s="1235"/>
      <c r="I97" s="1136"/>
    </row>
    <row r="98" spans="1:9" ht="14.4">
      <c r="A98" s="409"/>
      <c r="B98" s="409"/>
      <c r="D98" s="316"/>
      <c r="E98" s="234" t="s">
        <v>545</v>
      </c>
      <c r="F98" s="371"/>
      <c r="I98" s="415"/>
    </row>
    <row r="99" spans="1:9" ht="14.4">
      <c r="A99" s="409"/>
      <c r="B99" s="409"/>
      <c r="D99" s="309"/>
      <c r="E99" s="309"/>
      <c r="F99" s="309"/>
      <c r="I99" s="415"/>
    </row>
    <row r="100" spans="1:9" ht="14.4">
      <c r="A100" s="409"/>
      <c r="B100" s="410" t="s">
        <v>528</v>
      </c>
      <c r="D100" s="1235" t="s">
        <v>546</v>
      </c>
      <c r="E100" s="1235"/>
      <c r="F100" s="1235"/>
      <c r="I100" s="415" t="s">
        <v>547</v>
      </c>
    </row>
    <row r="101" spans="1:9" ht="14.4">
      <c r="A101" s="409"/>
      <c r="B101" s="409"/>
      <c r="D101" s="1235"/>
      <c r="E101" s="1235"/>
      <c r="F101" s="1235"/>
      <c r="I101" s="415"/>
    </row>
    <row r="102" spans="1:9" ht="14.4">
      <c r="A102" s="409"/>
      <c r="B102" s="409"/>
      <c r="D102" s="371"/>
      <c r="E102" s="371"/>
      <c r="F102" s="371"/>
      <c r="I102" s="415"/>
    </row>
    <row r="103" spans="1:9" ht="14.7" customHeight="1">
      <c r="A103" s="409"/>
      <c r="B103" s="410" t="s">
        <v>528</v>
      </c>
      <c r="D103" s="1235" t="s">
        <v>548</v>
      </c>
      <c r="E103" s="1235"/>
      <c r="F103" s="1235"/>
      <c r="I103" s="415" t="s">
        <v>549</v>
      </c>
    </row>
    <row r="104" spans="1:9" ht="14.4">
      <c r="A104" s="409"/>
      <c r="B104" s="409"/>
      <c r="D104" s="1235"/>
      <c r="E104" s="1235"/>
      <c r="F104" s="1235"/>
      <c r="I104" s="415"/>
    </row>
    <row r="105" spans="1:9" ht="14.4">
      <c r="A105" s="409"/>
      <c r="B105" s="409"/>
      <c r="D105" s="1235"/>
      <c r="E105" s="1235"/>
      <c r="F105" s="1235"/>
      <c r="I105" s="415"/>
    </row>
    <row r="106" spans="1:9" ht="14.4">
      <c r="A106" s="409"/>
      <c r="B106" s="409"/>
      <c r="D106" s="1235"/>
      <c r="E106" s="1235"/>
      <c r="F106" s="1235"/>
      <c r="I106" s="415"/>
    </row>
    <row r="107" spans="1:9" ht="14.4">
      <c r="A107" s="409"/>
      <c r="B107" s="409"/>
      <c r="D107" s="1235"/>
      <c r="E107" s="1235"/>
      <c r="F107" s="1235"/>
      <c r="I107" s="415"/>
    </row>
    <row r="108" spans="1:9" ht="14.4">
      <c r="A108" s="409"/>
      <c r="B108" s="409"/>
      <c r="D108" s="1235"/>
      <c r="E108" s="1235"/>
      <c r="F108" s="1235"/>
      <c r="I108" s="415"/>
    </row>
    <row r="109" spans="1:9" ht="14.4">
      <c r="A109" s="409"/>
      <c r="B109" s="409"/>
      <c r="D109" s="1235"/>
      <c r="E109" s="1235"/>
      <c r="F109" s="1235"/>
      <c r="I109" s="415"/>
    </row>
    <row r="110" spans="1:9" ht="14.4">
      <c r="A110" s="409"/>
      <c r="B110" s="409"/>
      <c r="D110" s="1235"/>
      <c r="E110" s="1235"/>
      <c r="F110" s="1235"/>
      <c r="I110" s="415"/>
    </row>
    <row r="111" spans="1:9" ht="14.4">
      <c r="A111" s="409"/>
      <c r="B111" s="409"/>
      <c r="D111" s="1235"/>
      <c r="E111" s="1235"/>
      <c r="F111" s="1235"/>
      <c r="I111" s="415"/>
    </row>
    <row r="112" spans="1:9" ht="14.4">
      <c r="A112" s="409"/>
      <c r="B112" s="409"/>
      <c r="D112" s="1235"/>
      <c r="E112" s="1235"/>
      <c r="F112" s="1235"/>
      <c r="I112" s="415"/>
    </row>
    <row r="113" spans="1:9" ht="14.4">
      <c r="A113" s="409"/>
      <c r="B113" s="409"/>
      <c r="D113" s="1235"/>
      <c r="E113" s="1235"/>
      <c r="F113" s="1235"/>
      <c r="I113" s="415"/>
    </row>
    <row r="114" spans="1:9" ht="14.4">
      <c r="A114" s="409"/>
      <c r="B114" s="409"/>
      <c r="D114" s="1235"/>
      <c r="E114" s="1235"/>
      <c r="F114" s="1235"/>
      <c r="I114" s="415"/>
    </row>
    <row r="115" spans="1:9" ht="14.4">
      <c r="A115" s="409"/>
      <c r="B115" s="409"/>
      <c r="D115" s="1235"/>
      <c r="E115" s="1235"/>
      <c r="F115" s="1235"/>
      <c r="I115" s="415"/>
    </row>
    <row r="116" spans="1:9" ht="14.4">
      <c r="A116" s="409"/>
      <c r="B116" s="409"/>
      <c r="D116" s="1235"/>
      <c r="E116" s="1235"/>
      <c r="F116" s="1235"/>
      <c r="I116" s="415"/>
    </row>
    <row r="117" spans="1:9" ht="14.4">
      <c r="A117" s="409"/>
      <c r="B117" s="409"/>
      <c r="D117" s="1235"/>
      <c r="E117" s="1235"/>
      <c r="F117" s="1235"/>
      <c r="I117" s="415"/>
    </row>
    <row r="118" spans="1:9" ht="14.4">
      <c r="A118" s="409"/>
      <c r="B118" s="409"/>
      <c r="D118" s="448"/>
      <c r="E118" s="448"/>
      <c r="F118" s="448"/>
      <c r="I118" s="415"/>
    </row>
    <row r="119" spans="1:9" ht="14.25" customHeight="1">
      <c r="A119" s="409"/>
      <c r="B119" s="410" t="s">
        <v>528</v>
      </c>
      <c r="D119" s="1260" t="s">
        <v>324</v>
      </c>
      <c r="E119" s="1260"/>
      <c r="F119" s="1260"/>
      <c r="I119" s="415"/>
    </row>
    <row r="120" spans="1:9" ht="14.4">
      <c r="A120" s="409"/>
      <c r="B120" s="409"/>
      <c r="D120" s="1260"/>
      <c r="E120" s="1260"/>
      <c r="F120" s="1260"/>
      <c r="I120" s="415"/>
    </row>
    <row r="121" spans="1:9" ht="14.4">
      <c r="A121" s="409"/>
      <c r="B121" s="409"/>
      <c r="D121" s="1260"/>
      <c r="E121" s="1260"/>
      <c r="F121" s="1260"/>
      <c r="I121" s="415"/>
    </row>
    <row r="122" spans="1:9" ht="14.4">
      <c r="A122" s="409"/>
      <c r="B122" s="409"/>
      <c r="D122" s="1260"/>
      <c r="E122" s="1260"/>
      <c r="F122" s="1260"/>
      <c r="I122" s="415"/>
    </row>
    <row r="123" spans="1:9" ht="14.4">
      <c r="A123" s="409"/>
      <c r="B123" s="409"/>
      <c r="D123" s="1260"/>
      <c r="E123" s="1260"/>
      <c r="F123" s="1260"/>
      <c r="I123" s="415"/>
    </row>
    <row r="124" spans="1:9" ht="14.4">
      <c r="A124" s="409"/>
      <c r="B124" s="409"/>
      <c r="D124" s="1260"/>
      <c r="E124" s="1260"/>
      <c r="F124" s="1260"/>
      <c r="I124" s="415"/>
    </row>
    <row r="125" spans="1:9" ht="14.4">
      <c r="A125" s="409"/>
      <c r="B125" s="409"/>
      <c r="D125" s="1260"/>
      <c r="E125" s="1260"/>
      <c r="F125" s="1260"/>
      <c r="I125" s="415"/>
    </row>
    <row r="126" spans="1:9" ht="14.4">
      <c r="A126" s="409"/>
      <c r="B126" s="409"/>
      <c r="D126" s="1260"/>
      <c r="E126" s="1260"/>
      <c r="F126" s="1260"/>
      <c r="I126" s="415"/>
    </row>
    <row r="127" spans="1:9">
      <c r="C127" s="326"/>
      <c r="D127" s="449"/>
      <c r="E127" s="449"/>
      <c r="F127" s="449"/>
      <c r="I127" s="415"/>
    </row>
    <row r="128" spans="1:9" ht="14.4">
      <c r="A128" s="409"/>
      <c r="B128" s="410" t="s">
        <v>2796</v>
      </c>
      <c r="C128" s="326"/>
      <c r="D128" s="1260" t="s">
        <v>550</v>
      </c>
      <c r="E128" s="1260"/>
      <c r="F128" s="1260"/>
      <c r="I128" s="415" t="s">
        <v>551</v>
      </c>
    </row>
    <row r="129" spans="1:9" ht="14.4">
      <c r="A129" s="409"/>
      <c r="B129" s="409"/>
      <c r="C129" s="326"/>
      <c r="D129" s="1260"/>
      <c r="E129" s="1260"/>
      <c r="F129" s="1260"/>
      <c r="I129" s="415"/>
    </row>
    <row r="130" spans="1:9">
      <c r="I130" s="415"/>
    </row>
    <row r="131" spans="1:9" ht="14.4">
      <c r="A131" s="409"/>
      <c r="B131" s="410" t="s">
        <v>2796</v>
      </c>
      <c r="D131" s="1235" t="s">
        <v>327</v>
      </c>
      <c r="E131" s="1235"/>
      <c r="F131" s="1235"/>
      <c r="I131" s="415" t="s">
        <v>551</v>
      </c>
    </row>
    <row r="132" spans="1:9">
      <c r="D132" s="1235"/>
      <c r="E132" s="1235"/>
      <c r="F132" s="1235"/>
      <c r="I132" s="415"/>
    </row>
    <row r="133" spans="1:9">
      <c r="D133" s="1235"/>
      <c r="E133" s="1235"/>
      <c r="F133" s="1235"/>
      <c r="I133" s="415"/>
    </row>
    <row r="134" spans="1:9">
      <c r="D134" s="1235"/>
      <c r="E134" s="1235"/>
      <c r="F134" s="1235"/>
      <c r="I134" s="415"/>
    </row>
    <row r="135" spans="1:9">
      <c r="D135" s="1235"/>
      <c r="E135" s="1235"/>
      <c r="F135" s="1235"/>
      <c r="I135" s="415"/>
    </row>
    <row r="136" spans="1:9">
      <c r="I136" s="415"/>
    </row>
    <row r="137" spans="1:9" ht="14.4">
      <c r="A137" s="409"/>
      <c r="B137" s="410" t="s">
        <v>2796</v>
      </c>
      <c r="D137" s="1235" t="s">
        <v>328</v>
      </c>
      <c r="E137" s="1235"/>
      <c r="F137" s="1235"/>
      <c r="I137" s="415" t="s">
        <v>552</v>
      </c>
    </row>
    <row r="138" spans="1:9" s="341" customFormat="1" ht="13.95" customHeight="1">
      <c r="A138" s="413"/>
      <c r="B138" s="413"/>
      <c r="C138" s="413"/>
      <c r="D138" s="1235"/>
      <c r="E138" s="1235"/>
      <c r="F138" s="1235"/>
      <c r="I138" s="1137"/>
    </row>
    <row r="139" spans="1:9" ht="13.95" customHeight="1">
      <c r="D139" s="1235"/>
      <c r="E139" s="1235"/>
      <c r="F139" s="1235"/>
      <c r="I139" s="415"/>
    </row>
    <row r="140" spans="1:9" ht="13.95" customHeight="1">
      <c r="D140" s="1235"/>
      <c r="E140" s="1235"/>
      <c r="F140" s="1235"/>
      <c r="I140" s="415"/>
    </row>
    <row r="141" spans="1:9" ht="13.95" customHeight="1">
      <c r="D141" s="1235"/>
      <c r="E141" s="1235"/>
      <c r="F141" s="1235"/>
      <c r="I141" s="415"/>
    </row>
    <row r="142" spans="1:9" ht="13.95" customHeight="1">
      <c r="A142" s="414"/>
      <c r="B142" s="414"/>
      <c r="D142" s="1235"/>
      <c r="E142" s="1235"/>
      <c r="F142" s="1235"/>
      <c r="I142" s="415"/>
    </row>
    <row r="143" spans="1:9" ht="13.95" customHeight="1">
      <c r="D143" s="1235"/>
      <c r="E143" s="1235"/>
      <c r="F143" s="1235"/>
      <c r="I143" s="415"/>
    </row>
    <row r="144" spans="1:9" ht="13.95" customHeight="1">
      <c r="D144" s="1235"/>
      <c r="E144" s="1235"/>
      <c r="F144" s="1235"/>
      <c r="I144" s="415"/>
    </row>
    <row r="145" spans="2:9" ht="13.95" customHeight="1">
      <c r="D145" s="1235"/>
      <c r="E145" s="1235"/>
      <c r="F145" s="1235"/>
      <c r="I145" s="415"/>
    </row>
    <row r="146" spans="2:9" ht="13.95" customHeight="1">
      <c r="D146" s="1235"/>
      <c r="E146" s="1235"/>
      <c r="F146" s="1235"/>
      <c r="I146" s="415"/>
    </row>
    <row r="147" spans="2:9" ht="13.95" customHeight="1">
      <c r="D147" s="1235"/>
      <c r="E147" s="1235"/>
      <c r="F147" s="1235"/>
      <c r="I147" s="415"/>
    </row>
    <row r="148" spans="2:9" ht="13.95" customHeight="1">
      <c r="D148" s="1235"/>
      <c r="E148" s="1235"/>
      <c r="F148" s="1235"/>
      <c r="I148" s="415"/>
    </row>
    <row r="149" spans="2:9" ht="13.95" customHeight="1">
      <c r="D149" s="1235"/>
      <c r="E149" s="1235"/>
      <c r="F149" s="1235"/>
      <c r="I149" s="415"/>
    </row>
    <row r="150" spans="2:9" ht="13.95" customHeight="1">
      <c r="D150" s="401"/>
      <c r="E150" s="372"/>
      <c r="F150" s="372"/>
      <c r="I150" s="415"/>
    </row>
    <row r="151" spans="2:9" ht="13.95" customHeight="1">
      <c r="B151" s="410" t="s">
        <v>528</v>
      </c>
      <c r="D151" s="1235" t="s">
        <v>329</v>
      </c>
      <c r="E151" s="1235"/>
      <c r="F151" s="1235"/>
      <c r="I151" s="415" t="s">
        <v>553</v>
      </c>
    </row>
    <row r="152" spans="2:9" ht="13.95" customHeight="1">
      <c r="D152" s="1235"/>
      <c r="E152" s="1235"/>
      <c r="F152" s="1235"/>
      <c r="I152" s="415"/>
    </row>
    <row r="153" spans="2:9" ht="13.95" customHeight="1">
      <c r="D153" s="1235"/>
      <c r="E153" s="1235"/>
      <c r="F153" s="1235"/>
      <c r="I153" s="415"/>
    </row>
    <row r="154" spans="2:9" ht="13.95" customHeight="1">
      <c r="D154" s="1235"/>
      <c r="E154" s="1235"/>
      <c r="F154" s="1235"/>
      <c r="I154" s="415"/>
    </row>
    <row r="155" spans="2:9" ht="13.95" customHeight="1">
      <c r="D155" s="1235"/>
      <c r="E155" s="1235"/>
      <c r="F155" s="1235"/>
      <c r="I155" s="415"/>
    </row>
    <row r="156" spans="2:9" ht="13.95" customHeight="1">
      <c r="D156" s="1235"/>
      <c r="E156" s="1235"/>
      <c r="F156" s="1235"/>
      <c r="I156" s="415"/>
    </row>
    <row r="157" spans="2:9" ht="13.95" customHeight="1">
      <c r="D157" s="1235"/>
      <c r="E157" s="1235"/>
      <c r="F157" s="1235"/>
      <c r="I157" s="415"/>
    </row>
    <row r="158" spans="2:9" ht="13.95" customHeight="1">
      <c r="D158" s="1235"/>
      <c r="E158" s="1235"/>
      <c r="F158" s="1235"/>
      <c r="I158" s="415"/>
    </row>
    <row r="159" spans="2:9" ht="13.95" customHeight="1">
      <c r="D159" s="1235"/>
      <c r="E159" s="1235"/>
      <c r="F159" s="1235"/>
      <c r="I159" s="415"/>
    </row>
    <row r="160" spans="2:9" ht="13.95" customHeight="1">
      <c r="D160" s="1235"/>
      <c r="E160" s="1235"/>
      <c r="F160" s="1235"/>
      <c r="I160" s="415"/>
    </row>
    <row r="161" spans="1:9" ht="13.95" customHeight="1">
      <c r="D161" s="1235"/>
      <c r="E161" s="1235"/>
      <c r="F161" s="1235"/>
      <c r="I161" s="415"/>
    </row>
    <row r="162" spans="1:9" ht="13.95" customHeight="1">
      <c r="D162" s="1235"/>
      <c r="E162" s="1235"/>
      <c r="F162" s="1235"/>
      <c r="I162" s="415"/>
    </row>
    <row r="163" spans="1:9" ht="13.95" customHeight="1">
      <c r="D163" s="1235"/>
      <c r="E163" s="1235"/>
      <c r="F163" s="1235"/>
      <c r="I163" s="415"/>
    </row>
    <row r="164" spans="1:9" ht="13.95" customHeight="1">
      <c r="D164" s="1235"/>
      <c r="E164" s="1235"/>
      <c r="F164" s="1235"/>
      <c r="I164" s="415"/>
    </row>
    <row r="165" spans="1:9" ht="13.95" customHeight="1">
      <c r="D165" s="1235"/>
      <c r="E165" s="1235"/>
      <c r="F165" s="1235"/>
      <c r="I165" s="415"/>
    </row>
    <row r="166" spans="1:9" ht="13.95" customHeight="1">
      <c r="D166" s="1235"/>
      <c r="E166" s="1235"/>
      <c r="F166" s="1235"/>
      <c r="I166" s="415"/>
    </row>
    <row r="167" spans="1:9" ht="13.95" customHeight="1">
      <c r="D167" s="1235"/>
      <c r="E167" s="1235"/>
      <c r="F167" s="1235"/>
      <c r="I167" s="415"/>
    </row>
    <row r="168" spans="1:9" ht="13.95" customHeight="1">
      <c r="D168" s="1235"/>
      <c r="E168" s="1235"/>
      <c r="F168" s="1235"/>
      <c r="I168" s="415"/>
    </row>
    <row r="169" spans="1:9" ht="13.95" customHeight="1">
      <c r="D169" s="1291" t="s">
        <v>554</v>
      </c>
      <c r="E169" s="1291"/>
      <c r="F169" s="1291"/>
      <c r="G169" s="432"/>
      <c r="I169" s="415"/>
    </row>
    <row r="170" spans="1:9" ht="13.95" customHeight="1">
      <c r="D170" s="1266"/>
      <c r="E170" s="1266"/>
      <c r="F170" s="1266"/>
      <c r="G170" s="1266"/>
      <c r="I170" s="415"/>
    </row>
    <row r="171" spans="1:9" ht="14.7" customHeight="1">
      <c r="A171" s="414"/>
      <c r="B171" s="410" t="s">
        <v>528</v>
      </c>
      <c r="C171" s="401"/>
      <c r="D171" s="1223" t="s">
        <v>555</v>
      </c>
      <c r="E171" s="1223"/>
      <c r="F171" s="1223"/>
      <c r="G171" s="401"/>
      <c r="I171" s="415" t="s">
        <v>542</v>
      </c>
    </row>
    <row r="172" spans="1:9" ht="14.7" customHeight="1">
      <c r="A172" s="414"/>
      <c r="B172" s="414"/>
      <c r="C172" s="401"/>
      <c r="D172" s="1223"/>
      <c r="E172" s="1223"/>
      <c r="F172" s="1223"/>
      <c r="G172" s="401"/>
      <c r="I172" s="415"/>
    </row>
    <row r="173" spans="1:9" ht="14.7" customHeight="1">
      <c r="A173" s="414"/>
      <c r="B173" s="414"/>
      <c r="C173" s="401"/>
      <c r="D173" s="1223"/>
      <c r="E173" s="1223"/>
      <c r="F173" s="1223"/>
      <c r="G173" s="401"/>
      <c r="I173" s="415"/>
    </row>
    <row r="174" spans="1:9" ht="14.7" customHeight="1">
      <c r="A174" s="414"/>
      <c r="B174" s="414"/>
      <c r="C174" s="401"/>
      <c r="D174" s="1223"/>
      <c r="E174" s="1223"/>
      <c r="F174" s="1223"/>
      <c r="G174" s="401"/>
      <c r="I174" s="415"/>
    </row>
    <row r="175" spans="1:9" ht="13.95" customHeight="1">
      <c r="A175" s="414"/>
      <c r="B175" s="414"/>
      <c r="C175" s="401"/>
      <c r="D175" s="1223"/>
      <c r="E175" s="1223"/>
      <c r="F175" s="1223"/>
      <c r="G175" s="401"/>
      <c r="I175" s="415"/>
    </row>
    <row r="176" spans="1:9" ht="13.95" customHeight="1">
      <c r="A176" s="414"/>
      <c r="B176" s="414"/>
      <c r="C176" s="401"/>
      <c r="D176" s="401"/>
      <c r="E176" s="401"/>
      <c r="F176" s="401"/>
      <c r="G176" s="401"/>
      <c r="I176" s="415"/>
    </row>
    <row r="177" spans="1:9" ht="13.95" customHeight="1">
      <c r="A177" s="414"/>
      <c r="B177" s="410" t="s">
        <v>2796</v>
      </c>
      <c r="C177" s="401"/>
      <c r="D177" s="1223" t="s">
        <v>331</v>
      </c>
      <c r="E177" s="1223"/>
      <c r="F177" s="1223"/>
      <c r="G177" s="401"/>
      <c r="I177" s="415" t="s">
        <v>556</v>
      </c>
    </row>
    <row r="178" spans="1:9" ht="13.95" customHeight="1">
      <c r="A178" s="414"/>
      <c r="B178" s="414"/>
      <c r="C178" s="401"/>
      <c r="D178" s="1223"/>
      <c r="E178" s="1223"/>
      <c r="F178" s="1223"/>
      <c r="G178" s="401"/>
      <c r="I178" s="415"/>
    </row>
    <row r="179" spans="1:9" ht="13.95" customHeight="1">
      <c r="A179" s="414"/>
      <c r="B179" s="414"/>
      <c r="C179" s="401"/>
      <c r="D179" s="1223"/>
      <c r="E179" s="1223"/>
      <c r="F179" s="1223"/>
      <c r="G179" s="401"/>
      <c r="I179" s="415"/>
    </row>
    <row r="180" spans="1:9" ht="13.95" customHeight="1">
      <c r="A180" s="414"/>
      <c r="B180" s="414"/>
      <c r="C180" s="401"/>
      <c r="D180" s="1223"/>
      <c r="E180" s="1223"/>
      <c r="F180" s="1223"/>
      <c r="G180" s="401"/>
      <c r="I180" s="415"/>
    </row>
    <row r="181" spans="1:9" ht="13.95" customHeight="1">
      <c r="D181" s="372"/>
      <c r="E181" s="372"/>
      <c r="F181" s="372"/>
      <c r="I181" s="415"/>
    </row>
    <row r="182" spans="1:9" ht="13.95" customHeight="1">
      <c r="B182" s="410" t="s">
        <v>2796</v>
      </c>
      <c r="D182" s="1255" t="s">
        <v>557</v>
      </c>
      <c r="E182" s="1255"/>
      <c r="F182" s="1255"/>
      <c r="I182" s="415" t="s">
        <v>558</v>
      </c>
    </row>
    <row r="183" spans="1:9" ht="13.95" customHeight="1">
      <c r="D183" s="1255"/>
      <c r="E183" s="1255"/>
      <c r="F183" s="1255"/>
      <c r="I183" s="415"/>
    </row>
    <row r="184" spans="1:9" ht="13.95" customHeight="1">
      <c r="D184" s="1255"/>
      <c r="E184" s="1255"/>
      <c r="F184" s="1255"/>
      <c r="I184" s="415"/>
    </row>
    <row r="185" spans="1:9" ht="13.95" customHeight="1">
      <c r="A185" s="415"/>
      <c r="B185" s="415"/>
      <c r="E185" s="372"/>
      <c r="F185" s="372"/>
      <c r="I185" s="415"/>
    </row>
    <row r="186" spans="1:9">
      <c r="A186" s="1241" t="s">
        <v>559</v>
      </c>
      <c r="B186" s="1241"/>
      <c r="C186" s="1241"/>
      <c r="D186" s="1241"/>
      <c r="E186" s="1241"/>
      <c r="F186" s="1241"/>
      <c r="G186" s="1241"/>
      <c r="H186" s="944"/>
      <c r="I186" s="1135"/>
    </row>
    <row r="187" spans="1:9" ht="12" customHeight="1">
      <c r="D187" s="372"/>
      <c r="E187" s="372"/>
      <c r="F187" s="372"/>
      <c r="I187" s="415"/>
    </row>
    <row r="188" spans="1:9">
      <c r="B188" s="1248" t="s">
        <v>334</v>
      </c>
      <c r="C188" s="1248"/>
      <c r="D188" s="1248"/>
      <c r="E188" s="1248"/>
      <c r="F188" s="1248"/>
      <c r="I188" s="415"/>
    </row>
    <row r="189" spans="1:9">
      <c r="B189" s="316" t="s">
        <v>560</v>
      </c>
      <c r="C189" s="316"/>
      <c r="D189" s="316"/>
      <c r="E189" s="316"/>
      <c r="F189" s="316"/>
      <c r="I189" s="415"/>
    </row>
    <row r="190" spans="1:9" ht="12" customHeight="1">
      <c r="A190" s="407"/>
      <c r="B190" s="407"/>
      <c r="C190" s="407"/>
      <c r="I190" s="415"/>
    </row>
    <row r="191" spans="1:9">
      <c r="A191" s="1241" t="s">
        <v>335</v>
      </c>
      <c r="B191" s="1241"/>
      <c r="C191" s="1241"/>
      <c r="D191" s="1241"/>
      <c r="E191" s="1241"/>
      <c r="F191" s="1241"/>
      <c r="G191" s="1241"/>
      <c r="H191" s="944"/>
      <c r="I191" s="1135"/>
    </row>
    <row r="192" spans="1:9" ht="12" customHeight="1">
      <c r="A192" s="328"/>
      <c r="B192" s="328"/>
      <c r="E192" s="328"/>
      <c r="I192" s="415"/>
    </row>
    <row r="193" spans="1:9" ht="13.95" customHeight="1">
      <c r="A193" s="328"/>
      <c r="B193" s="328"/>
      <c r="D193" s="1261" t="s">
        <v>561</v>
      </c>
      <c r="E193" s="1261"/>
      <c r="F193" s="1261"/>
      <c r="I193" s="415"/>
    </row>
    <row r="194" spans="1:9">
      <c r="A194" s="328"/>
      <c r="B194" s="328"/>
      <c r="D194" s="1261"/>
      <c r="E194" s="1261"/>
      <c r="F194" s="1261"/>
      <c r="I194" s="415"/>
    </row>
    <row r="195" spans="1:9">
      <c r="A195" s="328"/>
      <c r="B195" s="328"/>
      <c r="D195" s="1248" t="s">
        <v>562</v>
      </c>
      <c r="E195" s="1248"/>
      <c r="F195" s="1248"/>
      <c r="I195" s="415"/>
    </row>
    <row r="196" spans="1:9">
      <c r="A196" s="328"/>
      <c r="B196" s="328"/>
      <c r="D196" s="316"/>
      <c r="E196" s="316"/>
      <c r="F196" s="316"/>
      <c r="I196" s="415"/>
    </row>
    <row r="197" spans="1:9">
      <c r="A197" s="328"/>
      <c r="B197" s="410" t="s">
        <v>528</v>
      </c>
      <c r="D197" s="1240" t="s">
        <v>563</v>
      </c>
      <c r="E197" s="1240"/>
      <c r="F197" s="1240"/>
      <c r="I197" s="415" t="s">
        <v>564</v>
      </c>
    </row>
    <row r="198" spans="1:9">
      <c r="A198" s="328"/>
      <c r="B198" s="328"/>
      <c r="D198" s="1238" t="s">
        <v>565</v>
      </c>
      <c r="E198" s="1238"/>
      <c r="F198" s="1238"/>
      <c r="I198" s="415"/>
    </row>
    <row r="199" spans="1:9">
      <c r="A199" s="328"/>
      <c r="B199" s="328"/>
      <c r="D199" s="72" t="s">
        <v>566</v>
      </c>
      <c r="E199" s="1290" t="s">
        <v>567</v>
      </c>
      <c r="F199" s="1290"/>
      <c r="I199" s="415"/>
    </row>
    <row r="200" spans="1:9">
      <c r="A200" s="328"/>
      <c r="B200" s="328"/>
      <c r="D200" s="3"/>
      <c r="E200" s="3"/>
      <c r="F200" s="3"/>
      <c r="I200" s="415"/>
    </row>
    <row r="201" spans="1:9">
      <c r="A201" s="328"/>
      <c r="B201" s="410" t="s">
        <v>528</v>
      </c>
      <c r="D201" s="1238" t="s">
        <v>568</v>
      </c>
      <c r="E201" s="1238"/>
      <c r="F201" s="1238"/>
      <c r="I201" s="415" t="s">
        <v>569</v>
      </c>
    </row>
    <row r="202" spans="1:9">
      <c r="A202" s="328"/>
      <c r="B202" s="328"/>
      <c r="D202" s="1240" t="s">
        <v>565</v>
      </c>
      <c r="E202" s="1240"/>
      <c r="F202" s="1240"/>
      <c r="I202" s="415"/>
    </row>
    <row r="203" spans="1:9">
      <c r="A203" s="328"/>
      <c r="B203" s="328"/>
      <c r="D203" s="50" t="s">
        <v>570</v>
      </c>
      <c r="E203" s="1290" t="s">
        <v>571</v>
      </c>
      <c r="F203" s="1290"/>
      <c r="I203" s="415"/>
    </row>
    <row r="204" spans="1:9">
      <c r="A204" s="328"/>
      <c r="B204" s="328"/>
      <c r="D204" s="3"/>
      <c r="E204" s="3"/>
      <c r="F204" s="3"/>
      <c r="I204" s="415"/>
    </row>
    <row r="205" spans="1:9">
      <c r="A205" s="328"/>
      <c r="B205" s="410" t="s">
        <v>2796</v>
      </c>
      <c r="D205" s="1238" t="s">
        <v>572</v>
      </c>
      <c r="E205" s="1238"/>
      <c r="F205" s="1238"/>
      <c r="I205" s="415" t="s">
        <v>573</v>
      </c>
    </row>
    <row r="206" spans="1:9">
      <c r="A206" s="328"/>
      <c r="B206" s="328"/>
      <c r="D206" s="1240" t="s">
        <v>565</v>
      </c>
      <c r="E206" s="1240"/>
      <c r="F206" s="1240"/>
      <c r="I206" s="415"/>
    </row>
    <row r="207" spans="1:9">
      <c r="A207" s="328"/>
      <c r="B207" s="328"/>
      <c r="D207" s="50" t="s">
        <v>566</v>
      </c>
      <c r="E207" s="1290" t="s">
        <v>574</v>
      </c>
      <c r="F207" s="1290"/>
      <c r="I207" s="415"/>
    </row>
    <row r="208" spans="1:9">
      <c r="A208" s="328"/>
      <c r="B208" s="328"/>
      <c r="D208" s="316"/>
      <c r="E208" s="316"/>
      <c r="F208" s="316"/>
      <c r="I208" s="415"/>
    </row>
    <row r="209" spans="1:9" ht="14.25" customHeight="1">
      <c r="A209" s="409"/>
      <c r="B209" s="410" t="s">
        <v>528</v>
      </c>
      <c r="D209" s="310" t="s">
        <v>575</v>
      </c>
      <c r="E209" s="309"/>
      <c r="F209" s="309"/>
      <c r="I209" s="415" t="s">
        <v>576</v>
      </c>
    </row>
    <row r="210" spans="1:9" ht="14.4">
      <c r="A210" s="409"/>
      <c r="B210" s="409"/>
      <c r="D210" s="1240" t="s">
        <v>565</v>
      </c>
      <c r="E210" s="1240"/>
      <c r="F210" s="1240"/>
      <c r="I210" s="415"/>
    </row>
    <row r="211" spans="1:9">
      <c r="D211" s="309"/>
      <c r="E211" s="1290" t="s">
        <v>577</v>
      </c>
      <c r="F211" s="1290"/>
      <c r="I211" s="415"/>
    </row>
    <row r="212" spans="1:9">
      <c r="D212" s="373"/>
      <c r="I212" s="415"/>
    </row>
    <row r="213" spans="1:9">
      <c r="B213" s="410" t="s">
        <v>528</v>
      </c>
      <c r="D213" s="1238" t="s">
        <v>578</v>
      </c>
      <c r="E213" s="1238"/>
      <c r="F213" s="1238"/>
      <c r="I213" s="415" t="s">
        <v>579</v>
      </c>
    </row>
    <row r="214" spans="1:9">
      <c r="D214" s="1240" t="s">
        <v>565</v>
      </c>
      <c r="E214" s="1240"/>
      <c r="F214" s="1240"/>
      <c r="I214" s="415"/>
    </row>
    <row r="215" spans="1:9">
      <c r="D215" s="50" t="s">
        <v>566</v>
      </c>
      <c r="E215" s="1290" t="s">
        <v>580</v>
      </c>
      <c r="F215" s="1290"/>
      <c r="I215" s="415"/>
    </row>
    <row r="216" spans="1:9">
      <c r="D216" s="377"/>
      <c r="E216" s="377"/>
      <c r="F216" s="377"/>
      <c r="I216" s="415"/>
    </row>
    <row r="217" spans="1:9" ht="14.4">
      <c r="A217" s="409"/>
      <c r="B217" s="410" t="s">
        <v>528</v>
      </c>
      <c r="D217" s="1235" t="s">
        <v>581</v>
      </c>
      <c r="E217" s="1235"/>
      <c r="F217" s="1235"/>
      <c r="I217" s="415"/>
    </row>
    <row r="218" spans="1:9" ht="14.7" customHeight="1">
      <c r="A218" s="409"/>
      <c r="B218" s="326"/>
      <c r="D218" s="1235"/>
      <c r="E218" s="1235"/>
      <c r="F218" s="1235"/>
      <c r="I218" s="415"/>
    </row>
    <row r="219" spans="1:9" ht="14.4">
      <c r="A219" s="409"/>
      <c r="D219" s="1235"/>
      <c r="E219" s="1235"/>
      <c r="F219" s="1235"/>
      <c r="I219" s="415"/>
    </row>
    <row r="220" spans="1:9" ht="14.4">
      <c r="A220" s="409"/>
      <c r="D220" s="1235"/>
      <c r="E220" s="1235"/>
      <c r="F220" s="1235"/>
      <c r="I220" s="415"/>
    </row>
    <row r="221" spans="1:9">
      <c r="D221" s="377"/>
      <c r="E221" s="377"/>
      <c r="F221" s="377"/>
      <c r="I221" s="415"/>
    </row>
    <row r="222" spans="1:9">
      <c r="A222" s="1241" t="s">
        <v>341</v>
      </c>
      <c r="B222" s="1241"/>
      <c r="C222" s="1241"/>
      <c r="D222" s="1241"/>
      <c r="E222" s="1241"/>
      <c r="F222" s="1241"/>
      <c r="G222" s="1241"/>
      <c r="H222" s="944"/>
      <c r="I222" s="1135"/>
    </row>
    <row r="223" spans="1:9" ht="12" customHeight="1">
      <c r="D223" s="372"/>
      <c r="E223" s="372"/>
      <c r="F223" s="372"/>
      <c r="I223" s="415"/>
    </row>
    <row r="224" spans="1:9">
      <c r="C224" s="411"/>
      <c r="D224" s="1233" t="s">
        <v>342</v>
      </c>
      <c r="E224" s="1233"/>
      <c r="F224" s="1233"/>
      <c r="I224" s="415"/>
    </row>
    <row r="225" spans="1:9">
      <c r="A225" s="407"/>
      <c r="B225" s="407"/>
      <c r="C225" s="407"/>
      <c r="D225" s="1262" t="s">
        <v>343</v>
      </c>
      <c r="E225" s="1262"/>
      <c r="F225" s="1262"/>
      <c r="I225" s="415"/>
    </row>
    <row r="226" spans="1:9" ht="12" customHeight="1">
      <c r="A226" s="415"/>
      <c r="B226" s="415"/>
      <c r="C226" s="415"/>
      <c r="I226" s="415"/>
    </row>
    <row r="227" spans="1:9" ht="13.95" customHeight="1">
      <c r="A227" s="415"/>
      <c r="C227" s="415"/>
      <c r="D227" s="1233" t="s">
        <v>344</v>
      </c>
      <c r="E227" s="1233"/>
      <c r="F227" s="1233"/>
      <c r="I227" s="415" t="s">
        <v>582</v>
      </c>
    </row>
    <row r="228" spans="1:9" ht="14.4">
      <c r="A228" s="409"/>
      <c r="B228" s="410" t="s">
        <v>2796</v>
      </c>
      <c r="D228" s="1235" t="s">
        <v>583</v>
      </c>
      <c r="E228" s="1235"/>
      <c r="F228" s="1235"/>
      <c r="I228" s="415"/>
    </row>
    <row r="229" spans="1:9" ht="14.25" customHeight="1">
      <c r="A229" s="409"/>
      <c r="B229" s="409"/>
      <c r="D229" s="1235"/>
      <c r="E229" s="1235"/>
      <c r="F229" s="1235"/>
      <c r="I229" s="415"/>
    </row>
    <row r="230" spans="1:9" ht="14.25" customHeight="1">
      <c r="A230" s="409"/>
      <c r="B230" s="409"/>
      <c r="D230" s="1235"/>
      <c r="E230" s="1235"/>
      <c r="F230" s="1235"/>
      <c r="I230" s="415"/>
    </row>
    <row r="231" spans="1:9" ht="14.4">
      <c r="A231" s="409"/>
      <c r="B231" s="409"/>
      <c r="D231" s="1235"/>
      <c r="E231" s="1235"/>
      <c r="F231" s="1235"/>
      <c r="I231" s="415"/>
    </row>
    <row r="232" spans="1:9" ht="14.4">
      <c r="A232" s="409"/>
      <c r="B232" s="409"/>
      <c r="D232" s="371"/>
      <c r="E232" s="371"/>
      <c r="F232" s="371"/>
      <c r="I232" s="415"/>
    </row>
    <row r="233" spans="1:9" ht="14.4">
      <c r="A233" s="409"/>
      <c r="B233" s="410" t="s">
        <v>2796</v>
      </c>
      <c r="D233" s="1235" t="s">
        <v>584</v>
      </c>
      <c r="E233" s="1235"/>
      <c r="F233" s="1235"/>
      <c r="I233" s="415" t="s">
        <v>585</v>
      </c>
    </row>
    <row r="234" spans="1:9" ht="14.4">
      <c r="A234" s="409"/>
      <c r="B234" s="409"/>
      <c r="D234" s="1235"/>
      <c r="E234" s="1235"/>
      <c r="F234" s="1235"/>
      <c r="I234" s="415"/>
    </row>
    <row r="235" spans="1:9" ht="14.4">
      <c r="A235" s="409"/>
      <c r="B235" s="409"/>
      <c r="D235" s="1235"/>
      <c r="E235" s="1235"/>
      <c r="F235" s="1235"/>
      <c r="I235" s="415"/>
    </row>
    <row r="236" spans="1:9" ht="14.4">
      <c r="A236" s="409"/>
      <c r="B236" s="409"/>
      <c r="D236" s="1235"/>
      <c r="E236" s="1235"/>
      <c r="F236" s="1235"/>
      <c r="I236" s="415"/>
    </row>
    <row r="237" spans="1:9" ht="14.25" customHeight="1">
      <c r="A237" s="409"/>
      <c r="B237" s="409"/>
      <c r="D237" s="1235"/>
      <c r="E237" s="1235"/>
      <c r="F237" s="1235"/>
      <c r="I237" s="415"/>
    </row>
    <row r="238" spans="1:9" ht="14.25" customHeight="1">
      <c r="A238" s="409"/>
      <c r="B238" s="409"/>
      <c r="D238" s="371"/>
      <c r="E238" s="371"/>
      <c r="F238" s="371"/>
      <c r="I238" s="415"/>
    </row>
    <row r="239" spans="1:9" ht="14.4">
      <c r="A239" s="409"/>
      <c r="B239" s="409"/>
      <c r="D239" s="1235" t="s">
        <v>347</v>
      </c>
      <c r="E239" s="1235"/>
      <c r="F239" s="1235"/>
      <c r="I239" s="415" t="s">
        <v>582</v>
      </c>
    </row>
    <row r="240" spans="1:9" ht="14.4">
      <c r="A240" s="409"/>
      <c r="B240" s="409"/>
      <c r="D240" s="1235"/>
      <c r="E240" s="1235"/>
      <c r="F240" s="1235"/>
      <c r="I240" s="415"/>
    </row>
    <row r="241" spans="1:9" ht="14.4">
      <c r="A241" s="409"/>
      <c r="B241" s="409"/>
      <c r="D241" s="1235"/>
      <c r="E241" s="1235"/>
      <c r="F241" s="1235"/>
      <c r="I241" s="415"/>
    </row>
    <row r="242" spans="1:9" ht="14.4">
      <c r="A242" s="409"/>
      <c r="B242" s="409"/>
      <c r="D242" s="1235"/>
      <c r="E242" s="1235"/>
      <c r="F242" s="1235"/>
      <c r="I242" s="415"/>
    </row>
    <row r="243" spans="1:9" ht="14.4">
      <c r="A243" s="409"/>
      <c r="B243" s="409"/>
      <c r="D243" s="1235"/>
      <c r="E243" s="1235"/>
      <c r="F243" s="1235"/>
      <c r="I243" s="415"/>
    </row>
    <row r="244" spans="1:9" ht="14.4">
      <c r="A244" s="409"/>
      <c r="B244" s="409"/>
      <c r="D244" s="372"/>
      <c r="E244" s="372"/>
      <c r="F244" s="372"/>
      <c r="I244" s="415"/>
    </row>
    <row r="245" spans="1:9" ht="14.4">
      <c r="A245" s="409"/>
      <c r="B245" s="410" t="s">
        <v>528</v>
      </c>
      <c r="D245" s="1235" t="s">
        <v>586</v>
      </c>
      <c r="E245" s="1235"/>
      <c r="F245" s="1235"/>
      <c r="I245" s="415" t="s">
        <v>587</v>
      </c>
    </row>
    <row r="246" spans="1:9" ht="14.4">
      <c r="A246" s="409"/>
      <c r="B246" s="409"/>
      <c r="D246" s="1235"/>
      <c r="E246" s="1235"/>
      <c r="F246" s="1235"/>
      <c r="I246" s="415"/>
    </row>
    <row r="247" spans="1:9" ht="14.4">
      <c r="A247" s="409"/>
      <c r="B247" s="409"/>
      <c r="D247" s="1235"/>
      <c r="E247" s="1235"/>
      <c r="F247" s="1235"/>
      <c r="I247" s="415"/>
    </row>
    <row r="248" spans="1:9" ht="14.4">
      <c r="A248" s="409"/>
      <c r="B248" s="409"/>
      <c r="E248" s="952" t="s">
        <v>588</v>
      </c>
      <c r="I248" s="415"/>
    </row>
    <row r="249" spans="1:9" ht="14.4">
      <c r="A249" s="409"/>
      <c r="B249" s="409"/>
      <c r="D249" s="372"/>
      <c r="E249" s="372"/>
      <c r="F249" s="372"/>
      <c r="I249" s="415"/>
    </row>
    <row r="250" spans="1:9" ht="14.7" customHeight="1">
      <c r="A250" s="409"/>
      <c r="B250" s="410" t="s">
        <v>528</v>
      </c>
      <c r="D250" s="1235" t="s">
        <v>589</v>
      </c>
      <c r="E250" s="1235"/>
      <c r="F250" s="1235"/>
      <c r="I250" s="415" t="s">
        <v>590</v>
      </c>
    </row>
    <row r="251" spans="1:9" ht="14.4">
      <c r="A251" s="409"/>
      <c r="B251" s="409"/>
      <c r="D251" s="1235"/>
      <c r="E251" s="1235"/>
      <c r="F251" s="1235"/>
      <c r="I251" s="415"/>
    </row>
    <row r="252" spans="1:9" ht="14.4">
      <c r="A252" s="409"/>
      <c r="B252" s="409"/>
      <c r="D252" s="1235"/>
      <c r="E252" s="1235"/>
      <c r="F252" s="1235"/>
      <c r="I252" s="415"/>
    </row>
    <row r="253" spans="1:9" ht="14.4">
      <c r="A253" s="409"/>
      <c r="B253" s="409"/>
      <c r="D253" s="1235"/>
      <c r="E253" s="1235"/>
      <c r="F253" s="1235"/>
      <c r="I253" s="415"/>
    </row>
    <row r="254" spans="1:9" ht="14.4">
      <c r="A254" s="409"/>
      <c r="B254" s="409"/>
      <c r="D254" s="1235"/>
      <c r="E254" s="1235"/>
      <c r="F254" s="1235"/>
      <c r="I254" s="415"/>
    </row>
    <row r="255" spans="1:9" ht="14.4">
      <c r="A255" s="409"/>
      <c r="B255" s="409"/>
      <c r="D255" s="371"/>
      <c r="E255" s="371"/>
      <c r="F255" s="371"/>
      <c r="I255" s="415"/>
    </row>
    <row r="256" spans="1:9" ht="14.4">
      <c r="A256" s="409"/>
      <c r="B256" s="410" t="s">
        <v>528</v>
      </c>
      <c r="D256" s="316" t="s">
        <v>591</v>
      </c>
      <c r="E256" s="371"/>
      <c r="F256" s="371"/>
      <c r="I256" s="415" t="s">
        <v>592</v>
      </c>
    </row>
    <row r="257" spans="1:9" ht="14.4">
      <c r="A257" s="409"/>
      <c r="B257" s="409"/>
      <c r="E257" s="952" t="s">
        <v>593</v>
      </c>
      <c r="I257" s="415"/>
    </row>
    <row r="258" spans="1:9">
      <c r="D258" s="372"/>
      <c r="E258" s="372"/>
      <c r="F258" s="372"/>
      <c r="I258" s="415"/>
    </row>
    <row r="259" spans="1:9" ht="14.4">
      <c r="A259" s="409"/>
      <c r="B259" s="410" t="s">
        <v>2796</v>
      </c>
      <c r="D259" s="1235" t="s">
        <v>351</v>
      </c>
      <c r="E259" s="1235"/>
      <c r="F259" s="1235"/>
      <c r="I259" s="415"/>
    </row>
    <row r="260" spans="1:9" ht="14.4">
      <c r="A260" s="409"/>
      <c r="B260" s="409"/>
      <c r="D260" s="1235"/>
      <c r="E260" s="1235"/>
      <c r="F260" s="1235"/>
      <c r="I260" s="415"/>
    </row>
    <row r="261" spans="1:9">
      <c r="D261" s="416"/>
      <c r="I261" s="415"/>
    </row>
    <row r="262" spans="1:9">
      <c r="A262" s="1241" t="s">
        <v>352</v>
      </c>
      <c r="B262" s="1241"/>
      <c r="C262" s="1241"/>
      <c r="D262" s="1241"/>
      <c r="E262" s="1241"/>
      <c r="F262" s="1241"/>
      <c r="G262" s="1241"/>
      <c r="H262" s="944"/>
      <c r="I262" s="1135"/>
    </row>
    <row r="263" spans="1:9">
      <c r="D263" s="416"/>
      <c r="I263" s="415"/>
    </row>
    <row r="264" spans="1:9">
      <c r="C264" s="411"/>
      <c r="D264" s="1233" t="s">
        <v>353</v>
      </c>
      <c r="E264" s="1233"/>
      <c r="F264" s="1233"/>
      <c r="I264" s="415"/>
    </row>
    <row r="265" spans="1:9">
      <c r="A265" s="407"/>
      <c r="B265" s="407"/>
      <c r="C265" s="407"/>
      <c r="D265" s="372"/>
      <c r="E265" s="372"/>
      <c r="F265" s="372"/>
      <c r="I265" s="415"/>
    </row>
    <row r="266" spans="1:9">
      <c r="A266" s="408"/>
      <c r="B266" s="408"/>
      <c r="C266" s="408"/>
      <c r="D266" s="1233" t="s">
        <v>354</v>
      </c>
      <c r="E266" s="1233"/>
      <c r="F266" s="1233"/>
      <c r="I266" s="415" t="s">
        <v>594</v>
      </c>
    </row>
    <row r="267" spans="1:9" ht="14.7" customHeight="1">
      <c r="A267" s="409"/>
      <c r="B267" s="410" t="s">
        <v>2796</v>
      </c>
      <c r="D267" s="1235" t="s">
        <v>595</v>
      </c>
      <c r="E267" s="1235"/>
      <c r="F267" s="1235"/>
      <c r="I267" s="415"/>
    </row>
    <row r="268" spans="1:9">
      <c r="D268" s="1235"/>
      <c r="E268" s="1235"/>
      <c r="F268" s="1235"/>
      <c r="I268" s="415"/>
    </row>
    <row r="269" spans="1:9">
      <c r="E269" s="952" t="s">
        <v>596</v>
      </c>
      <c r="I269" s="415"/>
    </row>
    <row r="270" spans="1:9">
      <c r="D270" s="372"/>
      <c r="E270" s="372"/>
      <c r="F270" s="372"/>
      <c r="I270" s="415"/>
    </row>
    <row r="271" spans="1:9" ht="14.7" customHeight="1">
      <c r="A271" s="409"/>
      <c r="B271" s="410" t="s">
        <v>528</v>
      </c>
      <c r="D271" s="1235" t="s">
        <v>597</v>
      </c>
      <c r="E271" s="1235"/>
      <c r="F271" s="1235"/>
      <c r="I271" s="415" t="s">
        <v>598</v>
      </c>
    </row>
    <row r="272" spans="1:9">
      <c r="D272" s="1235"/>
      <c r="E272" s="1235"/>
      <c r="F272" s="1235"/>
      <c r="I272" s="415"/>
    </row>
    <row r="273" spans="1:9">
      <c r="D273" s="1235"/>
      <c r="E273" s="1235"/>
      <c r="F273" s="1235"/>
      <c r="I273" s="415"/>
    </row>
    <row r="274" spans="1:9">
      <c r="D274" s="1235"/>
      <c r="E274" s="1235"/>
      <c r="F274" s="1235"/>
      <c r="I274" s="415"/>
    </row>
    <row r="275" spans="1:9">
      <c r="D275" s="1235"/>
      <c r="E275" s="1235"/>
      <c r="F275" s="1235"/>
      <c r="I275" s="415"/>
    </row>
    <row r="276" spans="1:9">
      <c r="D276" s="1235"/>
      <c r="E276" s="1235"/>
      <c r="F276" s="1235"/>
      <c r="I276" s="415"/>
    </row>
    <row r="277" spans="1:9">
      <c r="D277" s="372"/>
      <c r="E277" s="372"/>
      <c r="F277" s="372"/>
      <c r="I277" s="415"/>
    </row>
    <row r="278" spans="1:9" ht="14.4">
      <c r="A278" s="409"/>
      <c r="B278" s="410" t="s">
        <v>528</v>
      </c>
      <c r="D278" s="1235" t="s">
        <v>359</v>
      </c>
      <c r="E278" s="1235"/>
      <c r="F278" s="1235"/>
      <c r="I278" s="415"/>
    </row>
    <row r="279" spans="1:9">
      <c r="D279" s="1235"/>
      <c r="E279" s="1235"/>
      <c r="F279" s="1235"/>
      <c r="I279" s="415"/>
    </row>
    <row r="280" spans="1:9">
      <c r="D280" s="1235"/>
      <c r="E280" s="1235"/>
      <c r="F280" s="1235"/>
      <c r="I280" s="415"/>
    </row>
    <row r="281" spans="1:9">
      <c r="D281" s="417"/>
      <c r="E281" s="372"/>
      <c r="F281" s="372"/>
      <c r="I281" s="415"/>
    </row>
    <row r="282" spans="1:9">
      <c r="A282" s="1241" t="s">
        <v>360</v>
      </c>
      <c r="B282" s="1241"/>
      <c r="C282" s="1241"/>
      <c r="D282" s="1241"/>
      <c r="E282" s="1241"/>
      <c r="F282" s="1241"/>
      <c r="G282" s="1241"/>
      <c r="H282" s="944"/>
      <c r="I282" s="1135"/>
    </row>
    <row r="283" spans="1:9">
      <c r="D283" s="417"/>
      <c r="E283" s="372"/>
      <c r="F283" s="372"/>
      <c r="I283" s="415"/>
    </row>
    <row r="284" spans="1:9">
      <c r="C284" s="407"/>
      <c r="D284" s="1261" t="s">
        <v>361</v>
      </c>
      <c r="E284" s="1261"/>
      <c r="F284" s="1261"/>
      <c r="I284" s="415"/>
    </row>
    <row r="285" spans="1:9">
      <c r="C285" s="407"/>
      <c r="D285" s="1261"/>
      <c r="E285" s="1261"/>
      <c r="F285" s="1261"/>
      <c r="I285" s="415"/>
    </row>
    <row r="286" spans="1:9">
      <c r="A286" s="408"/>
      <c r="B286" s="408"/>
      <c r="C286" s="408"/>
      <c r="D286" s="328"/>
      <c r="I286" s="415"/>
    </row>
    <row r="287" spans="1:9">
      <c r="C287" s="408"/>
      <c r="D287" s="1233" t="s">
        <v>362</v>
      </c>
      <c r="E287" s="1233"/>
      <c r="F287" s="1233"/>
      <c r="I287" s="415"/>
    </row>
    <row r="288" spans="1:9" ht="15.75" customHeight="1">
      <c r="A288" s="409"/>
      <c r="B288" s="409"/>
      <c r="D288" s="1286" t="s">
        <v>363</v>
      </c>
      <c r="E288" s="1286"/>
      <c r="F288" s="1286"/>
      <c r="I288" s="415"/>
    </row>
    <row r="289" spans="1:9">
      <c r="E289" s="372"/>
      <c r="F289" s="372"/>
      <c r="I289" s="415"/>
    </row>
    <row r="290" spans="1:9" ht="14.4">
      <c r="A290" s="409"/>
      <c r="B290" s="410" t="s">
        <v>528</v>
      </c>
      <c r="D290" s="1235" t="s">
        <v>364</v>
      </c>
      <c r="E290" s="1235"/>
      <c r="F290" s="1235"/>
      <c r="I290" s="415" t="s">
        <v>599</v>
      </c>
    </row>
    <row r="291" spans="1:9" ht="14.4">
      <c r="A291" s="409"/>
      <c r="B291" s="409"/>
      <c r="D291" s="1235"/>
      <c r="E291" s="1235"/>
      <c r="F291" s="1235"/>
      <c r="I291" s="415"/>
    </row>
    <row r="292" spans="1:9">
      <c r="D292" s="372"/>
      <c r="E292" s="372"/>
      <c r="F292" s="372"/>
      <c r="I292" s="415"/>
    </row>
    <row r="293" spans="1:9" ht="14.4">
      <c r="A293" s="409"/>
      <c r="B293" s="410" t="s">
        <v>528</v>
      </c>
      <c r="D293" s="1235" t="s">
        <v>365</v>
      </c>
      <c r="E293" s="1235"/>
      <c r="F293" s="1235"/>
      <c r="I293" s="415" t="s">
        <v>599</v>
      </c>
    </row>
    <row r="294" spans="1:9" ht="14.4">
      <c r="A294" s="409"/>
      <c r="B294" s="409"/>
      <c r="D294" s="1235"/>
      <c r="E294" s="1235"/>
      <c r="F294" s="1235"/>
      <c r="I294" s="415"/>
    </row>
    <row r="295" spans="1:9" ht="14.4">
      <c r="A295" s="409"/>
      <c r="B295" s="409"/>
      <c r="D295" s="1235"/>
      <c r="E295" s="1235"/>
      <c r="F295" s="1235"/>
      <c r="I295" s="415"/>
    </row>
    <row r="296" spans="1:9">
      <c r="D296" s="372"/>
      <c r="E296" s="372"/>
      <c r="F296" s="372"/>
      <c r="I296" s="415"/>
    </row>
    <row r="297" spans="1:9" ht="14.4">
      <c r="A297" s="409"/>
      <c r="B297" s="410" t="s">
        <v>528</v>
      </c>
      <c r="D297" s="1235" t="s">
        <v>366</v>
      </c>
      <c r="E297" s="1235"/>
      <c r="F297" s="1235"/>
      <c r="I297" s="415" t="s">
        <v>599</v>
      </c>
    </row>
    <row r="298" spans="1:9" ht="14.4">
      <c r="A298" s="409"/>
      <c r="B298" s="409"/>
      <c r="D298" s="1235"/>
      <c r="E298" s="1235"/>
      <c r="F298" s="1235"/>
      <c r="I298" s="415"/>
    </row>
    <row r="299" spans="1:9">
      <c r="A299" s="415"/>
      <c r="B299" s="415"/>
      <c r="E299" s="372"/>
      <c r="F299" s="372"/>
      <c r="I299" s="415"/>
    </row>
    <row r="300" spans="1:9">
      <c r="A300" s="1241" t="s">
        <v>367</v>
      </c>
      <c r="B300" s="1241"/>
      <c r="C300" s="1241"/>
      <c r="D300" s="1241"/>
      <c r="E300" s="1241"/>
      <c r="F300" s="1241"/>
      <c r="G300" s="1241"/>
      <c r="H300" s="944"/>
      <c r="I300" s="1135"/>
    </row>
    <row r="301" spans="1:9">
      <c r="A301" s="415"/>
      <c r="B301" s="415"/>
      <c r="D301" s="372"/>
      <c r="E301" s="372"/>
      <c r="F301" s="372"/>
      <c r="I301" s="415"/>
    </row>
    <row r="302" spans="1:9">
      <c r="C302" s="415"/>
      <c r="D302" s="1233" t="s">
        <v>368</v>
      </c>
      <c r="E302" s="1233"/>
      <c r="F302" s="1233"/>
      <c r="I302" s="415"/>
    </row>
    <row r="303" spans="1:9">
      <c r="C303" s="415"/>
      <c r="D303" s="1262" t="s">
        <v>369</v>
      </c>
      <c r="E303" s="1262"/>
      <c r="F303" s="1262"/>
      <c r="I303" s="415"/>
    </row>
    <row r="304" spans="1:9">
      <c r="C304" s="415"/>
      <c r="D304" s="418"/>
      <c r="I304" s="415"/>
    </row>
    <row r="305" spans="1:9">
      <c r="B305" s="410" t="s">
        <v>528</v>
      </c>
      <c r="D305" s="1262" t="s">
        <v>370</v>
      </c>
      <c r="E305" s="1262"/>
      <c r="F305" s="1262"/>
      <c r="I305" s="415" t="s">
        <v>600</v>
      </c>
    </row>
    <row r="306" spans="1:9" ht="14.4">
      <c r="A306" s="409"/>
      <c r="B306" s="409"/>
      <c r="D306" s="419"/>
      <c r="E306" s="420"/>
      <c r="F306" s="420"/>
      <c r="I306" s="415"/>
    </row>
    <row r="307" spans="1:9" ht="13.95" customHeight="1">
      <c r="B307" s="410" t="s">
        <v>528</v>
      </c>
      <c r="D307" s="1283" t="s">
        <v>601</v>
      </c>
      <c r="E307" s="1283"/>
      <c r="F307" s="1283"/>
      <c r="I307" s="415" t="s">
        <v>600</v>
      </c>
    </row>
    <row r="308" spans="1:9" ht="14.4">
      <c r="A308" s="409"/>
      <c r="B308" s="409"/>
      <c r="D308" s="1283"/>
      <c r="E308" s="1283"/>
      <c r="F308" s="1283"/>
      <c r="I308" s="415"/>
    </row>
    <row r="309" spans="1:9" ht="14.4">
      <c r="A309" s="409"/>
      <c r="B309" s="409"/>
      <c r="D309" s="1283"/>
      <c r="E309" s="1283"/>
      <c r="F309" s="1283"/>
      <c r="I309" s="415"/>
    </row>
    <row r="310" spans="1:9" ht="14.4">
      <c r="A310" s="409"/>
      <c r="B310" s="409"/>
      <c r="D310" s="1283"/>
      <c r="E310" s="1283"/>
      <c r="F310" s="1283"/>
      <c r="I310" s="415"/>
    </row>
    <row r="311" spans="1:9" ht="14.4">
      <c r="A311" s="409"/>
      <c r="B311" s="409"/>
      <c r="D311" s="1283"/>
      <c r="E311" s="1283"/>
      <c r="F311" s="1283"/>
      <c r="I311" s="415"/>
    </row>
    <row r="312" spans="1:9" ht="14.4">
      <c r="A312" s="409"/>
      <c r="B312" s="409"/>
      <c r="D312" s="419"/>
      <c r="E312" s="420"/>
      <c r="F312" s="420"/>
      <c r="I312" s="415"/>
    </row>
    <row r="313" spans="1:9" ht="13.95" customHeight="1">
      <c r="B313" s="410" t="s">
        <v>528</v>
      </c>
      <c r="D313" s="1283" t="s">
        <v>372</v>
      </c>
      <c r="E313" s="1283"/>
      <c r="F313" s="1283"/>
      <c r="I313" s="415" t="s">
        <v>600</v>
      </c>
    </row>
    <row r="314" spans="1:9">
      <c r="D314" s="1283"/>
      <c r="E314" s="1283"/>
      <c r="F314" s="1283"/>
      <c r="I314" s="415"/>
    </row>
    <row r="315" spans="1:9" ht="14.4">
      <c r="A315" s="409"/>
      <c r="B315" s="409"/>
      <c r="D315" s="419"/>
      <c r="E315" s="420"/>
      <c r="F315" s="420"/>
      <c r="I315" s="415"/>
    </row>
    <row r="316" spans="1:9">
      <c r="B316" s="410" t="s">
        <v>528</v>
      </c>
      <c r="D316" s="1262" t="s">
        <v>373</v>
      </c>
      <c r="E316" s="1262"/>
      <c r="F316" s="1262"/>
      <c r="I316" s="415" t="s">
        <v>530</v>
      </c>
    </row>
    <row r="317" spans="1:9">
      <c r="E317" s="372"/>
      <c r="F317" s="372"/>
      <c r="I317" s="415"/>
    </row>
    <row r="318" spans="1:9" ht="14.4">
      <c r="A318" s="409"/>
      <c r="B318" s="410" t="s">
        <v>528</v>
      </c>
      <c r="D318" s="1235" t="s">
        <v>602</v>
      </c>
      <c r="E318" s="1235"/>
      <c r="F318" s="1235"/>
      <c r="I318" s="415" t="s">
        <v>603</v>
      </c>
    </row>
    <row r="319" spans="1:9" ht="14.4">
      <c r="A319" s="409"/>
      <c r="B319" s="409"/>
      <c r="D319" s="1235"/>
      <c r="E319" s="1235"/>
      <c r="F319" s="1235"/>
      <c r="I319" s="415"/>
    </row>
    <row r="320" spans="1:9" ht="14.4">
      <c r="A320" s="409"/>
      <c r="B320" s="409"/>
      <c r="D320" s="1235"/>
      <c r="E320" s="1235"/>
      <c r="F320" s="1235"/>
      <c r="I320" s="415"/>
    </row>
    <row r="321" spans="1:9" ht="14.4">
      <c r="A321" s="409"/>
      <c r="B321" s="409"/>
      <c r="D321" s="1235"/>
      <c r="E321" s="1235"/>
      <c r="F321" s="1235"/>
      <c r="I321" s="415"/>
    </row>
    <row r="322" spans="1:9" ht="14.4">
      <c r="A322" s="409"/>
      <c r="B322" s="409"/>
      <c r="D322" s="1235"/>
      <c r="E322" s="1235"/>
      <c r="F322" s="1235"/>
      <c r="I322" s="415"/>
    </row>
    <row r="323" spans="1:9" ht="14.4">
      <c r="A323" s="409"/>
      <c r="B323" s="409"/>
      <c r="D323" s="1235"/>
      <c r="E323" s="1235"/>
      <c r="F323" s="1235"/>
      <c r="I323" s="415"/>
    </row>
    <row r="324" spans="1:9" ht="14.4">
      <c r="A324" s="409"/>
      <c r="B324" s="409"/>
      <c r="D324" s="1235"/>
      <c r="E324" s="1235"/>
      <c r="F324" s="1235"/>
      <c r="I324" s="415"/>
    </row>
    <row r="325" spans="1:9" ht="14.4">
      <c r="A325" s="409"/>
      <c r="B325" s="409"/>
      <c r="D325" s="1235"/>
      <c r="E325" s="1235"/>
      <c r="F325" s="1235"/>
      <c r="I325" s="415"/>
    </row>
    <row r="326" spans="1:9" ht="14.4">
      <c r="A326" s="409"/>
      <c r="B326" s="409"/>
      <c r="D326" s="1235"/>
      <c r="E326" s="1235"/>
      <c r="F326" s="1235"/>
      <c r="I326" s="415"/>
    </row>
    <row r="327" spans="1:9" ht="14.4">
      <c r="A327" s="409"/>
      <c r="B327" s="409"/>
      <c r="D327" s="1235"/>
      <c r="E327" s="1235"/>
      <c r="F327" s="1235"/>
      <c r="I327" s="415"/>
    </row>
    <row r="328" spans="1:9" ht="14.4">
      <c r="A328" s="409"/>
      <c r="B328" s="409"/>
      <c r="D328" s="1235"/>
      <c r="E328" s="1235"/>
      <c r="F328" s="1235"/>
      <c r="I328" s="415"/>
    </row>
    <row r="329" spans="1:9" ht="14.4">
      <c r="A329" s="409"/>
      <c r="B329" s="409"/>
      <c r="D329" s="1235"/>
      <c r="E329" s="1235"/>
      <c r="F329" s="1235"/>
      <c r="I329" s="415"/>
    </row>
    <row r="330" spans="1:9" ht="14.4">
      <c r="A330" s="409"/>
      <c r="B330" s="409"/>
      <c r="D330" s="1235"/>
      <c r="E330" s="1235"/>
      <c r="F330" s="1235"/>
      <c r="I330" s="415"/>
    </row>
    <row r="331" spans="1:9" ht="14.4">
      <c r="A331" s="409"/>
      <c r="B331" s="409"/>
      <c r="D331" s="1235"/>
      <c r="E331" s="1235"/>
      <c r="F331" s="1235"/>
      <c r="I331" s="415"/>
    </row>
    <row r="332" spans="1:9" ht="14.4">
      <c r="A332" s="409"/>
      <c r="B332" s="409"/>
      <c r="D332" s="1235"/>
      <c r="E332" s="1235"/>
      <c r="F332" s="1235"/>
      <c r="I332" s="415"/>
    </row>
    <row r="333" spans="1:9">
      <c r="D333" s="372"/>
      <c r="E333" s="372"/>
      <c r="F333" s="372"/>
      <c r="I333" s="415"/>
    </row>
    <row r="334" spans="1:9" ht="14.4">
      <c r="A334" s="409"/>
      <c r="B334" s="410" t="s">
        <v>528</v>
      </c>
      <c r="D334" s="1235" t="s">
        <v>375</v>
      </c>
      <c r="E334" s="1235"/>
      <c r="F334" s="1235"/>
      <c r="I334" s="415" t="s">
        <v>603</v>
      </c>
    </row>
    <row r="335" spans="1:9">
      <c r="D335" s="1235"/>
      <c r="E335" s="1235"/>
      <c r="F335" s="1235"/>
      <c r="I335" s="415"/>
    </row>
    <row r="336" spans="1:9">
      <c r="D336" s="1235"/>
      <c r="E336" s="1235"/>
      <c r="F336" s="1235"/>
      <c r="I336" s="415"/>
    </row>
    <row r="337" spans="1:9">
      <c r="D337" s="1235"/>
      <c r="E337" s="1235"/>
      <c r="F337" s="1235"/>
      <c r="I337" s="415"/>
    </row>
    <row r="338" spans="1:9">
      <c r="D338" s="1235"/>
      <c r="E338" s="1235"/>
      <c r="F338" s="1235"/>
      <c r="I338" s="415"/>
    </row>
    <row r="339" spans="1:9">
      <c r="D339" s="1235"/>
      <c r="E339" s="1235"/>
      <c r="F339" s="1235"/>
      <c r="I339" s="415"/>
    </row>
    <row r="340" spans="1:9">
      <c r="D340" s="1235"/>
      <c r="E340" s="1235"/>
      <c r="F340" s="1235"/>
      <c r="I340" s="415"/>
    </row>
    <row r="341" spans="1:9">
      <c r="D341" s="1235"/>
      <c r="E341" s="1235"/>
      <c r="F341" s="1235"/>
      <c r="I341" s="415"/>
    </row>
    <row r="342" spans="1:9">
      <c r="D342" s="1235"/>
      <c r="E342" s="1235"/>
      <c r="F342" s="1235"/>
      <c r="I342" s="415"/>
    </row>
    <row r="343" spans="1:9">
      <c r="D343" s="372"/>
      <c r="E343" s="372"/>
      <c r="F343" s="372"/>
      <c r="I343" s="415"/>
    </row>
    <row r="344" spans="1:9" ht="14.25" customHeight="1">
      <c r="A344" s="409"/>
      <c r="B344" s="410" t="s">
        <v>528</v>
      </c>
      <c r="D344" s="1235" t="s">
        <v>604</v>
      </c>
      <c r="E344" s="1235"/>
      <c r="F344" s="1235"/>
      <c r="I344" s="415" t="s">
        <v>605</v>
      </c>
    </row>
    <row r="345" spans="1:9">
      <c r="D345" s="1235"/>
      <c r="E345" s="1235"/>
      <c r="F345" s="1235"/>
      <c r="I345" s="415"/>
    </row>
    <row r="346" spans="1:9">
      <c r="D346" s="1235"/>
      <c r="E346" s="1235"/>
      <c r="F346" s="1235"/>
      <c r="I346" s="415"/>
    </row>
    <row r="347" spans="1:9">
      <c r="D347" s="1235"/>
      <c r="E347" s="1235"/>
      <c r="F347" s="1235"/>
      <c r="I347" s="415"/>
    </row>
    <row r="348" spans="1:9">
      <c r="D348" s="310" t="s">
        <v>565</v>
      </c>
      <c r="E348" s="309"/>
      <c r="F348" s="309"/>
      <c r="I348" s="415"/>
    </row>
    <row r="349" spans="1:9">
      <c r="D349" s="309"/>
      <c r="E349" s="72" t="s">
        <v>606</v>
      </c>
      <c r="G349" s="72"/>
      <c r="I349" s="415"/>
    </row>
    <row r="350" spans="1:9">
      <c r="D350" s="371"/>
      <c r="E350" s="371"/>
      <c r="F350" s="371"/>
      <c r="I350" s="415"/>
    </row>
    <row r="351" spans="1:9" ht="13.8" thickBot="1">
      <c r="A351" s="938"/>
      <c r="B351" s="938"/>
      <c r="C351" s="938"/>
      <c r="D351" s="1288" t="s">
        <v>377</v>
      </c>
      <c r="E351" s="1288"/>
      <c r="F351" s="1288"/>
      <c r="G351" s="943"/>
      <c r="H351" s="943"/>
      <c r="I351" s="1138"/>
    </row>
    <row r="352" spans="1:9" ht="13.8" thickTop="1">
      <c r="D352" s="1284" t="s">
        <v>378</v>
      </c>
      <c r="E352" s="1284"/>
      <c r="F352" s="1284"/>
      <c r="I352" s="415"/>
    </row>
    <row r="353" spans="1:9">
      <c r="D353" s="372"/>
      <c r="E353" s="372"/>
      <c r="F353" s="372"/>
      <c r="I353" s="415"/>
    </row>
    <row r="354" spans="1:9">
      <c r="A354" s="401"/>
      <c r="B354" s="401"/>
      <c r="C354" s="401"/>
      <c r="D354" s="373"/>
      <c r="E354" s="373"/>
      <c r="F354" s="372"/>
      <c r="I354" s="415" t="s">
        <v>607</v>
      </c>
    </row>
    <row r="355" spans="1:9" ht="14.4">
      <c r="A355" s="409"/>
      <c r="B355" s="410" t="s">
        <v>528</v>
      </c>
      <c r="C355" s="412"/>
      <c r="D355" s="1262" t="s">
        <v>608</v>
      </c>
      <c r="E355" s="1262"/>
      <c r="F355" s="1262"/>
      <c r="I355" s="1280" t="s">
        <v>609</v>
      </c>
    </row>
    <row r="356" spans="1:9" ht="12.75" customHeight="1">
      <c r="D356" s="953"/>
      <c r="E356" s="72" t="s">
        <v>610</v>
      </c>
      <c r="F356" s="953"/>
      <c r="I356" s="1281"/>
    </row>
    <row r="357" spans="1:9">
      <c r="D357" s="1235" t="s">
        <v>611</v>
      </c>
      <c r="E357" s="1235"/>
      <c r="F357" s="1235"/>
      <c r="I357" s="1281"/>
    </row>
    <row r="358" spans="1:9">
      <c r="D358" s="1235"/>
      <c r="E358" s="1235"/>
      <c r="F358" s="1235"/>
      <c r="I358" s="1281"/>
    </row>
    <row r="359" spans="1:9">
      <c r="D359" s="1235"/>
      <c r="E359" s="1235"/>
      <c r="F359" s="1235"/>
      <c r="I359" s="1282"/>
    </row>
    <row r="360" spans="1:9" ht="14.4">
      <c r="A360" s="409"/>
      <c r="B360" s="410" t="s">
        <v>528</v>
      </c>
      <c r="C360" s="401"/>
      <c r="D360" s="1266" t="s">
        <v>612</v>
      </c>
      <c r="E360" s="1266"/>
      <c r="F360" s="1266"/>
      <c r="I360" s="405"/>
    </row>
    <row r="361" spans="1:9">
      <c r="A361" s="401"/>
      <c r="B361" s="401"/>
      <c r="C361" s="401"/>
      <c r="D361" s="373"/>
      <c r="E361" s="373"/>
      <c r="F361" s="372"/>
      <c r="I361" s="415"/>
    </row>
    <row r="362" spans="1:9">
      <c r="A362" s="401"/>
      <c r="B362" s="410" t="s">
        <v>528</v>
      </c>
      <c r="C362" s="401"/>
      <c r="D362" s="1223" t="s">
        <v>613</v>
      </c>
      <c r="E362" s="1223"/>
      <c r="F362" s="1223"/>
      <c r="I362" s="415"/>
    </row>
    <row r="363" spans="1:9">
      <c r="A363" s="401"/>
      <c r="B363" s="401"/>
      <c r="C363" s="401"/>
      <c r="D363" s="1223"/>
      <c r="E363" s="1223"/>
      <c r="F363" s="1223"/>
      <c r="I363" s="415"/>
    </row>
    <row r="364" spans="1:9">
      <c r="A364" s="401"/>
      <c r="B364" s="401"/>
      <c r="C364" s="401"/>
      <c r="D364" s="1223"/>
      <c r="E364" s="1223"/>
      <c r="F364" s="1223"/>
      <c r="I364" s="415"/>
    </row>
    <row r="365" spans="1:9">
      <c r="A365" s="401"/>
      <c r="B365" s="401"/>
      <c r="C365" s="401"/>
      <c r="D365" s="1223"/>
      <c r="E365" s="1223"/>
      <c r="F365" s="1223"/>
      <c r="I365" s="415"/>
    </row>
    <row r="366" spans="1:9">
      <c r="A366" s="401"/>
      <c r="B366" s="401"/>
      <c r="C366" s="401"/>
      <c r="D366" s="1223"/>
      <c r="E366" s="1223"/>
      <c r="F366" s="1223"/>
      <c r="I366" s="415"/>
    </row>
    <row r="367" spans="1:9">
      <c r="A367" s="401"/>
      <c r="B367" s="401"/>
      <c r="C367" s="401"/>
      <c r="D367" s="1223"/>
      <c r="E367" s="1223"/>
      <c r="F367" s="1223"/>
      <c r="I367" s="415"/>
    </row>
    <row r="368" spans="1:9">
      <c r="A368" s="401"/>
      <c r="B368" s="401"/>
      <c r="C368" s="401"/>
      <c r="D368" s="1223"/>
      <c r="E368" s="1223"/>
      <c r="F368" s="1223"/>
      <c r="I368" s="415"/>
    </row>
    <row r="369" spans="1:9">
      <c r="A369" s="401"/>
      <c r="B369" s="401"/>
      <c r="C369" s="401"/>
      <c r="D369" s="1223"/>
      <c r="E369" s="1223"/>
      <c r="F369" s="1223"/>
      <c r="I369" s="415"/>
    </row>
    <row r="370" spans="1:9">
      <c r="A370" s="401"/>
      <c r="B370" s="401"/>
      <c r="C370" s="401"/>
      <c r="D370" s="1223"/>
      <c r="E370" s="1223"/>
      <c r="F370" s="1223"/>
      <c r="I370" s="415"/>
    </row>
    <row r="371" spans="1:9">
      <c r="A371" s="401"/>
      <c r="B371" s="401"/>
      <c r="C371" s="401"/>
      <c r="D371" s="1223"/>
      <c r="E371" s="1223"/>
      <c r="F371" s="1223"/>
      <c r="I371" s="415"/>
    </row>
    <row r="372" spans="1:9">
      <c r="A372" s="401"/>
      <c r="B372" s="401"/>
      <c r="C372" s="401"/>
      <c r="D372" s="1223"/>
      <c r="E372" s="1223"/>
      <c r="F372" s="1223"/>
      <c r="I372" s="415"/>
    </row>
    <row r="373" spans="1:9">
      <c r="A373" s="401"/>
      <c r="B373" s="401"/>
      <c r="C373" s="401"/>
      <c r="D373" s="1223"/>
      <c r="E373" s="1223"/>
      <c r="F373" s="1223"/>
      <c r="I373" s="415"/>
    </row>
    <row r="374" spans="1:9">
      <c r="A374" s="401"/>
      <c r="B374" s="401"/>
      <c r="C374" s="401"/>
      <c r="D374" s="377"/>
      <c r="E374" s="377"/>
      <c r="F374" s="377"/>
      <c r="I374" s="415"/>
    </row>
    <row r="375" spans="1:9" ht="12.45" customHeight="1">
      <c r="A375" s="401"/>
      <c r="B375" s="410" t="s">
        <v>294</v>
      </c>
      <c r="C375" s="401"/>
      <c r="D375" s="1277" t="s">
        <v>614</v>
      </c>
      <c r="E375" s="1277"/>
      <c r="F375" s="1277"/>
      <c r="I375" s="415"/>
    </row>
    <row r="376" spans="1:9">
      <c r="A376" s="401"/>
      <c r="B376" s="401"/>
      <c r="C376" s="401"/>
      <c r="D376" s="1277"/>
      <c r="E376" s="1277"/>
      <c r="F376" s="1277"/>
      <c r="I376" s="415"/>
    </row>
    <row r="377" spans="1:9">
      <c r="A377" s="401"/>
      <c r="B377" s="401"/>
      <c r="C377" s="401"/>
      <c r="D377" s="1277"/>
      <c r="E377" s="1277"/>
      <c r="F377" s="1277"/>
      <c r="I377" s="415"/>
    </row>
    <row r="378" spans="1:9">
      <c r="A378" s="401"/>
      <c r="B378" s="401"/>
      <c r="C378" s="401"/>
      <c r="D378" s="1277"/>
      <c r="E378" s="1277"/>
      <c r="F378" s="1277"/>
      <c r="I378" s="415"/>
    </row>
    <row r="379" spans="1:9">
      <c r="A379" s="401"/>
      <c r="B379" s="401"/>
      <c r="C379" s="401"/>
      <c r="D379" s="448"/>
      <c r="E379" s="448"/>
      <c r="F379" s="448"/>
      <c r="I379" s="415"/>
    </row>
    <row r="380" spans="1:9">
      <c r="A380" s="401"/>
      <c r="B380" s="410" t="s">
        <v>294</v>
      </c>
      <c r="C380" s="401"/>
      <c r="D380" s="326" t="s">
        <v>615</v>
      </c>
      <c r="E380" s="448"/>
      <c r="F380" s="448"/>
      <c r="I380" s="415"/>
    </row>
    <row r="381" spans="1:9">
      <c r="A381" s="401"/>
      <c r="B381" s="401"/>
      <c r="C381" s="401"/>
      <c r="D381" s="326" t="s">
        <v>616</v>
      </c>
      <c r="E381" s="448"/>
      <c r="F381" s="448"/>
      <c r="I381" s="415"/>
    </row>
    <row r="382" spans="1:9">
      <c r="A382" s="401"/>
      <c r="B382" s="401"/>
      <c r="C382" s="401"/>
      <c r="D382" s="326" t="s">
        <v>617</v>
      </c>
      <c r="E382" s="448"/>
      <c r="F382" s="448"/>
      <c r="I382" s="415"/>
    </row>
    <row r="383" spans="1:9">
      <c r="A383" s="401"/>
      <c r="B383" s="401"/>
      <c r="C383" s="401"/>
      <c r="D383" s="326" t="s">
        <v>618</v>
      </c>
      <c r="E383" s="448"/>
      <c r="F383" s="448"/>
      <c r="I383" s="415"/>
    </row>
    <row r="384" spans="1:9">
      <c r="A384" s="401"/>
      <c r="B384" s="401"/>
      <c r="C384" s="401"/>
      <c r="D384" s="326" t="s">
        <v>619</v>
      </c>
      <c r="E384" s="448"/>
      <c r="F384" s="448"/>
      <c r="I384" s="415"/>
    </row>
    <row r="385" spans="1:9">
      <c r="A385" s="401"/>
      <c r="B385" s="401"/>
      <c r="C385" s="401"/>
      <c r="D385" s="326" t="s">
        <v>620</v>
      </c>
      <c r="E385" s="448"/>
      <c r="F385" s="448"/>
      <c r="I385" s="415"/>
    </row>
    <row r="386" spans="1:9">
      <c r="A386" s="401"/>
      <c r="B386" s="401"/>
      <c r="C386" s="401"/>
      <c r="E386" s="373"/>
      <c r="F386" s="372"/>
      <c r="I386" s="415"/>
    </row>
    <row r="387" spans="1:9" ht="14.4">
      <c r="A387" s="409"/>
      <c r="B387" s="410" t="s">
        <v>294</v>
      </c>
      <c r="C387" s="401"/>
      <c r="D387" s="1223" t="s">
        <v>381</v>
      </c>
      <c r="E387" s="1223"/>
      <c r="F387" s="1223"/>
      <c r="I387" s="415"/>
    </row>
    <row r="388" spans="1:9">
      <c r="A388" s="401"/>
      <c r="B388" s="401"/>
      <c r="C388" s="401"/>
      <c r="D388" s="1223"/>
      <c r="E388" s="1223"/>
      <c r="F388" s="1223"/>
      <c r="I388" s="415"/>
    </row>
    <row r="389" spans="1:9">
      <c r="A389" s="401"/>
      <c r="B389" s="401"/>
      <c r="C389" s="401"/>
      <c r="D389" s="1223"/>
      <c r="E389" s="1223"/>
      <c r="F389" s="1223"/>
      <c r="I389" s="415"/>
    </row>
    <row r="390" spans="1:9">
      <c r="A390" s="401"/>
      <c r="B390" s="401"/>
      <c r="C390" s="401"/>
      <c r="D390" s="1223"/>
      <c r="E390" s="1223"/>
      <c r="F390" s="1223"/>
      <c r="I390" s="415"/>
    </row>
    <row r="391" spans="1:9">
      <c r="A391" s="401"/>
      <c r="B391" s="401"/>
      <c r="C391" s="401"/>
      <c r="D391" s="373"/>
      <c r="E391" s="373"/>
      <c r="F391" s="372"/>
      <c r="I391" s="415"/>
    </row>
    <row r="392" spans="1:9">
      <c r="A392" s="401"/>
      <c r="B392" s="401"/>
      <c r="C392" s="401"/>
      <c r="D392" s="1223" t="s">
        <v>382</v>
      </c>
      <c r="E392" s="1223"/>
      <c r="F392" s="1223"/>
      <c r="I392" s="415"/>
    </row>
    <row r="393" spans="1:9">
      <c r="A393" s="401"/>
      <c r="B393" s="401"/>
      <c r="C393" s="401"/>
      <c r="D393" s="1223"/>
      <c r="E393" s="1223"/>
      <c r="F393" s="1223"/>
      <c r="I393" s="415"/>
    </row>
    <row r="394" spans="1:9">
      <c r="A394" s="401"/>
      <c r="B394" s="401"/>
      <c r="C394" s="401"/>
      <c r="D394" s="1223"/>
      <c r="E394" s="1223"/>
      <c r="F394" s="1223"/>
      <c r="I394" s="415"/>
    </row>
    <row r="395" spans="1:9">
      <c r="A395" s="401"/>
      <c r="B395" s="401"/>
      <c r="C395" s="401"/>
      <c r="D395" s="1223"/>
      <c r="E395" s="1223"/>
      <c r="F395" s="1223"/>
      <c r="I395" s="415"/>
    </row>
    <row r="396" spans="1:9" ht="18" customHeight="1">
      <c r="A396" s="401"/>
      <c r="B396" s="401"/>
      <c r="C396" s="401"/>
      <c r="D396" s="1223"/>
      <c r="E396" s="1223"/>
      <c r="F396" s="1223"/>
      <c r="I396" s="415"/>
    </row>
    <row r="397" spans="1:9">
      <c r="A397" s="401"/>
      <c r="B397" s="401"/>
      <c r="C397" s="401"/>
      <c r="D397" s="1223"/>
      <c r="E397" s="1223"/>
      <c r="F397" s="1223"/>
      <c r="I397" s="415"/>
    </row>
    <row r="398" spans="1:9">
      <c r="A398" s="401"/>
      <c r="B398" s="401"/>
      <c r="C398" s="401"/>
      <c r="D398" s="1223"/>
      <c r="E398" s="1223"/>
      <c r="F398" s="1223"/>
      <c r="I398" s="415"/>
    </row>
    <row r="399" spans="1:9">
      <c r="A399" s="401"/>
      <c r="B399" s="401"/>
      <c r="C399" s="401"/>
      <c r="D399" s="1223"/>
      <c r="E399" s="1223"/>
      <c r="F399" s="1223"/>
      <c r="I399" s="415"/>
    </row>
    <row r="400" spans="1:9" ht="8.25" customHeight="1">
      <c r="A400" s="401"/>
      <c r="B400" s="401"/>
      <c r="C400" s="401"/>
      <c r="D400" s="1223"/>
      <c r="E400" s="1223"/>
      <c r="F400" s="1223"/>
      <c r="I400" s="415"/>
    </row>
    <row r="401" spans="1:9" ht="13.95" customHeight="1">
      <c r="A401" s="401"/>
      <c r="B401" s="401"/>
      <c r="C401" s="401"/>
      <c r="D401" s="1223" t="s">
        <v>383</v>
      </c>
      <c r="E401" s="1223"/>
      <c r="F401" s="1223"/>
      <c r="I401" s="415"/>
    </row>
    <row r="402" spans="1:9">
      <c r="A402" s="401"/>
      <c r="B402" s="401"/>
      <c r="C402" s="401"/>
      <c r="D402" s="1223"/>
      <c r="E402" s="1223"/>
      <c r="F402" s="1223"/>
      <c r="I402" s="415"/>
    </row>
    <row r="403" spans="1:9">
      <c r="A403" s="401"/>
      <c r="B403" s="401"/>
      <c r="C403" s="401"/>
      <c r="D403" s="1223"/>
      <c r="E403" s="1223"/>
      <c r="F403" s="1223"/>
      <c r="I403" s="415"/>
    </row>
    <row r="404" spans="1:9">
      <c r="A404" s="401"/>
      <c r="B404" s="401"/>
      <c r="C404" s="401"/>
      <c r="D404" s="1223"/>
      <c r="E404" s="1223"/>
      <c r="F404" s="1223"/>
      <c r="I404" s="415"/>
    </row>
    <row r="405" spans="1:9">
      <c r="A405" s="401"/>
      <c r="B405" s="401"/>
      <c r="C405" s="401"/>
      <c r="D405" s="1223"/>
      <c r="E405" s="1223"/>
      <c r="F405" s="1223"/>
      <c r="I405" s="415"/>
    </row>
    <row r="406" spans="1:9">
      <c r="A406" s="401"/>
      <c r="B406" s="401"/>
      <c r="C406" s="401"/>
      <c r="D406" s="1223"/>
      <c r="E406" s="1223"/>
      <c r="F406" s="1223"/>
      <c r="I406" s="415"/>
    </row>
    <row r="407" spans="1:9">
      <c r="A407" s="401"/>
      <c r="B407" s="401"/>
      <c r="C407" s="401"/>
      <c r="D407" s="1223"/>
      <c r="E407" s="1223"/>
      <c r="F407" s="1223"/>
      <c r="I407" s="415"/>
    </row>
    <row r="408" spans="1:9">
      <c r="A408" s="401"/>
      <c r="B408" s="401"/>
      <c r="C408" s="401"/>
      <c r="D408" s="1223"/>
      <c r="E408" s="1223"/>
      <c r="F408" s="1223"/>
      <c r="I408" s="415"/>
    </row>
    <row r="409" spans="1:9">
      <c r="A409" s="401"/>
      <c r="B409" s="401"/>
      <c r="C409" s="401"/>
      <c r="D409" s="1223"/>
      <c r="E409" s="1223"/>
      <c r="F409" s="1223"/>
      <c r="I409" s="415"/>
    </row>
    <row r="410" spans="1:9">
      <c r="A410" s="401"/>
      <c r="B410" s="401"/>
      <c r="C410" s="401"/>
      <c r="D410" s="1223"/>
      <c r="E410" s="1223"/>
      <c r="F410" s="1223"/>
      <c r="I410" s="415"/>
    </row>
    <row r="411" spans="1:9">
      <c r="A411" s="401"/>
      <c r="B411" s="401"/>
      <c r="C411" s="401"/>
      <c r="D411" s="1223"/>
      <c r="E411" s="1223"/>
      <c r="F411" s="1223"/>
      <c r="I411" s="415"/>
    </row>
    <row r="412" spans="1:9">
      <c r="A412" s="401"/>
      <c r="B412" s="401"/>
      <c r="C412" s="401"/>
      <c r="D412" s="1223"/>
      <c r="E412" s="1223"/>
      <c r="F412" s="1223"/>
      <c r="I412" s="415"/>
    </row>
    <row r="413" spans="1:9">
      <c r="A413" s="401"/>
      <c r="B413" s="401"/>
      <c r="C413" s="421"/>
      <c r="D413" s="1223"/>
      <c r="E413" s="1223"/>
      <c r="F413" s="1223"/>
      <c r="I413" s="415"/>
    </row>
    <row r="414" spans="1:9">
      <c r="A414" s="401"/>
      <c r="B414" s="401"/>
      <c r="C414" s="421"/>
      <c r="D414" s="1223"/>
      <c r="E414" s="1223"/>
      <c r="F414" s="1223"/>
      <c r="I414" s="415"/>
    </row>
    <row r="415" spans="1:9">
      <c r="A415" s="401"/>
      <c r="B415" s="401"/>
      <c r="C415" s="401"/>
      <c r="D415" s="1223"/>
      <c r="E415" s="1223"/>
      <c r="F415" s="1223"/>
      <c r="I415" s="415"/>
    </row>
    <row r="416" spans="1:9">
      <c r="A416" s="401"/>
      <c r="B416" s="401"/>
      <c r="C416" s="421"/>
      <c r="D416" s="1223"/>
      <c r="E416" s="1223"/>
      <c r="F416" s="1223"/>
      <c r="I416" s="415"/>
    </row>
    <row r="417" spans="1:9">
      <c r="A417" s="401"/>
      <c r="B417" s="401"/>
      <c r="C417" s="421"/>
      <c r="D417" s="1223"/>
      <c r="E417" s="1223"/>
      <c r="F417" s="1223"/>
      <c r="I417" s="415"/>
    </row>
    <row r="418" spans="1:9">
      <c r="A418" s="401"/>
      <c r="B418" s="401"/>
      <c r="C418" s="421"/>
      <c r="D418" s="1223"/>
      <c r="E418" s="1223"/>
      <c r="F418" s="1223"/>
      <c r="I418" s="415"/>
    </row>
    <row r="419" spans="1:9">
      <c r="A419" s="401"/>
      <c r="B419" s="401"/>
      <c r="C419" s="401"/>
      <c r="D419" s="373"/>
      <c r="E419" s="373"/>
      <c r="F419" s="372"/>
      <c r="I419" s="415"/>
    </row>
    <row r="420" spans="1:9">
      <c r="A420" s="401"/>
      <c r="B420" s="410" t="s">
        <v>528</v>
      </c>
      <c r="C420" s="401"/>
      <c r="D420" s="1223" t="s">
        <v>384</v>
      </c>
      <c r="E420" s="1223"/>
      <c r="F420" s="1223"/>
      <c r="I420" s="415"/>
    </row>
    <row r="421" spans="1:9">
      <c r="A421" s="401"/>
      <c r="B421" s="401"/>
      <c r="C421" s="401"/>
      <c r="D421" s="1223"/>
      <c r="E421" s="1223"/>
      <c r="F421" s="1223"/>
      <c r="I421" s="415"/>
    </row>
    <row r="422" spans="1:9">
      <c r="A422" s="401"/>
      <c r="B422" s="401"/>
      <c r="C422" s="401"/>
      <c r="D422" s="377"/>
      <c r="E422" s="377"/>
      <c r="F422" s="377"/>
      <c r="I422" s="415"/>
    </row>
    <row r="423" spans="1:9" ht="14.7" customHeight="1">
      <c r="A423" s="409"/>
      <c r="B423" s="410" t="s">
        <v>528</v>
      </c>
      <c r="D423" s="1223" t="s">
        <v>621</v>
      </c>
      <c r="E423" s="1223"/>
      <c r="F423" s="1223"/>
      <c r="I423" s="415"/>
    </row>
    <row r="424" spans="1:9" ht="14.7" customHeight="1">
      <c r="A424" s="409"/>
      <c r="D424" s="1223"/>
      <c r="E424" s="1223"/>
      <c r="F424" s="1223"/>
      <c r="I424" s="415"/>
    </row>
    <row r="425" spans="1:9" ht="14.7" customHeight="1">
      <c r="A425" s="409"/>
      <c r="D425" s="1223"/>
      <c r="E425" s="1223"/>
      <c r="F425" s="1223"/>
      <c r="I425" s="415"/>
    </row>
    <row r="426" spans="1:9" ht="14.7" customHeight="1">
      <c r="A426" s="409"/>
      <c r="D426" s="1223"/>
      <c r="E426" s="1223"/>
      <c r="F426" s="1223"/>
      <c r="I426" s="415"/>
    </row>
    <row r="427" spans="1:9" ht="14.7" customHeight="1">
      <c r="A427" s="409"/>
      <c r="D427" s="1223"/>
      <c r="E427" s="1223"/>
      <c r="F427" s="1223"/>
      <c r="I427" s="415"/>
    </row>
    <row r="428" spans="1:9" ht="14.7" customHeight="1">
      <c r="A428" s="409"/>
      <c r="D428" s="309"/>
      <c r="E428" s="309"/>
      <c r="F428" s="309"/>
      <c r="I428" s="415"/>
    </row>
    <row r="429" spans="1:9" ht="13.95" customHeight="1">
      <c r="A429" s="409"/>
      <c r="B429" s="410" t="s">
        <v>528</v>
      </c>
      <c r="C429" s="401"/>
      <c r="D429" s="1223" t="s">
        <v>622</v>
      </c>
      <c r="E429" s="1223"/>
      <c r="F429" s="1223"/>
      <c r="I429" s="415"/>
    </row>
    <row r="430" spans="1:9" ht="14.4">
      <c r="A430" s="422"/>
      <c r="B430" s="422"/>
      <c r="C430" s="401"/>
      <c r="D430" s="1223"/>
      <c r="E430" s="1223"/>
      <c r="F430" s="1223"/>
      <c r="I430" s="415"/>
    </row>
    <row r="431" spans="1:9" ht="14.4">
      <c r="A431" s="422"/>
      <c r="B431" s="422"/>
      <c r="C431" s="401"/>
      <c r="D431" s="1223"/>
      <c r="E431" s="1223"/>
      <c r="F431" s="1223"/>
      <c r="I431" s="415"/>
    </row>
    <row r="432" spans="1:9" ht="14.4">
      <c r="A432" s="422"/>
      <c r="B432" s="422"/>
      <c r="C432" s="401"/>
      <c r="D432" s="1223"/>
      <c r="E432" s="1223"/>
      <c r="F432" s="1223"/>
      <c r="I432" s="415"/>
    </row>
    <row r="433" spans="1:9" ht="15.75" customHeight="1">
      <c r="A433" s="422"/>
      <c r="B433" s="422"/>
      <c r="C433" s="401"/>
      <c r="D433" s="1285" t="s">
        <v>623</v>
      </c>
      <c r="E433" s="1223"/>
      <c r="F433" s="1223"/>
      <c r="I433" s="415"/>
    </row>
    <row r="434" spans="1:9">
      <c r="D434" s="372"/>
      <c r="E434" s="372"/>
      <c r="F434" s="372"/>
      <c r="I434" s="415"/>
    </row>
    <row r="435" spans="1:9" ht="14.4">
      <c r="A435" s="409"/>
      <c r="B435" s="410" t="s">
        <v>528</v>
      </c>
      <c r="C435" s="412"/>
      <c r="D435" s="1235" t="s">
        <v>624</v>
      </c>
      <c r="E435" s="1235"/>
      <c r="F435" s="1235"/>
      <c r="I435" s="415"/>
    </row>
    <row r="436" spans="1:9" ht="14.4">
      <c r="A436" s="409"/>
      <c r="B436" s="409"/>
      <c r="D436" s="1235"/>
      <c r="E436" s="1235"/>
      <c r="F436" s="1235"/>
      <c r="I436" s="415"/>
    </row>
    <row r="437" spans="1:9">
      <c r="D437" s="1235"/>
      <c r="E437" s="1235"/>
      <c r="F437" s="1235"/>
      <c r="I437" s="415"/>
    </row>
    <row r="438" spans="1:9">
      <c r="D438" s="1235"/>
      <c r="E438" s="1235"/>
      <c r="F438" s="1235"/>
      <c r="I438" s="415"/>
    </row>
    <row r="439" spans="1:9">
      <c r="D439" s="1235"/>
      <c r="E439" s="1235"/>
      <c r="F439" s="1235"/>
      <c r="I439" s="415"/>
    </row>
    <row r="440" spans="1:9">
      <c r="D440" s="1235"/>
      <c r="E440" s="1235"/>
      <c r="F440" s="1235"/>
      <c r="I440" s="415"/>
    </row>
    <row r="441" spans="1:9">
      <c r="D441" s="1235"/>
      <c r="E441" s="1235"/>
      <c r="F441" s="1235"/>
      <c r="I441" s="415"/>
    </row>
    <row r="442" spans="1:9">
      <c r="D442" s="1235"/>
      <c r="E442" s="1235"/>
      <c r="F442" s="1235"/>
      <c r="I442" s="415"/>
    </row>
    <row r="443" spans="1:9">
      <c r="D443" s="1235"/>
      <c r="E443" s="1235"/>
      <c r="F443" s="1235"/>
      <c r="I443" s="415"/>
    </row>
    <row r="444" spans="1:9">
      <c r="D444" s="1235"/>
      <c r="E444" s="1235"/>
      <c r="F444" s="1235"/>
      <c r="I444" s="415"/>
    </row>
    <row r="445" spans="1:9">
      <c r="D445" s="1235"/>
      <c r="E445" s="1235"/>
      <c r="F445" s="1235"/>
      <c r="I445" s="415"/>
    </row>
    <row r="446" spans="1:9">
      <c r="D446" s="1235"/>
      <c r="E446" s="1235"/>
      <c r="F446" s="1235"/>
      <c r="I446" s="415"/>
    </row>
    <row r="447" spans="1:9">
      <c r="D447" s="1235"/>
      <c r="E447" s="1235"/>
      <c r="F447" s="1235"/>
      <c r="I447" s="415"/>
    </row>
    <row r="448" spans="1:9">
      <c r="A448" s="326"/>
      <c r="B448" s="326"/>
      <c r="C448" s="326"/>
      <c r="D448" s="1235"/>
      <c r="E448" s="1235"/>
      <c r="F448" s="1235"/>
      <c r="I448" s="415"/>
    </row>
    <row r="449" spans="1:9">
      <c r="A449" s="326"/>
      <c r="B449" s="326"/>
      <c r="C449" s="326"/>
      <c r="D449" s="1235"/>
      <c r="E449" s="1235"/>
      <c r="F449" s="1235"/>
      <c r="I449" s="415"/>
    </row>
    <row r="450" spans="1:9">
      <c r="A450" s="326"/>
      <c r="B450" s="326"/>
      <c r="C450" s="326"/>
      <c r="D450" s="1235"/>
      <c r="E450" s="1235"/>
      <c r="F450" s="1235"/>
      <c r="I450" s="415"/>
    </row>
    <row r="451" spans="1:9">
      <c r="A451" s="326"/>
      <c r="B451" s="326"/>
      <c r="C451" s="326"/>
      <c r="D451" s="1235"/>
      <c r="E451" s="1235"/>
      <c r="F451" s="1235"/>
      <c r="I451" s="415"/>
    </row>
    <row r="452" spans="1:9">
      <c r="A452" s="326"/>
      <c r="B452" s="326"/>
      <c r="C452" s="326"/>
      <c r="D452" s="1235"/>
      <c r="E452" s="1235"/>
      <c r="F452" s="1235"/>
      <c r="I452" s="415"/>
    </row>
    <row r="453" spans="1:9">
      <c r="A453" s="326"/>
      <c r="B453" s="326"/>
      <c r="C453" s="326"/>
      <c r="D453" s="1235"/>
      <c r="E453" s="1235"/>
      <c r="F453" s="1235"/>
      <c r="I453" s="415"/>
    </row>
    <row r="454" spans="1:9">
      <c r="A454" s="326"/>
      <c r="B454" s="326"/>
      <c r="C454" s="326"/>
      <c r="D454" s="1235"/>
      <c r="E454" s="1235"/>
      <c r="F454" s="1235"/>
      <c r="I454" s="415"/>
    </row>
    <row r="455" spans="1:9">
      <c r="A455" s="326"/>
      <c r="B455" s="326"/>
      <c r="C455" s="326"/>
      <c r="D455" s="1235"/>
      <c r="E455" s="1235"/>
      <c r="F455" s="1235"/>
      <c r="I455" s="415"/>
    </row>
    <row r="456" spans="1:9">
      <c r="A456" s="326"/>
      <c r="B456" s="326"/>
      <c r="C456" s="326"/>
      <c r="D456" s="1235"/>
      <c r="E456" s="1235"/>
      <c r="F456" s="1235"/>
      <c r="I456" s="415"/>
    </row>
    <row r="457" spans="1:9">
      <c r="A457" s="326"/>
      <c r="B457" s="326"/>
      <c r="C457" s="326"/>
      <c r="D457" s="1235"/>
      <c r="E457" s="1235"/>
      <c r="F457" s="1235"/>
      <c r="I457" s="415"/>
    </row>
    <row r="458" spans="1:9">
      <c r="A458" s="326"/>
      <c r="B458" s="326"/>
      <c r="C458" s="326"/>
      <c r="D458" s="1235"/>
      <c r="E458" s="1235"/>
      <c r="F458" s="1235"/>
      <c r="I458" s="415"/>
    </row>
    <row r="459" spans="1:9">
      <c r="A459" s="326"/>
      <c r="B459" s="326"/>
      <c r="C459" s="326"/>
      <c r="D459" s="1235"/>
      <c r="E459" s="1235"/>
      <c r="F459" s="1235"/>
      <c r="I459" s="415"/>
    </row>
    <row r="460" spans="1:9">
      <c r="A460" s="326"/>
      <c r="B460" s="326"/>
      <c r="C460" s="326"/>
      <c r="D460" s="1235"/>
      <c r="E460" s="1235"/>
      <c r="F460" s="1235"/>
      <c r="I460" s="415"/>
    </row>
    <row r="461" spans="1:9">
      <c r="A461" s="326"/>
      <c r="B461" s="326"/>
      <c r="C461" s="326"/>
      <c r="D461" s="1235"/>
      <c r="E461" s="1235"/>
      <c r="F461" s="1235"/>
      <c r="I461" s="415"/>
    </row>
    <row r="462" spans="1:9">
      <c r="A462" s="326"/>
      <c r="B462" s="326"/>
      <c r="C462" s="326"/>
      <c r="D462" s="1235"/>
      <c r="E462" s="1235"/>
      <c r="F462" s="1235"/>
      <c r="I462" s="415"/>
    </row>
    <row r="463" spans="1:9">
      <c r="A463" s="326"/>
      <c r="B463" s="326"/>
      <c r="C463" s="326"/>
      <c r="D463" s="1235"/>
      <c r="E463" s="1235"/>
      <c r="F463" s="1235"/>
      <c r="I463" s="415"/>
    </row>
    <row r="464" spans="1:9">
      <c r="D464" s="1235"/>
      <c r="E464" s="1235"/>
      <c r="F464" s="1235"/>
      <c r="I464" s="415"/>
    </row>
    <row r="465" spans="1:9" ht="40.950000000000003" customHeight="1">
      <c r="D465" s="1235"/>
      <c r="E465" s="1235"/>
      <c r="F465" s="1235"/>
      <c r="I465" s="415"/>
    </row>
    <row r="466" spans="1:9">
      <c r="D466" s="372"/>
      <c r="E466" s="372"/>
      <c r="F466" s="372"/>
      <c r="I466" s="415"/>
    </row>
    <row r="467" spans="1:9" ht="14.4">
      <c r="A467" s="409"/>
      <c r="B467" s="410" t="s">
        <v>528</v>
      </c>
      <c r="C467" s="412"/>
      <c r="D467" s="1235" t="s">
        <v>390</v>
      </c>
      <c r="E467" s="1235"/>
      <c r="F467" s="1235"/>
      <c r="I467" s="415"/>
    </row>
    <row r="468" spans="1:9">
      <c r="D468" s="1235"/>
      <c r="E468" s="1235"/>
      <c r="F468" s="1235"/>
      <c r="I468" s="415"/>
    </row>
    <row r="469" spans="1:9">
      <c r="D469" s="1235"/>
      <c r="E469" s="1235"/>
      <c r="F469" s="1235"/>
      <c r="I469" s="415"/>
    </row>
    <row r="470" spans="1:9">
      <c r="D470" s="371"/>
      <c r="E470" s="371"/>
      <c r="F470" s="371"/>
      <c r="I470" s="415"/>
    </row>
    <row r="471" spans="1:9" ht="14.4">
      <c r="B471" s="410" t="s">
        <v>528</v>
      </c>
      <c r="C471" s="409"/>
      <c r="D471" s="1235" t="s">
        <v>625</v>
      </c>
      <c r="E471" s="1235"/>
      <c r="F471" s="1235"/>
      <c r="I471" s="415"/>
    </row>
    <row r="472" spans="1:9">
      <c r="D472" s="1235"/>
      <c r="E472" s="1235"/>
      <c r="F472" s="1235"/>
      <c r="I472" s="415"/>
    </row>
    <row r="473" spans="1:9">
      <c r="D473" s="372"/>
      <c r="E473" s="372"/>
      <c r="F473" s="372"/>
      <c r="I473" s="415"/>
    </row>
    <row r="474" spans="1:9" ht="14.4">
      <c r="B474" s="410" t="s">
        <v>528</v>
      </c>
      <c r="C474" s="409"/>
      <c r="D474" s="1235" t="s">
        <v>392</v>
      </c>
      <c r="E474" s="1235"/>
      <c r="F474" s="1235"/>
      <c r="I474" s="415"/>
    </row>
    <row r="475" spans="1:9">
      <c r="D475" s="1235"/>
      <c r="E475" s="1235"/>
      <c r="F475" s="1235"/>
      <c r="I475" s="415"/>
    </row>
    <row r="476" spans="1:9">
      <c r="D476" s="1235"/>
      <c r="E476" s="1235"/>
      <c r="F476" s="1235"/>
      <c r="I476" s="415"/>
    </row>
    <row r="477" spans="1:9">
      <c r="D477" s="1235"/>
      <c r="E477" s="1235"/>
      <c r="F477" s="1235"/>
      <c r="I477" s="415"/>
    </row>
    <row r="478" spans="1:9">
      <c r="B478" s="410" t="s">
        <v>528</v>
      </c>
      <c r="D478" s="1235"/>
      <c r="E478" s="1235"/>
      <c r="F478" s="1235"/>
      <c r="I478" s="415"/>
    </row>
    <row r="479" spans="1:9">
      <c r="A479" s="326"/>
      <c r="B479" s="326"/>
      <c r="C479" s="326"/>
      <c r="D479" s="1235"/>
      <c r="E479" s="1235"/>
      <c r="F479" s="1235"/>
      <c r="I479" s="415"/>
    </row>
    <row r="480" spans="1:9">
      <c r="A480" s="326"/>
      <c r="C480" s="326"/>
      <c r="D480" s="1235"/>
      <c r="E480" s="1235"/>
      <c r="F480" s="1235"/>
      <c r="I480" s="415"/>
    </row>
    <row r="481" spans="1:9">
      <c r="A481" s="326"/>
      <c r="B481" s="410" t="s">
        <v>528</v>
      </c>
      <c r="C481" s="326"/>
      <c r="D481" s="1235"/>
      <c r="E481" s="1235"/>
      <c r="F481" s="1235"/>
      <c r="I481" s="415"/>
    </row>
    <row r="482" spans="1:9">
      <c r="A482" s="326"/>
      <c r="B482" s="326"/>
      <c r="C482" s="326"/>
      <c r="D482" s="1235"/>
      <c r="E482" s="1235"/>
      <c r="F482" s="1235"/>
      <c r="I482" s="415"/>
    </row>
    <row r="483" spans="1:9">
      <c r="A483" s="326"/>
      <c r="C483" s="326"/>
      <c r="D483" s="1235"/>
      <c r="E483" s="1235"/>
      <c r="F483" s="1235"/>
      <c r="I483" s="415"/>
    </row>
    <row r="484" spans="1:9">
      <c r="A484" s="326"/>
      <c r="C484" s="326"/>
      <c r="D484" s="1235"/>
      <c r="E484" s="1235"/>
      <c r="F484" s="1235"/>
      <c r="I484" s="415"/>
    </row>
    <row r="485" spans="1:9">
      <c r="A485" s="326"/>
      <c r="C485" s="326"/>
      <c r="D485" s="1235"/>
      <c r="E485" s="1235"/>
      <c r="F485" s="1235"/>
      <c r="I485" s="415"/>
    </row>
    <row r="486" spans="1:9">
      <c r="A486" s="326"/>
      <c r="B486" s="410" t="s">
        <v>528</v>
      </c>
      <c r="C486" s="326"/>
      <c r="D486" s="1235"/>
      <c r="E486" s="1235"/>
      <c r="F486" s="1235"/>
      <c r="I486" s="415"/>
    </row>
    <row r="487" spans="1:9">
      <c r="A487" s="326"/>
      <c r="C487" s="326"/>
      <c r="D487" s="1235"/>
      <c r="E487" s="1235"/>
      <c r="F487" s="1235"/>
      <c r="I487" s="415"/>
    </row>
    <row r="488" spans="1:9">
      <c r="A488" s="326"/>
      <c r="B488" s="410" t="s">
        <v>528</v>
      </c>
      <c r="C488" s="326"/>
      <c r="D488" s="1235" t="s">
        <v>393</v>
      </c>
      <c r="E488" s="1235"/>
      <c r="F488" s="1235"/>
      <c r="I488" s="415"/>
    </row>
    <row r="489" spans="1:9">
      <c r="A489" s="326"/>
      <c r="B489" s="326"/>
      <c r="C489" s="326"/>
      <c r="D489" s="1235"/>
      <c r="E489" s="1235"/>
      <c r="F489" s="1235"/>
      <c r="I489" s="415"/>
    </row>
    <row r="490" spans="1:9">
      <c r="A490" s="326"/>
      <c r="B490" s="326"/>
      <c r="C490" s="326"/>
      <c r="D490" s="1235"/>
      <c r="E490" s="1235"/>
      <c r="F490" s="1235"/>
      <c r="I490" s="415"/>
    </row>
    <row r="491" spans="1:9">
      <c r="A491" s="326"/>
      <c r="B491" s="326"/>
      <c r="C491" s="326"/>
      <c r="D491" s="1235"/>
      <c r="E491" s="1235"/>
      <c r="F491" s="1235"/>
      <c r="I491" s="415"/>
    </row>
    <row r="492" spans="1:9">
      <c r="D492" s="1235"/>
      <c r="E492" s="1235"/>
      <c r="F492" s="1235"/>
      <c r="I492" s="415"/>
    </row>
    <row r="493" spans="1:9">
      <c r="D493" s="372"/>
      <c r="E493" s="372"/>
      <c r="F493" s="372"/>
      <c r="I493" s="415"/>
    </row>
    <row r="494" spans="1:9">
      <c r="B494" s="410" t="s">
        <v>528</v>
      </c>
      <c r="D494" s="1262" t="s">
        <v>394</v>
      </c>
      <c r="E494" s="1262"/>
      <c r="F494" s="1262"/>
      <c r="I494" s="415"/>
    </row>
    <row r="495" spans="1:9">
      <c r="A495" s="372"/>
      <c r="B495" s="372"/>
      <c r="I495" s="415"/>
    </row>
    <row r="496" spans="1:9">
      <c r="A496" s="1241" t="s">
        <v>395</v>
      </c>
      <c r="B496" s="1241"/>
      <c r="C496" s="1241"/>
      <c r="D496" s="1241"/>
      <c r="E496" s="1241"/>
      <c r="F496" s="1241"/>
      <c r="G496" s="1241"/>
      <c r="H496" s="944"/>
      <c r="I496" s="1135"/>
    </row>
    <row r="497" spans="1:9">
      <c r="A497" s="372"/>
      <c r="B497" s="372"/>
      <c r="I497" s="415"/>
    </row>
    <row r="498" spans="1:9">
      <c r="D498" s="1269" t="s">
        <v>396</v>
      </c>
      <c r="E498" s="1269"/>
      <c r="F498" s="1269"/>
      <c r="I498" s="415"/>
    </row>
    <row r="499" spans="1:9" ht="14.4">
      <c r="A499" s="409"/>
      <c r="B499" s="409"/>
      <c r="D499" s="1266" t="s">
        <v>397</v>
      </c>
      <c r="E499" s="1266"/>
      <c r="F499" s="1266"/>
      <c r="I499" s="415"/>
    </row>
    <row r="500" spans="1:9" ht="14.4">
      <c r="A500" s="409"/>
      <c r="B500" s="409"/>
      <c r="D500" s="373"/>
      <c r="I500" s="415"/>
    </row>
    <row r="501" spans="1:9" ht="14.4">
      <c r="A501" s="409"/>
      <c r="B501" s="410" t="s">
        <v>528</v>
      </c>
      <c r="D501" s="1223" t="s">
        <v>398</v>
      </c>
      <c r="E501" s="1223"/>
      <c r="F501" s="1223"/>
      <c r="I501" s="415" t="s">
        <v>626</v>
      </c>
    </row>
    <row r="502" spans="1:9" ht="14.4">
      <c r="A502" s="409"/>
      <c r="B502" s="409"/>
      <c r="D502" s="1223"/>
      <c r="E502" s="1223"/>
      <c r="F502" s="1223"/>
      <c r="I502" s="415"/>
    </row>
    <row r="503" spans="1:9" ht="14.4">
      <c r="A503" s="409"/>
      <c r="B503" s="409"/>
      <c r="D503" s="372"/>
      <c r="I503" s="415"/>
    </row>
    <row r="504" spans="1:9" ht="12.75" customHeight="1">
      <c r="B504" s="410" t="s">
        <v>528</v>
      </c>
      <c r="D504" s="1255" t="s">
        <v>627</v>
      </c>
      <c r="E504" s="1255"/>
      <c r="F504" s="1255"/>
      <c r="I504" s="415" t="s">
        <v>628</v>
      </c>
    </row>
    <row r="505" spans="1:9" ht="14.4">
      <c r="A505" s="409"/>
      <c r="D505" s="1255"/>
      <c r="E505" s="1255"/>
      <c r="F505" s="1255"/>
      <c r="I505" s="415"/>
    </row>
    <row r="506" spans="1:9" ht="14.4">
      <c r="A506" s="409"/>
      <c r="B506" s="409"/>
      <c r="D506" s="1255"/>
      <c r="E506" s="1255"/>
      <c r="F506" s="1255"/>
      <c r="I506" s="415"/>
    </row>
    <row r="507" spans="1:9" ht="14.4">
      <c r="A507" s="409"/>
      <c r="B507" s="409"/>
      <c r="D507" s="1255"/>
      <c r="E507" s="1255"/>
      <c r="F507" s="1255"/>
      <c r="I507" s="415"/>
    </row>
    <row r="508" spans="1:9" ht="14.4">
      <c r="A508" s="409"/>
      <c r="D508" s="444"/>
      <c r="E508" s="444"/>
      <c r="F508" s="444"/>
      <c r="I508" s="415"/>
    </row>
    <row r="509" spans="1:9" ht="14.4">
      <c r="A509" s="409"/>
      <c r="B509" s="410" t="s">
        <v>528</v>
      </c>
      <c r="D509" s="1262" t="s">
        <v>401</v>
      </c>
      <c r="E509" s="1262"/>
      <c r="F509" s="1262"/>
      <c r="I509" s="415" t="s">
        <v>629</v>
      </c>
    </row>
    <row r="510" spans="1:9" ht="14.4">
      <c r="A510" s="409"/>
      <c r="B510" s="409"/>
      <c r="D510" s="372"/>
      <c r="I510" s="415"/>
    </row>
    <row r="511" spans="1:9" ht="14.4">
      <c r="A511" s="409"/>
      <c r="B511" s="410" t="s">
        <v>528</v>
      </c>
      <c r="D511" s="1235" t="s">
        <v>402</v>
      </c>
      <c r="E511" s="1235"/>
      <c r="F511" s="1235"/>
      <c r="I511" s="415" t="s">
        <v>629</v>
      </c>
    </row>
    <row r="512" spans="1:9" ht="14.4">
      <c r="A512" s="409"/>
      <c r="D512" s="1235"/>
      <c r="E512" s="1235"/>
      <c r="F512" s="1235"/>
      <c r="I512" s="415"/>
    </row>
    <row r="513" spans="1:9">
      <c r="A513" s="415"/>
      <c r="B513" s="415"/>
      <c r="D513" s="373"/>
      <c r="I513" s="415"/>
    </row>
    <row r="514" spans="1:9">
      <c r="A514" s="415"/>
      <c r="B514" s="410" t="s">
        <v>528</v>
      </c>
      <c r="D514" s="1262" t="s">
        <v>403</v>
      </c>
      <c r="E514" s="1262"/>
      <c r="F514" s="1262"/>
      <c r="I514" s="415" t="s">
        <v>630</v>
      </c>
    </row>
    <row r="515" spans="1:9" ht="14.4">
      <c r="A515" s="409"/>
      <c r="B515" s="409"/>
      <c r="D515" s="372"/>
      <c r="I515" s="415"/>
    </row>
    <row r="516" spans="1:9">
      <c r="A516" s="1241" t="s">
        <v>404</v>
      </c>
      <c r="B516" s="1241"/>
      <c r="C516" s="1241"/>
      <c r="D516" s="1241"/>
      <c r="E516" s="1241"/>
      <c r="F516" s="1241"/>
      <c r="G516" s="1241"/>
      <c r="H516" s="944"/>
      <c r="I516" s="1135"/>
    </row>
    <row r="517" spans="1:9" ht="12" customHeight="1">
      <c r="A517" s="409"/>
      <c r="B517" s="409"/>
      <c r="D517" s="372"/>
      <c r="I517" s="415"/>
    </row>
    <row r="518" spans="1:9">
      <c r="C518" s="407"/>
      <c r="D518" s="1233" t="s">
        <v>405</v>
      </c>
      <c r="E518" s="1233"/>
      <c r="F518" s="1233"/>
      <c r="I518" s="415"/>
    </row>
    <row r="519" spans="1:9">
      <c r="C519" s="407"/>
      <c r="D519" s="431" t="s">
        <v>631</v>
      </c>
      <c r="E519" s="431"/>
      <c r="F519" s="431"/>
      <c r="I519" s="415"/>
    </row>
    <row r="520" spans="1:9">
      <c r="C520" s="407"/>
      <c r="D520" s="431" t="s">
        <v>632</v>
      </c>
      <c r="E520" s="431"/>
      <c r="F520" s="431"/>
      <c r="I520" s="415"/>
    </row>
    <row r="521" spans="1:9">
      <c r="C521" s="407"/>
      <c r="D521" s="406"/>
      <c r="E521" s="406"/>
      <c r="F521" s="406"/>
      <c r="I521" s="415"/>
    </row>
    <row r="522" spans="1:9" ht="13.95" customHeight="1">
      <c r="A522" s="408"/>
      <c r="B522" s="410" t="s">
        <v>2796</v>
      </c>
      <c r="C522" s="408"/>
      <c r="D522" s="1223" t="s">
        <v>633</v>
      </c>
      <c r="E522" s="1223"/>
      <c r="F522" s="1223"/>
      <c r="I522" s="415" t="s">
        <v>634</v>
      </c>
    </row>
    <row r="523" spans="1:9">
      <c r="A523" s="408"/>
      <c r="B523" s="408"/>
      <c r="C523" s="408"/>
      <c r="D523" s="1223"/>
      <c r="E523" s="1223"/>
      <c r="F523" s="1223"/>
      <c r="I523" s="415"/>
    </row>
    <row r="524" spans="1:9">
      <c r="A524" s="408"/>
      <c r="B524" s="408"/>
      <c r="C524" s="408"/>
      <c r="D524" s="377"/>
      <c r="E524" s="377"/>
      <c r="F524" s="377"/>
      <c r="I524" s="405"/>
    </row>
    <row r="525" spans="1:9" ht="12.75" customHeight="1">
      <c r="A525" s="408"/>
      <c r="B525" s="410" t="s">
        <v>528</v>
      </c>
      <c r="D525" s="310" t="s">
        <v>635</v>
      </c>
      <c r="E525" s="309"/>
      <c r="F525" s="309"/>
      <c r="I525" s="415" t="s">
        <v>636</v>
      </c>
    </row>
    <row r="526" spans="1:9">
      <c r="A526" s="408"/>
      <c r="B526" s="408"/>
      <c r="C526" s="408"/>
      <c r="D526" s="309"/>
      <c r="E526" s="72" t="s">
        <v>637</v>
      </c>
      <c r="I526" s="415"/>
    </row>
    <row r="527" spans="1:9">
      <c r="A527" s="408"/>
      <c r="B527" s="408"/>
      <c r="D527" s="1277" t="s">
        <v>638</v>
      </c>
      <c r="E527" s="1277"/>
      <c r="F527" s="1277"/>
      <c r="I527" s="415"/>
    </row>
    <row r="528" spans="1:9">
      <c r="A528" s="408"/>
      <c r="B528" s="408"/>
      <c r="D528" s="1277"/>
      <c r="E528" s="1277"/>
      <c r="F528" s="1277"/>
      <c r="I528" s="415"/>
    </row>
    <row r="529" spans="1:9">
      <c r="A529" s="408"/>
      <c r="B529" s="408"/>
      <c r="C529" s="408"/>
      <c r="D529" s="1277"/>
      <c r="E529" s="1277"/>
      <c r="F529" s="1277"/>
      <c r="I529" s="415"/>
    </row>
    <row r="530" spans="1:9">
      <c r="A530" s="408"/>
      <c r="B530" s="408"/>
      <c r="C530" s="408"/>
      <c r="D530" s="423"/>
      <c r="F530" s="372"/>
      <c r="I530" s="415"/>
    </row>
    <row r="531" spans="1:9" ht="13.2" customHeight="1">
      <c r="A531" s="408"/>
      <c r="B531" s="410" t="s">
        <v>528</v>
      </c>
      <c r="C531" s="408"/>
      <c r="D531" s="1235" t="s">
        <v>639</v>
      </c>
      <c r="E531" s="1235"/>
      <c r="F531" s="1235"/>
      <c r="I531" s="415" t="s">
        <v>636</v>
      </c>
    </row>
    <row r="532" spans="1:9">
      <c r="A532" s="408"/>
      <c r="B532" s="408"/>
      <c r="C532" s="408"/>
      <c r="D532" s="1235"/>
      <c r="E532" s="1235"/>
      <c r="F532" s="1235"/>
      <c r="I532" s="415"/>
    </row>
    <row r="533" spans="1:9" ht="12" customHeight="1">
      <c r="A533" s="372"/>
      <c r="B533" s="372"/>
      <c r="C533" s="412"/>
      <c r="D533" s="372"/>
      <c r="F533" s="374"/>
      <c r="I533" s="415"/>
    </row>
    <row r="534" spans="1:9">
      <c r="A534" s="1241" t="s">
        <v>413</v>
      </c>
      <c r="B534" s="1241"/>
      <c r="C534" s="1241"/>
      <c r="D534" s="1241"/>
      <c r="E534" s="1241"/>
      <c r="F534" s="1241"/>
      <c r="G534" s="1241"/>
      <c r="H534" s="944"/>
      <c r="I534" s="1135"/>
    </row>
    <row r="535" spans="1:9">
      <c r="A535" s="372"/>
      <c r="B535" s="372"/>
      <c r="C535" s="412"/>
      <c r="F535" s="374"/>
      <c r="I535" s="415"/>
    </row>
    <row r="536" spans="1:9">
      <c r="B536" s="1248" t="s">
        <v>334</v>
      </c>
      <c r="C536" s="1248"/>
      <c r="D536" s="1248"/>
      <c r="E536" s="1248"/>
      <c r="F536" s="1248"/>
      <c r="I536" s="415"/>
    </row>
    <row r="537" spans="1:9">
      <c r="A537" s="372"/>
      <c r="B537" s="372"/>
      <c r="C537" s="412"/>
      <c r="D537" s="372"/>
      <c r="F537" s="372"/>
      <c r="I537" s="415"/>
    </row>
    <row r="538" spans="1:9">
      <c r="A538" s="1242" t="s">
        <v>414</v>
      </c>
      <c r="B538" s="1242"/>
      <c r="C538" s="1242"/>
      <c r="D538" s="1242"/>
      <c r="E538" s="1242"/>
      <c r="F538" s="1242"/>
      <c r="G538" s="1242"/>
      <c r="H538" s="944"/>
      <c r="I538" s="1135"/>
    </row>
    <row r="539" spans="1:9">
      <c r="A539" s="372"/>
      <c r="B539" s="372"/>
      <c r="C539" s="412"/>
      <c r="D539" s="372"/>
      <c r="F539" s="372"/>
      <c r="I539" s="415"/>
    </row>
    <row r="540" spans="1:9">
      <c r="C540" s="412"/>
      <c r="D540" s="1233" t="s">
        <v>415</v>
      </c>
      <c r="E540" s="1233"/>
      <c r="F540" s="1233"/>
      <c r="I540" s="415"/>
    </row>
    <row r="541" spans="1:9">
      <c r="C541" s="412"/>
      <c r="D541" s="1262" t="s">
        <v>416</v>
      </c>
      <c r="E541" s="1262"/>
      <c r="F541" s="1262"/>
      <c r="I541" s="415"/>
    </row>
    <row r="542" spans="1:9">
      <c r="C542" s="412"/>
      <c r="D542" s="372"/>
      <c r="E542" s="372"/>
      <c r="F542" s="372"/>
      <c r="I542" s="415"/>
    </row>
    <row r="543" spans="1:9" ht="13.95" customHeight="1">
      <c r="A543" s="409"/>
      <c r="B543" s="410" t="s">
        <v>2796</v>
      </c>
      <c r="C543" s="412"/>
      <c r="D543" s="1262" t="s">
        <v>417</v>
      </c>
      <c r="E543" s="1262"/>
      <c r="F543" s="1262"/>
      <c r="I543" s="415" t="s">
        <v>640</v>
      </c>
    </row>
    <row r="544" spans="1:9" ht="13.95" customHeight="1">
      <c r="A544" s="412"/>
      <c r="B544" s="412"/>
      <c r="C544" s="412"/>
      <c r="D544" s="372"/>
      <c r="I544" s="415"/>
    </row>
    <row r="545" spans="1:9" ht="14.4">
      <c r="A545" s="409"/>
      <c r="B545" s="410" t="s">
        <v>2796</v>
      </c>
      <c r="C545" s="412"/>
      <c r="D545" s="1235" t="s">
        <v>418</v>
      </c>
      <c r="E545" s="1235"/>
      <c r="F545" s="1235"/>
      <c r="I545" s="415" t="s">
        <v>640</v>
      </c>
    </row>
    <row r="546" spans="1:9">
      <c r="A546" s="412"/>
      <c r="B546" s="412"/>
      <c r="C546" s="412"/>
      <c r="D546" s="1235"/>
      <c r="E546" s="1235"/>
      <c r="F546" s="1235"/>
      <c r="I546" s="415"/>
    </row>
    <row r="547" spans="1:9">
      <c r="A547" s="412"/>
      <c r="B547" s="412"/>
      <c r="C547" s="412"/>
      <c r="D547" s="372"/>
      <c r="E547" s="372"/>
      <c r="F547" s="372"/>
      <c r="I547" s="415"/>
    </row>
    <row r="548" spans="1:9" ht="14.4">
      <c r="A548" s="409"/>
      <c r="B548" s="410" t="s">
        <v>2796</v>
      </c>
      <c r="C548" s="412"/>
      <c r="D548" s="1235" t="s">
        <v>419</v>
      </c>
      <c r="E548" s="1235"/>
      <c r="F548" s="1235"/>
      <c r="I548" s="415" t="s">
        <v>641</v>
      </c>
    </row>
    <row r="549" spans="1:9">
      <c r="A549" s="412"/>
      <c r="B549" s="412"/>
      <c r="C549" s="412"/>
      <c r="D549" s="1235"/>
      <c r="E549" s="1235"/>
      <c r="F549" s="1235"/>
      <c r="I549" s="415"/>
    </row>
    <row r="550" spans="1:9">
      <c r="A550" s="412"/>
      <c r="B550" s="412"/>
      <c r="C550" s="412"/>
      <c r="D550" s="372"/>
      <c r="E550" s="372"/>
      <c r="F550" s="372"/>
      <c r="I550" s="415"/>
    </row>
    <row r="551" spans="1:9" ht="14.4">
      <c r="A551" s="409"/>
      <c r="B551" s="410" t="s">
        <v>2796</v>
      </c>
      <c r="C551" s="412"/>
      <c r="D551" s="1235" t="s">
        <v>420</v>
      </c>
      <c r="E551" s="1235"/>
      <c r="F551" s="1235"/>
      <c r="I551" s="415" t="s">
        <v>642</v>
      </c>
    </row>
    <row r="552" spans="1:9">
      <c r="A552" s="412"/>
      <c r="B552" s="412"/>
      <c r="C552" s="412"/>
      <c r="D552" s="1235"/>
      <c r="E552" s="1235"/>
      <c r="F552" s="1235"/>
      <c r="I552" s="415"/>
    </row>
    <row r="553" spans="1:9">
      <c r="A553" s="412"/>
      <c r="B553" s="412"/>
      <c r="C553" s="412"/>
      <c r="D553" s="372"/>
      <c r="E553" s="372"/>
      <c r="F553" s="372"/>
      <c r="I553" s="415"/>
    </row>
    <row r="554" spans="1:9" ht="14.4">
      <c r="A554" s="409"/>
      <c r="B554" s="410" t="s">
        <v>2796</v>
      </c>
      <c r="C554" s="412"/>
      <c r="D554" s="1235" t="s">
        <v>421</v>
      </c>
      <c r="E554" s="1235"/>
      <c r="F554" s="1235"/>
      <c r="I554" s="415" t="s">
        <v>643</v>
      </c>
    </row>
    <row r="555" spans="1:9">
      <c r="A555" s="412"/>
      <c r="B555" s="412"/>
      <c r="C555" s="412"/>
      <c r="D555" s="1235"/>
      <c r="E555" s="1235"/>
      <c r="F555" s="1235"/>
      <c r="I555" s="415"/>
    </row>
    <row r="556" spans="1:9">
      <c r="A556" s="412"/>
      <c r="B556" s="412"/>
      <c r="C556" s="412"/>
      <c r="D556" s="1235"/>
      <c r="E556" s="1235"/>
      <c r="F556" s="1235"/>
      <c r="I556" s="415"/>
    </row>
    <row r="557" spans="1:9">
      <c r="A557" s="412"/>
      <c r="B557" s="412"/>
      <c r="C557" s="412"/>
      <c r="D557" s="372"/>
      <c r="E557" s="372"/>
      <c r="F557" s="372"/>
      <c r="I557" s="415"/>
    </row>
    <row r="558" spans="1:9" ht="14.4">
      <c r="A558" s="409"/>
      <c r="B558" s="410" t="s">
        <v>528</v>
      </c>
      <c r="C558" s="412"/>
      <c r="D558" s="1235" t="s">
        <v>422</v>
      </c>
      <c r="E558" s="1235"/>
      <c r="F558" s="1235"/>
      <c r="I558" s="415" t="s">
        <v>640</v>
      </c>
    </row>
    <row r="559" spans="1:9">
      <c r="A559" s="412"/>
      <c r="B559" s="412"/>
      <c r="C559" s="412"/>
      <c r="D559" s="1235"/>
      <c r="E559" s="1235"/>
      <c r="F559" s="1235"/>
      <c r="I559" s="415"/>
    </row>
    <row r="560" spans="1:9">
      <c r="A560" s="412"/>
      <c r="B560" s="412"/>
      <c r="C560" s="412"/>
      <c r="D560" s="372"/>
      <c r="E560" s="372"/>
      <c r="F560" s="372"/>
      <c r="I560" s="415"/>
    </row>
    <row r="561" spans="1:9" ht="14.4">
      <c r="A561" s="409"/>
      <c r="B561" s="410" t="s">
        <v>2796</v>
      </c>
      <c r="C561" s="412"/>
      <c r="D561" s="1235" t="s">
        <v>424</v>
      </c>
      <c r="E561" s="1235"/>
      <c r="F561" s="1235"/>
      <c r="I561" s="415" t="s">
        <v>640</v>
      </c>
    </row>
    <row r="562" spans="1:9">
      <c r="A562" s="412"/>
      <c r="B562" s="412"/>
      <c r="C562" s="412"/>
      <c r="D562" s="1235"/>
      <c r="E562" s="1235"/>
      <c r="F562" s="1235"/>
      <c r="I562" s="415"/>
    </row>
    <row r="563" spans="1:9">
      <c r="A563" s="412"/>
      <c r="B563" s="412"/>
      <c r="C563" s="412"/>
      <c r="D563" s="372"/>
      <c r="E563" s="372"/>
      <c r="F563" s="372"/>
      <c r="I563" s="415"/>
    </row>
    <row r="564" spans="1:9" ht="14.4">
      <c r="A564" s="409"/>
      <c r="B564" s="410" t="s">
        <v>2796</v>
      </c>
      <c r="C564" s="412"/>
      <c r="D564" s="1262" t="s">
        <v>425</v>
      </c>
      <c r="E564" s="1262"/>
      <c r="F564" s="1262"/>
      <c r="I564" s="415" t="s">
        <v>644</v>
      </c>
    </row>
    <row r="565" spans="1:9">
      <c r="A565" s="415"/>
      <c r="B565" s="415"/>
      <c r="C565" s="412"/>
      <c r="D565" s="1262" t="s">
        <v>645</v>
      </c>
      <c r="E565" s="1262"/>
      <c r="F565" s="1262"/>
      <c r="I565" s="415"/>
    </row>
    <row r="566" spans="1:9">
      <c r="A566" s="415"/>
      <c r="B566" s="415"/>
      <c r="C566" s="412"/>
      <c r="E566" s="72" t="s">
        <v>646</v>
      </c>
      <c r="F566" s="328"/>
      <c r="I566" s="415"/>
    </row>
    <row r="567" spans="1:9" ht="14.4">
      <c r="A567" s="409"/>
      <c r="B567" s="409"/>
      <c r="C567" s="412"/>
      <c r="E567" s="372"/>
      <c r="F567" s="372"/>
      <c r="I567" s="415"/>
    </row>
    <row r="568" spans="1:9" ht="14.4">
      <c r="A568" s="409"/>
      <c r="B568" s="410" t="s">
        <v>2796</v>
      </c>
      <c r="C568" s="412"/>
      <c r="D568" s="1262" t="s">
        <v>428</v>
      </c>
      <c r="E568" s="1262"/>
      <c r="F568" s="1262"/>
      <c r="I568" s="415" t="s">
        <v>647</v>
      </c>
    </row>
    <row r="569" spans="1:9">
      <c r="C569" s="412"/>
      <c r="D569" s="1235" t="s">
        <v>429</v>
      </c>
      <c r="E569" s="1235"/>
      <c r="F569" s="1235"/>
      <c r="I569" s="415"/>
    </row>
    <row r="570" spans="1:9">
      <c r="A570" s="412"/>
      <c r="B570" s="412"/>
      <c r="C570" s="412"/>
      <c r="D570" s="1235"/>
      <c r="E570" s="1235"/>
      <c r="F570" s="1235"/>
      <c r="I570" s="415"/>
    </row>
    <row r="571" spans="1:9">
      <c r="A571" s="412"/>
      <c r="B571" s="412"/>
      <c r="C571" s="412"/>
      <c r="D571" s="1235"/>
      <c r="E571" s="1235"/>
      <c r="F571" s="1235"/>
      <c r="I571" s="415"/>
    </row>
    <row r="572" spans="1:9">
      <c r="A572" s="412"/>
      <c r="B572" s="412"/>
      <c r="C572" s="412"/>
      <c r="D572" s="372"/>
      <c r="E572" s="372"/>
      <c r="F572" s="372"/>
      <c r="I572" s="415"/>
    </row>
    <row r="573" spans="1:9" ht="14.4">
      <c r="A573" s="409"/>
      <c r="B573" s="410" t="s">
        <v>2796</v>
      </c>
      <c r="C573" s="412"/>
      <c r="D573" s="1235" t="s">
        <v>648</v>
      </c>
      <c r="E573" s="1235"/>
      <c r="F573" s="1235"/>
      <c r="I573" s="415" t="s">
        <v>649</v>
      </c>
    </row>
    <row r="574" spans="1:9" ht="14.4">
      <c r="A574" s="409"/>
      <c r="B574" s="409"/>
      <c r="C574" s="412"/>
      <c r="D574" s="1235"/>
      <c r="E574" s="1235"/>
      <c r="F574" s="1235"/>
      <c r="I574" s="415"/>
    </row>
    <row r="575" spans="1:9" ht="14.4">
      <c r="A575" s="409"/>
      <c r="B575" s="409"/>
      <c r="C575" s="412"/>
      <c r="D575" s="1235"/>
      <c r="E575" s="1235"/>
      <c r="F575" s="1235"/>
      <c r="I575" s="415"/>
    </row>
    <row r="576" spans="1:9" ht="14.4">
      <c r="A576" s="409"/>
      <c r="B576" s="409"/>
      <c r="C576" s="412"/>
      <c r="D576" s="1235"/>
      <c r="E576" s="1235"/>
      <c r="F576" s="1235"/>
      <c r="I576" s="415"/>
    </row>
    <row r="577" spans="1:9" ht="14.4">
      <c r="A577" s="409"/>
      <c r="B577" s="409"/>
      <c r="C577" s="412"/>
      <c r="D577" s="372"/>
      <c r="E577" s="372"/>
      <c r="F577" s="372"/>
      <c r="I577" s="415"/>
    </row>
    <row r="578" spans="1:9">
      <c r="A578" s="1241" t="s">
        <v>431</v>
      </c>
      <c r="B578" s="1241"/>
      <c r="C578" s="1241"/>
      <c r="D578" s="1241"/>
      <c r="E578" s="1241"/>
      <c r="F578" s="1241"/>
      <c r="G578" s="1241"/>
      <c r="H578" s="944"/>
      <c r="I578" s="1135"/>
    </row>
    <row r="579" spans="1:9">
      <c r="A579" s="412"/>
      <c r="B579" s="412"/>
      <c r="C579" s="412"/>
      <c r="E579" s="372"/>
      <c r="F579" s="372"/>
      <c r="I579" s="415"/>
    </row>
    <row r="580" spans="1:9" ht="12.75" customHeight="1">
      <c r="C580" s="407"/>
      <c r="D580" s="1261" t="s">
        <v>432</v>
      </c>
      <c r="E580" s="1261"/>
      <c r="F580" s="1261"/>
      <c r="I580" s="415"/>
    </row>
    <row r="581" spans="1:9">
      <c r="A581" s="408"/>
      <c r="B581" s="408"/>
      <c r="C581" s="408"/>
      <c r="D581" s="1255" t="s">
        <v>433</v>
      </c>
      <c r="E581" s="1255"/>
      <c r="F581" s="1255"/>
      <c r="I581" s="415"/>
    </row>
    <row r="582" spans="1:9">
      <c r="A582" s="326"/>
      <c r="B582" s="326"/>
      <c r="C582" s="408"/>
      <c r="D582" s="424"/>
      <c r="I582" s="415" t="s">
        <v>650</v>
      </c>
    </row>
    <row r="583" spans="1:9">
      <c r="A583" s="408"/>
      <c r="B583" s="410" t="s">
        <v>2796</v>
      </c>
      <c r="D583" s="1255" t="s">
        <v>434</v>
      </c>
      <c r="E583" s="1255"/>
      <c r="F583" s="1255"/>
      <c r="I583" s="415"/>
    </row>
    <row r="584" spans="1:9">
      <c r="A584" s="415"/>
      <c r="B584" s="415"/>
      <c r="D584" s="401"/>
      <c r="I584" s="415"/>
    </row>
    <row r="585" spans="1:9">
      <c r="A585" s="415"/>
      <c r="B585" s="410" t="s">
        <v>2796</v>
      </c>
      <c r="D585" s="1255" t="s">
        <v>651</v>
      </c>
      <c r="E585" s="1255"/>
      <c r="F585" s="1255"/>
      <c r="I585" s="415" t="s">
        <v>652</v>
      </c>
    </row>
    <row r="586" spans="1:9">
      <c r="A586" s="415"/>
      <c r="B586" s="415"/>
      <c r="D586" s="1255"/>
      <c r="E586" s="1255"/>
      <c r="F586" s="1255"/>
      <c r="I586" s="415" t="s">
        <v>653</v>
      </c>
    </row>
    <row r="587" spans="1:9">
      <c r="A587" s="415"/>
      <c r="B587" s="415"/>
      <c r="D587" s="1255"/>
      <c r="E587" s="1255"/>
      <c r="F587" s="1255"/>
      <c r="I587" s="415"/>
    </row>
    <row r="588" spans="1:9">
      <c r="A588" s="415"/>
      <c r="B588" s="415"/>
      <c r="D588" s="1255"/>
      <c r="E588" s="1255"/>
      <c r="F588" s="1255"/>
      <c r="I588" s="415"/>
    </row>
    <row r="589" spans="1:9">
      <c r="A589" s="415"/>
      <c r="B589" s="410" t="s">
        <v>528</v>
      </c>
      <c r="D589" s="1255" t="s">
        <v>436</v>
      </c>
      <c r="E589" s="1255"/>
      <c r="F589" s="1255"/>
      <c r="I589" s="415"/>
    </row>
    <row r="590" spans="1:9">
      <c r="A590" s="415"/>
      <c r="B590" s="415"/>
      <c r="D590" s="1255"/>
      <c r="E590" s="1255"/>
      <c r="F590" s="1255"/>
      <c r="I590" s="415"/>
    </row>
    <row r="591" spans="1:9">
      <c r="A591" s="415"/>
      <c r="B591" s="415"/>
      <c r="D591" s="1255"/>
      <c r="E591" s="1255"/>
      <c r="F591" s="1255"/>
      <c r="I591" s="415"/>
    </row>
    <row r="592" spans="1:9">
      <c r="A592" s="415"/>
      <c r="B592" s="415"/>
      <c r="D592" s="1255"/>
      <c r="E592" s="1255"/>
      <c r="F592" s="1255"/>
      <c r="I592" s="415"/>
    </row>
    <row r="593" spans="1:9">
      <c r="A593" s="415"/>
      <c r="B593" s="415"/>
      <c r="D593" s="366"/>
      <c r="E593" s="366"/>
      <c r="F593" s="366"/>
      <c r="I593" s="415"/>
    </row>
    <row r="594" spans="1:9">
      <c r="A594" s="415"/>
      <c r="B594" s="410" t="s">
        <v>2796</v>
      </c>
      <c r="D594" s="1255" t="s">
        <v>654</v>
      </c>
      <c r="E594" s="1255"/>
      <c r="F594" s="1255"/>
      <c r="I594" s="415"/>
    </row>
    <row r="595" spans="1:9">
      <c r="A595" s="415"/>
      <c r="B595" s="415"/>
      <c r="D595" s="1255"/>
      <c r="E595" s="1255"/>
      <c r="F595" s="1255"/>
      <c r="I595" s="415"/>
    </row>
    <row r="596" spans="1:9">
      <c r="A596" s="415"/>
      <c r="B596" s="415"/>
      <c r="D596" s="424"/>
      <c r="I596" s="415"/>
    </row>
    <row r="597" spans="1:9">
      <c r="A597" s="415"/>
      <c r="B597" s="410" t="s">
        <v>528</v>
      </c>
      <c r="D597" s="1255" t="s">
        <v>438</v>
      </c>
      <c r="E597" s="1255"/>
      <c r="F597" s="1255"/>
      <c r="I597" s="415" t="s">
        <v>655</v>
      </c>
    </row>
    <row r="598" spans="1:9">
      <c r="A598" s="415"/>
      <c r="B598" s="415"/>
      <c r="D598" s="1255"/>
      <c r="E598" s="1255"/>
      <c r="F598" s="1255"/>
      <c r="I598" s="415"/>
    </row>
    <row r="599" spans="1:9" ht="14.4">
      <c r="A599" s="409"/>
      <c r="B599" s="409"/>
      <c r="D599" s="424"/>
      <c r="I599" s="415"/>
    </row>
    <row r="600" spans="1:9">
      <c r="A600" s="1241" t="s">
        <v>441</v>
      </c>
      <c r="B600" s="1241"/>
      <c r="C600" s="1241"/>
      <c r="D600" s="1241"/>
      <c r="E600" s="1241"/>
      <c r="F600" s="1241"/>
      <c r="G600" s="1241"/>
      <c r="H600" s="944"/>
      <c r="I600" s="1135"/>
    </row>
    <row r="601" spans="1:9">
      <c r="I601" s="415"/>
    </row>
    <row r="602" spans="1:9">
      <c r="D602" s="1233" t="s">
        <v>442</v>
      </c>
      <c r="E602" s="1233"/>
      <c r="F602" s="1233"/>
      <c r="I602" s="415"/>
    </row>
    <row r="603" spans="1:9">
      <c r="D603" s="1234" t="s">
        <v>443</v>
      </c>
      <c r="E603" s="1234"/>
      <c r="F603" s="1234"/>
      <c r="I603" s="415"/>
    </row>
    <row r="604" spans="1:9">
      <c r="D604" s="370"/>
      <c r="I604" s="415"/>
    </row>
    <row r="605" spans="1:9" ht="14.25" customHeight="1">
      <c r="A605" s="409"/>
      <c r="B605" s="410" t="s">
        <v>2796</v>
      </c>
      <c r="D605" s="1296" t="s">
        <v>656</v>
      </c>
      <c r="E605" s="1296"/>
      <c r="F605" s="1296"/>
      <c r="I605" s="415" t="s">
        <v>657</v>
      </c>
    </row>
    <row r="606" spans="1:9">
      <c r="D606" s="1296"/>
      <c r="E606" s="1296"/>
      <c r="F606" s="1296"/>
      <c r="I606" s="415"/>
    </row>
    <row r="607" spans="1:9">
      <c r="D607" s="309"/>
      <c r="E607" s="952" t="s">
        <v>658</v>
      </c>
      <c r="F607" s="309"/>
      <c r="I607" s="415"/>
    </row>
    <row r="608" spans="1:9">
      <c r="I608" s="415"/>
    </row>
    <row r="609" spans="1:9">
      <c r="A609" s="1241" t="s">
        <v>445</v>
      </c>
      <c r="B609" s="1241"/>
      <c r="C609" s="1241"/>
      <c r="D609" s="1241"/>
      <c r="E609" s="1241"/>
      <c r="F609" s="1241"/>
      <c r="G609" s="1241"/>
      <c r="H609" s="944"/>
      <c r="I609" s="1135"/>
    </row>
    <row r="610" spans="1:9">
      <c r="A610" s="372"/>
      <c r="B610" s="372"/>
      <c r="I610" s="415"/>
    </row>
    <row r="611" spans="1:9">
      <c r="A611" s="407"/>
      <c r="B611" s="407"/>
      <c r="C611" s="407"/>
      <c r="D611" s="1236" t="s">
        <v>446</v>
      </c>
      <c r="E611" s="1236"/>
      <c r="F611" s="1236"/>
      <c r="I611" s="415"/>
    </row>
    <row r="612" spans="1:9">
      <c r="A612" s="407"/>
      <c r="B612" s="407"/>
      <c r="C612" s="407"/>
      <c r="D612" s="1236"/>
      <c r="E612" s="1236"/>
      <c r="F612" s="1236"/>
      <c r="I612" s="415"/>
    </row>
    <row r="613" spans="1:9">
      <c r="C613" s="408"/>
      <c r="D613" s="1234" t="s">
        <v>447</v>
      </c>
      <c r="E613" s="1234"/>
      <c r="F613" s="1234"/>
      <c r="I613" s="415"/>
    </row>
    <row r="614" spans="1:9">
      <c r="C614" s="408"/>
      <c r="D614" s="370"/>
      <c r="E614" s="370"/>
      <c r="F614" s="370"/>
      <c r="I614" s="415"/>
    </row>
    <row r="615" spans="1:9" ht="12.75" customHeight="1">
      <c r="A615" s="415"/>
      <c r="B615" s="410" t="s">
        <v>2796</v>
      </c>
      <c r="D615" s="1237" t="s">
        <v>449</v>
      </c>
      <c r="E615" s="1237"/>
      <c r="F615" s="1237"/>
      <c r="I615" s="415" t="s">
        <v>659</v>
      </c>
    </row>
    <row r="616" spans="1:9">
      <c r="D616" s="1237"/>
      <c r="E616" s="1237"/>
      <c r="F616" s="1237"/>
      <c r="I616" s="415"/>
    </row>
    <row r="617" spans="1:9">
      <c r="I617" s="415"/>
    </row>
    <row r="618" spans="1:9">
      <c r="B618" s="410" t="s">
        <v>2796</v>
      </c>
      <c r="D618" s="1237" t="s">
        <v>450</v>
      </c>
      <c r="E618" s="1237"/>
      <c r="F618" s="1237"/>
      <c r="I618" s="415" t="s">
        <v>660</v>
      </c>
    </row>
    <row r="619" spans="1:9">
      <c r="C619" s="425"/>
      <c r="D619" s="1237"/>
      <c r="E619" s="1237"/>
      <c r="F619" s="1237"/>
      <c r="I619" s="415"/>
    </row>
    <row r="620" spans="1:9">
      <c r="C620" s="425"/>
      <c r="I620" s="415"/>
    </row>
    <row r="621" spans="1:9">
      <c r="B621" s="410" t="s">
        <v>528</v>
      </c>
      <c r="C621" s="425"/>
      <c r="D621" s="1237" t="s">
        <v>451</v>
      </c>
      <c r="E621" s="1237"/>
      <c r="F621" s="1237"/>
      <c r="I621" s="415" t="s">
        <v>661</v>
      </c>
    </row>
    <row r="622" spans="1:9">
      <c r="C622" s="425"/>
      <c r="D622" s="1237"/>
      <c r="E622" s="1237"/>
      <c r="F622" s="1237"/>
      <c r="I622" s="425" t="s">
        <v>662</v>
      </c>
    </row>
    <row r="623" spans="1:9">
      <c r="C623" s="425"/>
      <c r="I623" s="415"/>
    </row>
    <row r="624" spans="1:9">
      <c r="A624" s="1241" t="s">
        <v>452</v>
      </c>
      <c r="B624" s="1241"/>
      <c r="C624" s="1241"/>
      <c r="D624" s="1241"/>
      <c r="E624" s="1241"/>
      <c r="F624" s="1241"/>
      <c r="G624" s="1241"/>
      <c r="H624" s="944"/>
      <c r="I624" s="1135"/>
    </row>
    <row r="625" spans="1:9">
      <c r="A625" s="407"/>
      <c r="B625" s="407"/>
      <c r="C625" s="407"/>
      <c r="I625" s="415"/>
    </row>
    <row r="626" spans="1:9">
      <c r="C626" s="415"/>
      <c r="D626" s="1233" t="s">
        <v>453</v>
      </c>
      <c r="E626" s="1233"/>
      <c r="F626" s="1233"/>
      <c r="I626" s="415"/>
    </row>
    <row r="627" spans="1:9">
      <c r="A627" s="415"/>
      <c r="B627" s="415"/>
      <c r="D627" s="328"/>
      <c r="I627" s="415"/>
    </row>
    <row r="628" spans="1:9" ht="14.25" customHeight="1">
      <c r="A628" s="409"/>
      <c r="B628" s="410" t="s">
        <v>2796</v>
      </c>
      <c r="D628" s="1296" t="s">
        <v>663</v>
      </c>
      <c r="E628" s="1296"/>
      <c r="F628" s="1296"/>
      <c r="I628" s="415" t="s">
        <v>664</v>
      </c>
    </row>
    <row r="629" spans="1:9">
      <c r="D629" s="1296"/>
      <c r="E629" s="1296"/>
      <c r="F629" s="1296"/>
      <c r="I629" s="415"/>
    </row>
    <row r="630" spans="1:9">
      <c r="D630" s="309"/>
      <c r="E630" s="952" t="s">
        <v>665</v>
      </c>
      <c r="F630" s="309"/>
      <c r="I630" s="415"/>
    </row>
    <row r="631" spans="1:9">
      <c r="D631" s="1235" t="s">
        <v>666</v>
      </c>
      <c r="E631" s="1235"/>
      <c r="F631" s="1235"/>
      <c r="I631" s="415"/>
    </row>
    <row r="632" spans="1:9">
      <c r="D632" s="1235"/>
      <c r="E632" s="1235"/>
      <c r="F632" s="1235"/>
      <c r="I632" s="415"/>
    </row>
    <row r="633" spans="1:9">
      <c r="D633" s="1235"/>
      <c r="E633" s="1235"/>
      <c r="F633" s="1235"/>
      <c r="I633" s="415"/>
    </row>
    <row r="634" spans="1:9">
      <c r="D634" s="371"/>
      <c r="E634" s="371"/>
      <c r="F634" s="371"/>
      <c r="I634" s="415"/>
    </row>
    <row r="635" spans="1:9" ht="14.4">
      <c r="A635" s="409"/>
      <c r="B635" s="410" t="s">
        <v>528</v>
      </c>
      <c r="D635" s="1235" t="s">
        <v>455</v>
      </c>
      <c r="E635" s="1235"/>
      <c r="F635" s="1235"/>
      <c r="I635" s="415" t="s">
        <v>667</v>
      </c>
    </row>
    <row r="636" spans="1:9">
      <c r="A636" s="412"/>
      <c r="B636" s="412"/>
      <c r="C636" s="412"/>
      <c r="D636" s="1235"/>
      <c r="E636" s="1235"/>
      <c r="F636" s="1235"/>
      <c r="I636" s="415"/>
    </row>
    <row r="637" spans="1:9">
      <c r="A637" s="412"/>
      <c r="B637" s="412"/>
      <c r="C637" s="412"/>
      <c r="D637" s="372"/>
      <c r="E637" s="372"/>
      <c r="F637" s="372"/>
      <c r="I637" s="415"/>
    </row>
    <row r="638" spans="1:9" ht="14.4">
      <c r="A638" s="409"/>
      <c r="B638" s="410" t="s">
        <v>528</v>
      </c>
      <c r="C638" s="412"/>
      <c r="D638" s="1235" t="s">
        <v>668</v>
      </c>
      <c r="E638" s="1235"/>
      <c r="F638" s="1235"/>
      <c r="I638" s="415" t="s">
        <v>669</v>
      </c>
    </row>
    <row r="639" spans="1:9" ht="14.4">
      <c r="A639" s="409"/>
      <c r="B639" s="409"/>
      <c r="C639" s="412"/>
      <c r="D639" s="1235"/>
      <c r="E639" s="1235"/>
      <c r="F639" s="1235"/>
      <c r="I639" s="415"/>
    </row>
    <row r="640" spans="1:9" ht="14.4">
      <c r="A640" s="409"/>
      <c r="B640" s="409"/>
      <c r="C640" s="412"/>
      <c r="D640" s="1235"/>
      <c r="E640" s="1235"/>
      <c r="F640" s="1235"/>
      <c r="I640" s="415"/>
    </row>
    <row r="641" spans="1:9">
      <c r="A641" s="412"/>
      <c r="B641" s="410" t="s">
        <v>528</v>
      </c>
      <c r="C641" s="412"/>
      <c r="D641" s="1262" t="s">
        <v>457</v>
      </c>
      <c r="E641" s="1262"/>
      <c r="F641" s="1262"/>
      <c r="I641" s="415" t="s">
        <v>669</v>
      </c>
    </row>
    <row r="642" spans="1:9">
      <c r="A642" s="412"/>
      <c r="B642" s="412"/>
      <c r="C642" s="412"/>
      <c r="D642" s="372"/>
      <c r="E642" s="372"/>
      <c r="F642" s="372"/>
      <c r="I642" s="415"/>
    </row>
    <row r="643" spans="1:9">
      <c r="A643" s="1241" t="s">
        <v>458</v>
      </c>
      <c r="B643" s="1241"/>
      <c r="C643" s="1241"/>
      <c r="D643" s="1241"/>
      <c r="E643" s="1241"/>
      <c r="F643" s="1241"/>
      <c r="G643" s="1241"/>
      <c r="H643" s="944"/>
      <c r="I643" s="1135"/>
    </row>
    <row r="644" spans="1:9">
      <c r="A644" s="372"/>
      <c r="B644" s="372"/>
      <c r="C644" s="412"/>
      <c r="D644" s="372"/>
      <c r="E644" s="372"/>
      <c r="F644" s="372"/>
      <c r="I644" s="415"/>
    </row>
    <row r="645" spans="1:9">
      <c r="C645" s="407"/>
      <c r="D645" s="1233" t="s">
        <v>459</v>
      </c>
      <c r="E645" s="1233"/>
      <c r="F645" s="1233"/>
      <c r="I645" s="415"/>
    </row>
    <row r="646" spans="1:9">
      <c r="A646" s="408"/>
      <c r="B646" s="408"/>
      <c r="C646" s="408"/>
      <c r="D646" s="1262" t="s">
        <v>460</v>
      </c>
      <c r="E646" s="1262"/>
      <c r="F646" s="1262"/>
      <c r="I646" s="415"/>
    </row>
    <row r="647" spans="1:9">
      <c r="A647" s="408"/>
      <c r="B647" s="408"/>
      <c r="C647" s="408"/>
      <c r="D647" s="372"/>
      <c r="E647" s="372"/>
      <c r="F647" s="372"/>
      <c r="I647" s="415"/>
    </row>
    <row r="648" spans="1:9" ht="12.75" customHeight="1">
      <c r="B648" s="410" t="s">
        <v>2796</v>
      </c>
      <c r="C648" s="412"/>
      <c r="D648" s="1235" t="s">
        <v>670</v>
      </c>
      <c r="E648" s="1235"/>
      <c r="F648" s="1235"/>
      <c r="I648" s="415" t="s">
        <v>671</v>
      </c>
    </row>
    <row r="649" spans="1:9">
      <c r="D649" s="1235"/>
      <c r="E649" s="1235"/>
      <c r="F649" s="1235"/>
      <c r="I649" s="415"/>
    </row>
    <row r="650" spans="1:9">
      <c r="D650" s="1235"/>
      <c r="E650" s="1235"/>
      <c r="F650" s="1235"/>
      <c r="I650" s="415"/>
    </row>
    <row r="651" spans="1:9">
      <c r="D651" s="1235"/>
      <c r="E651" s="1235"/>
      <c r="F651" s="1235"/>
      <c r="I651" s="415"/>
    </row>
    <row r="652" spans="1:9" ht="14.7" customHeight="1">
      <c r="A652" s="409"/>
      <c r="B652" s="409"/>
      <c r="C652" s="412"/>
      <c r="D652" s="309"/>
      <c r="E652" s="309"/>
      <c r="F652" s="309"/>
      <c r="I652" s="415"/>
    </row>
    <row r="653" spans="1:9" ht="12.75" customHeight="1">
      <c r="A653" s="408"/>
      <c r="B653" s="410" t="s">
        <v>2796</v>
      </c>
      <c r="C653" s="412"/>
      <c r="D653" s="1235" t="s">
        <v>672</v>
      </c>
      <c r="E653" s="1235"/>
      <c r="F653" s="1235"/>
      <c r="I653" s="415" t="s">
        <v>671</v>
      </c>
    </row>
    <row r="654" spans="1:9" ht="14.4">
      <c r="A654" s="408"/>
      <c r="B654" s="409"/>
      <c r="C654" s="412"/>
      <c r="D654" s="1235"/>
      <c r="E654" s="1235"/>
      <c r="F654" s="1235"/>
      <c r="I654" s="415"/>
    </row>
    <row r="655" spans="1:9" ht="14.4">
      <c r="A655" s="408"/>
      <c r="B655" s="409"/>
      <c r="C655" s="412"/>
      <c r="D655" s="1235"/>
      <c r="E655" s="1235"/>
      <c r="F655" s="1235"/>
      <c r="I655" s="415"/>
    </row>
    <row r="656" spans="1:9" ht="14.4">
      <c r="A656" s="408"/>
      <c r="B656" s="409"/>
      <c r="C656" s="412"/>
      <c r="D656" s="1235"/>
      <c r="E656" s="1235"/>
      <c r="F656" s="1235"/>
      <c r="I656" s="415"/>
    </row>
    <row r="657" spans="1:9" ht="14.4">
      <c r="A657" s="408"/>
      <c r="B657" s="409"/>
      <c r="C657" s="412"/>
      <c r="D657" s="1235"/>
      <c r="E657" s="1235"/>
      <c r="F657" s="1235"/>
      <c r="I657" s="415"/>
    </row>
    <row r="658" spans="1:9" ht="14.25" customHeight="1">
      <c r="A658" s="408"/>
      <c r="B658" s="409"/>
      <c r="C658" s="412"/>
      <c r="F658" s="310"/>
      <c r="I658" s="415"/>
    </row>
    <row r="659" spans="1:9" ht="12.75" customHeight="1">
      <c r="A659" s="408"/>
      <c r="B659" s="410" t="s">
        <v>2796</v>
      </c>
      <c r="C659" s="412"/>
      <c r="D659" s="1235" t="s">
        <v>673</v>
      </c>
      <c r="E659" s="1235"/>
      <c r="F659" s="1235"/>
      <c r="I659" s="415" t="s">
        <v>671</v>
      </c>
    </row>
    <row r="660" spans="1:9" ht="14.4">
      <c r="A660" s="408"/>
      <c r="B660" s="409"/>
      <c r="C660" s="412"/>
      <c r="D660" s="1235"/>
      <c r="E660" s="1235"/>
      <c r="F660" s="1235"/>
      <c r="I660" s="415"/>
    </row>
    <row r="661" spans="1:9" ht="14.4">
      <c r="A661" s="409"/>
      <c r="B661" s="409"/>
      <c r="C661" s="412"/>
      <c r="D661" s="1235"/>
      <c r="E661" s="1235"/>
      <c r="F661" s="1235"/>
      <c r="I661" s="415"/>
    </row>
    <row r="662" spans="1:9" ht="14.4">
      <c r="A662" s="409"/>
      <c r="B662" s="409"/>
      <c r="C662" s="412"/>
      <c r="D662" s="1235"/>
      <c r="E662" s="1235"/>
      <c r="F662" s="1235"/>
      <c r="I662" s="415"/>
    </row>
    <row r="663" spans="1:9" ht="14.4">
      <c r="A663" s="409"/>
      <c r="B663" s="409"/>
      <c r="C663" s="412"/>
      <c r="D663" s="371"/>
      <c r="E663" s="371"/>
      <c r="F663" s="371"/>
      <c r="I663" s="415"/>
    </row>
    <row r="664" spans="1:9" ht="12.75" customHeight="1">
      <c r="A664" s="408"/>
      <c r="B664" s="410" t="s">
        <v>528</v>
      </c>
      <c r="C664" s="412"/>
      <c r="D664" s="1235" t="s">
        <v>674</v>
      </c>
      <c r="E664" s="1235"/>
      <c r="F664" s="1235"/>
      <c r="I664" s="415" t="s">
        <v>671</v>
      </c>
    </row>
    <row r="665" spans="1:9" ht="12.75" customHeight="1">
      <c r="A665" s="408"/>
      <c r="B665" s="409"/>
      <c r="C665" s="412"/>
      <c r="D665" s="1235"/>
      <c r="E665" s="1235"/>
      <c r="F665" s="1235"/>
      <c r="I665" s="415"/>
    </row>
    <row r="666" spans="1:9" ht="12.75" customHeight="1">
      <c r="A666" s="408"/>
      <c r="B666" s="409"/>
      <c r="C666" s="412"/>
      <c r="D666" s="1235"/>
      <c r="E666" s="1235"/>
      <c r="F666" s="1235"/>
      <c r="I666" s="415"/>
    </row>
    <row r="667" spans="1:9" ht="12.75" customHeight="1">
      <c r="A667" s="408"/>
      <c r="B667" s="409"/>
      <c r="C667" s="412"/>
      <c r="D667" s="1235"/>
      <c r="E667" s="1235"/>
      <c r="F667" s="1235"/>
      <c r="I667" s="415"/>
    </row>
    <row r="668" spans="1:9" ht="12.75" customHeight="1">
      <c r="A668" s="408"/>
      <c r="B668" s="409"/>
      <c r="C668" s="412"/>
      <c r="D668" s="1235"/>
      <c r="E668" s="1235"/>
      <c r="F668" s="1235"/>
      <c r="I668" s="415"/>
    </row>
    <row r="669" spans="1:9" ht="12.75" customHeight="1">
      <c r="A669" s="408"/>
      <c r="B669" s="409"/>
      <c r="C669" s="412"/>
      <c r="D669" s="1235"/>
      <c r="E669" s="1235"/>
      <c r="F669" s="1235"/>
      <c r="I669" s="415"/>
    </row>
    <row r="670" spans="1:9" ht="12.75" customHeight="1">
      <c r="A670" s="408"/>
      <c r="B670" s="409"/>
      <c r="C670" s="412"/>
      <c r="D670" s="1235"/>
      <c r="E670" s="1235"/>
      <c r="F670" s="1235"/>
      <c r="I670" s="415"/>
    </row>
    <row r="671" spans="1:9" ht="12.75" customHeight="1">
      <c r="A671" s="408"/>
      <c r="B671" s="409"/>
      <c r="C671" s="412"/>
      <c r="D671" s="1235"/>
      <c r="E671" s="1235"/>
      <c r="F671" s="1235"/>
      <c r="I671" s="415"/>
    </row>
    <row r="672" spans="1:9" ht="12.75" customHeight="1">
      <c r="A672" s="408"/>
      <c r="B672" s="409"/>
      <c r="C672" s="412"/>
      <c r="D672" s="1235"/>
      <c r="E672" s="1235"/>
      <c r="F672" s="1235"/>
      <c r="I672" s="415"/>
    </row>
    <row r="673" spans="1:11">
      <c r="A673" s="412"/>
      <c r="B673" s="412"/>
      <c r="C673" s="412"/>
      <c r="D673" s="372"/>
      <c r="E673" s="372"/>
      <c r="F673" s="372"/>
      <c r="I673" s="415"/>
    </row>
    <row r="674" spans="1:11">
      <c r="A674" s="1241" t="s">
        <v>465</v>
      </c>
      <c r="B674" s="1241"/>
      <c r="C674" s="1241"/>
      <c r="D674" s="1241"/>
      <c r="E674" s="1241"/>
      <c r="F674" s="1241"/>
      <c r="G674" s="1241"/>
      <c r="H674" s="946"/>
      <c r="I674" s="1139"/>
      <c r="J674" s="426"/>
      <c r="K674" s="426"/>
    </row>
    <row r="675" spans="1:11">
      <c r="A675" s="374"/>
      <c r="B675" s="374"/>
      <c r="C675" s="374"/>
      <c r="D675" s="374"/>
      <c r="E675" s="374"/>
      <c r="F675" s="374"/>
      <c r="G675" s="374"/>
      <c r="H675" s="426"/>
      <c r="I675" s="408"/>
      <c r="J675" s="426"/>
      <c r="K675" s="426"/>
    </row>
    <row r="676" spans="1:11">
      <c r="C676" s="407"/>
      <c r="D676" s="1233" t="s">
        <v>466</v>
      </c>
      <c r="E676" s="1233"/>
      <c r="F676" s="1233"/>
      <c r="H676" s="426"/>
      <c r="I676" s="408"/>
      <c r="J676" s="426"/>
      <c r="K676" s="426"/>
    </row>
    <row r="677" spans="1:11">
      <c r="A677" s="407"/>
      <c r="B677" s="407"/>
      <c r="C677" s="407"/>
      <c r="D677" s="1233" t="s">
        <v>467</v>
      </c>
      <c r="E677" s="1233"/>
      <c r="F677" s="1233"/>
      <c r="H677" s="426"/>
      <c r="I677" s="408"/>
      <c r="J677" s="426"/>
      <c r="K677" s="426"/>
    </row>
    <row r="678" spans="1:11">
      <c r="A678" s="408"/>
      <c r="B678" s="408"/>
      <c r="C678" s="408"/>
      <c r="D678" s="1262" t="s">
        <v>468</v>
      </c>
      <c r="E678" s="1262"/>
      <c r="F678" s="1262"/>
      <c r="H678" s="426"/>
      <c r="I678" s="408"/>
      <c r="J678" s="426"/>
      <c r="K678" s="426"/>
    </row>
    <row r="679" spans="1:11">
      <c r="A679" s="408"/>
      <c r="B679" s="408"/>
      <c r="C679" s="408"/>
      <c r="H679" s="426"/>
      <c r="I679" s="408"/>
      <c r="J679" s="426"/>
      <c r="K679" s="426"/>
    </row>
    <row r="680" spans="1:11" ht="14.4">
      <c r="A680" s="409"/>
      <c r="B680" s="410" t="s">
        <v>528</v>
      </c>
      <c r="C680" s="408"/>
      <c r="D680" s="1262" t="s">
        <v>469</v>
      </c>
      <c r="E680" s="1262"/>
      <c r="F680" s="1262"/>
      <c r="H680" s="426"/>
      <c r="I680" s="408" t="s">
        <v>675</v>
      </c>
      <c r="J680" s="426"/>
      <c r="K680" s="426"/>
    </row>
    <row r="681" spans="1:11">
      <c r="A681" s="408"/>
      <c r="B681" s="408"/>
      <c r="C681" s="408"/>
      <c r="D681" s="1262" t="s">
        <v>470</v>
      </c>
      <c r="E681" s="1262"/>
      <c r="F681" s="1262"/>
      <c r="H681" s="426"/>
      <c r="I681" s="408"/>
      <c r="J681" s="426"/>
      <c r="K681" s="426"/>
    </row>
    <row r="682" spans="1:11" ht="12.75" customHeight="1">
      <c r="A682" s="408"/>
      <c r="B682" s="408"/>
      <c r="C682" s="408"/>
      <c r="E682" s="952" t="s">
        <v>676</v>
      </c>
      <c r="F682" s="344"/>
      <c r="H682" s="426"/>
      <c r="I682" s="408"/>
      <c r="J682" s="426"/>
      <c r="K682" s="426"/>
    </row>
    <row r="683" spans="1:11">
      <c r="A683" s="408"/>
      <c r="B683" s="408"/>
      <c r="C683" s="408"/>
      <c r="E683" s="426" t="s">
        <v>677</v>
      </c>
      <c r="F683" s="344"/>
      <c r="I683" s="408"/>
      <c r="J683" s="426"/>
      <c r="K683" s="426"/>
    </row>
    <row r="684" spans="1:11">
      <c r="A684" s="408"/>
      <c r="B684" s="408"/>
      <c r="C684" s="408"/>
      <c r="D684" s="427"/>
      <c r="E684" s="372"/>
      <c r="H684" s="426"/>
      <c r="I684" s="408"/>
      <c r="J684" s="426"/>
      <c r="K684" s="426"/>
    </row>
    <row r="685" spans="1:11" ht="14.4">
      <c r="A685" s="409"/>
      <c r="B685" s="410" t="s">
        <v>528</v>
      </c>
      <c r="C685" s="408"/>
      <c r="D685" s="1235" t="s">
        <v>678</v>
      </c>
      <c r="E685" s="1235"/>
      <c r="F685" s="1235"/>
      <c r="H685" s="426"/>
      <c r="I685" s="408" t="s">
        <v>679</v>
      </c>
      <c r="J685" s="426"/>
      <c r="K685" s="426"/>
    </row>
    <row r="686" spans="1:11">
      <c r="A686" s="415"/>
      <c r="B686" s="415"/>
      <c r="C686" s="408"/>
      <c r="D686" s="1235"/>
      <c r="E686" s="1235"/>
      <c r="F686" s="1235"/>
      <c r="H686" s="426"/>
      <c r="I686" s="408"/>
      <c r="J686" s="426"/>
      <c r="K686" s="426"/>
    </row>
    <row r="687" spans="1:11">
      <c r="A687" s="408"/>
      <c r="B687" s="408"/>
      <c r="C687" s="408"/>
      <c r="D687" s="1235"/>
      <c r="E687" s="1235"/>
      <c r="F687" s="1235"/>
      <c r="H687" s="426"/>
      <c r="I687" s="408"/>
      <c r="J687" s="426"/>
      <c r="K687" s="426"/>
    </row>
    <row r="688" spans="1:11">
      <c r="A688" s="408"/>
      <c r="B688" s="408"/>
      <c r="C688" s="408"/>
      <c r="H688" s="426"/>
      <c r="I688" s="408" t="s">
        <v>680</v>
      </c>
      <c r="J688" s="426"/>
      <c r="K688" s="426"/>
    </row>
    <row r="689" spans="1:11" ht="14.4">
      <c r="A689" s="409"/>
      <c r="B689" s="410" t="s">
        <v>2796</v>
      </c>
      <c r="C689" s="408"/>
      <c r="D689" s="1262" t="s">
        <v>473</v>
      </c>
      <c r="E689" s="1262"/>
      <c r="F689" s="1262"/>
      <c r="H689" s="426"/>
      <c r="I689" s="408"/>
      <c r="J689" s="426"/>
      <c r="K689" s="426"/>
    </row>
    <row r="690" spans="1:11" ht="14.4">
      <c r="A690" s="409"/>
      <c r="B690" s="409"/>
      <c r="C690" s="408"/>
      <c r="D690" s="1262" t="s">
        <v>470</v>
      </c>
      <c r="E690" s="1262"/>
      <c r="F690" s="1262"/>
      <c r="H690" s="426"/>
      <c r="I690" s="408"/>
      <c r="J690" s="426"/>
      <c r="K690" s="426"/>
    </row>
    <row r="691" spans="1:11">
      <c r="A691" s="408"/>
      <c r="B691" s="408"/>
      <c r="C691" s="408"/>
      <c r="E691" s="952" t="s">
        <v>681</v>
      </c>
      <c r="F691" s="328"/>
      <c r="H691" s="426"/>
      <c r="I691" s="408"/>
      <c r="J691" s="426"/>
      <c r="K691" s="426"/>
    </row>
    <row r="692" spans="1:11">
      <c r="A692" s="408"/>
      <c r="B692" s="408"/>
      <c r="C692" s="408"/>
      <c r="D692" s="328"/>
      <c r="H692" s="426"/>
      <c r="I692" s="408"/>
      <c r="J692" s="426"/>
      <c r="K692" s="426"/>
    </row>
    <row r="693" spans="1:11" ht="14.4">
      <c r="A693" s="409"/>
      <c r="B693" s="410" t="s">
        <v>2796</v>
      </c>
      <c r="C693" s="408"/>
      <c r="D693" s="1235" t="s">
        <v>475</v>
      </c>
      <c r="E693" s="1235"/>
      <c r="F693" s="1235"/>
      <c r="H693" s="426"/>
      <c r="I693" s="408" t="s">
        <v>682</v>
      </c>
      <c r="J693" s="426"/>
      <c r="K693" s="426"/>
    </row>
    <row r="694" spans="1:11">
      <c r="A694" s="408"/>
      <c r="B694" s="408"/>
      <c r="C694" s="408"/>
      <c r="D694" s="1235"/>
      <c r="E694" s="1235"/>
      <c r="F694" s="1235"/>
      <c r="H694" s="426"/>
      <c r="I694" s="408"/>
      <c r="J694" s="426"/>
      <c r="K694" s="426"/>
    </row>
    <row r="695" spans="1:11">
      <c r="A695" s="408"/>
      <c r="B695" s="408"/>
      <c r="C695" s="408"/>
      <c r="D695" s="1235"/>
      <c r="E695" s="1235"/>
      <c r="F695" s="1235"/>
      <c r="H695" s="426"/>
      <c r="I695" s="408"/>
      <c r="J695" s="426"/>
      <c r="K695" s="426"/>
    </row>
    <row r="696" spans="1:11">
      <c r="A696" s="408"/>
      <c r="B696" s="408"/>
      <c r="C696" s="408"/>
      <c r="D696" s="1235"/>
      <c r="E696" s="1235"/>
      <c r="F696" s="1235"/>
      <c r="H696" s="426"/>
      <c r="I696" s="408"/>
      <c r="J696" s="426"/>
      <c r="K696" s="426"/>
    </row>
    <row r="697" spans="1:11">
      <c r="A697" s="408"/>
      <c r="B697" s="408"/>
      <c r="C697" s="408"/>
      <c r="D697" s="1235"/>
      <c r="E697" s="1235"/>
      <c r="F697" s="1235"/>
      <c r="H697" s="426"/>
      <c r="I697" s="408"/>
      <c r="J697" s="426"/>
      <c r="K697" s="426"/>
    </row>
    <row r="698" spans="1:11">
      <c r="A698" s="408"/>
      <c r="B698" s="408"/>
      <c r="C698" s="408"/>
      <c r="D698" s="1235"/>
      <c r="E698" s="1235"/>
      <c r="F698" s="1235"/>
      <c r="H698" s="426"/>
      <c r="I698" s="408"/>
      <c r="J698" s="426"/>
      <c r="K698" s="426"/>
    </row>
    <row r="699" spans="1:11">
      <c r="A699" s="408"/>
      <c r="B699" s="408"/>
      <c r="C699" s="408"/>
      <c r="D699" s="371"/>
      <c r="E699" s="371"/>
      <c r="F699" s="371"/>
      <c r="H699" s="426"/>
      <c r="I699" s="408"/>
      <c r="J699" s="426"/>
      <c r="K699" s="426"/>
    </row>
    <row r="700" spans="1:11">
      <c r="A700" s="408"/>
      <c r="B700" s="410" t="s">
        <v>2796</v>
      </c>
      <c r="C700" s="408"/>
      <c r="D700" s="1235" t="s">
        <v>683</v>
      </c>
      <c r="E700" s="1235"/>
      <c r="F700" s="1235"/>
      <c r="H700" s="426"/>
      <c r="I700" s="408" t="s">
        <v>682</v>
      </c>
      <c r="J700" s="426"/>
      <c r="K700" s="426"/>
    </row>
    <row r="701" spans="1:11">
      <c r="A701" s="408"/>
      <c r="B701" s="408"/>
      <c r="C701" s="408"/>
      <c r="D701" s="1235"/>
      <c r="E701" s="1235"/>
      <c r="F701" s="1235"/>
      <c r="H701" s="426"/>
      <c r="I701" s="408"/>
      <c r="J701" s="426"/>
      <c r="K701" s="426"/>
    </row>
    <row r="702" spans="1:11">
      <c r="A702" s="408"/>
      <c r="B702" s="408"/>
      <c r="C702" s="408"/>
      <c r="D702" s="371"/>
      <c r="E702" s="371"/>
      <c r="F702" s="371"/>
      <c r="H702" s="426"/>
      <c r="I702" s="408"/>
      <c r="J702" s="426"/>
      <c r="K702" s="426"/>
    </row>
    <row r="703" spans="1:11" ht="14.4">
      <c r="A703" s="409"/>
      <c r="B703" s="410" t="s">
        <v>528</v>
      </c>
      <c r="C703" s="408"/>
      <c r="D703" s="1235" t="s">
        <v>476</v>
      </c>
      <c r="E703" s="1235"/>
      <c r="F703" s="1235"/>
      <c r="H703" s="426"/>
      <c r="I703" s="408" t="s">
        <v>682</v>
      </c>
      <c r="J703" s="426"/>
      <c r="K703" s="426"/>
    </row>
    <row r="704" spans="1:11">
      <c r="A704" s="408"/>
      <c r="B704" s="408"/>
      <c r="C704" s="408"/>
      <c r="D704" s="1235"/>
      <c r="E704" s="1235"/>
      <c r="F704" s="1235"/>
      <c r="H704" s="426"/>
      <c r="I704" s="408"/>
      <c r="J704" s="426"/>
      <c r="K704" s="426"/>
    </row>
    <row r="705" spans="1:11">
      <c r="A705" s="408"/>
      <c r="B705" s="408"/>
      <c r="C705" s="408"/>
      <c r="D705" s="1235"/>
      <c r="E705" s="1235"/>
      <c r="F705" s="1235"/>
      <c r="H705" s="426"/>
      <c r="I705" s="408"/>
      <c r="J705" s="426"/>
      <c r="K705" s="426"/>
    </row>
    <row r="706" spans="1:11" ht="15" customHeight="1">
      <c r="A706" s="408"/>
      <c r="B706" s="408"/>
      <c r="C706" s="408"/>
      <c r="D706" s="1235"/>
      <c r="E706" s="1235"/>
      <c r="F706" s="1235"/>
      <c r="H706" s="426"/>
      <c r="I706" s="408"/>
      <c r="J706" s="426"/>
      <c r="K706" s="426"/>
    </row>
    <row r="707" spans="1:11" ht="15" customHeight="1">
      <c r="A707" s="408"/>
      <c r="B707" s="408"/>
      <c r="C707" s="408"/>
      <c r="D707" s="1235"/>
      <c r="E707" s="1235"/>
      <c r="F707" s="1235"/>
      <c r="H707" s="426"/>
      <c r="I707" s="408"/>
      <c r="J707" s="426"/>
      <c r="K707" s="426"/>
    </row>
    <row r="708" spans="1:11">
      <c r="A708" s="408"/>
      <c r="B708" s="408"/>
      <c r="C708" s="408"/>
      <c r="D708" s="1235"/>
      <c r="E708" s="1235"/>
      <c r="F708" s="1235"/>
      <c r="H708" s="426"/>
      <c r="I708" s="408"/>
      <c r="J708" s="426"/>
      <c r="K708" s="426"/>
    </row>
    <row r="709" spans="1:11">
      <c r="A709" s="408"/>
      <c r="B709" s="408"/>
      <c r="C709" s="408"/>
      <c r="D709" s="1235"/>
      <c r="E709" s="1235"/>
      <c r="F709" s="1235"/>
      <c r="H709" s="426"/>
      <c r="I709" s="408"/>
      <c r="J709" s="426"/>
      <c r="K709" s="426"/>
    </row>
    <row r="710" spans="1:11">
      <c r="A710" s="408"/>
      <c r="B710" s="408"/>
      <c r="C710" s="408"/>
      <c r="D710" s="1235"/>
      <c r="E710" s="1235"/>
      <c r="F710" s="1235"/>
      <c r="H710" s="426"/>
      <c r="I710" s="408"/>
      <c r="J710" s="426"/>
      <c r="K710" s="426"/>
    </row>
    <row r="711" spans="1:11" ht="15" customHeight="1">
      <c r="A711" s="408"/>
      <c r="B711" s="408"/>
      <c r="C711" s="408"/>
      <c r="D711" s="1235"/>
      <c r="E711" s="1235"/>
      <c r="F711" s="1235"/>
      <c r="H711" s="426"/>
      <c r="I711" s="408"/>
      <c r="J711" s="426"/>
      <c r="K711" s="426"/>
    </row>
    <row r="712" spans="1:11">
      <c r="A712" s="408"/>
      <c r="B712" s="408"/>
      <c r="C712" s="408"/>
      <c r="D712" s="1235"/>
      <c r="E712" s="1235"/>
      <c r="F712" s="1235"/>
      <c r="H712" s="426"/>
      <c r="I712" s="408"/>
      <c r="J712" s="426"/>
      <c r="K712" s="426"/>
    </row>
    <row r="713" spans="1:11">
      <c r="A713" s="408"/>
      <c r="B713" s="408"/>
      <c r="C713" s="408"/>
      <c r="D713" s="1235"/>
      <c r="E713" s="1235"/>
      <c r="F713" s="1235"/>
      <c r="H713" s="426"/>
      <c r="I713" s="408"/>
      <c r="J713" s="426"/>
      <c r="K713" s="426"/>
    </row>
    <row r="714" spans="1:11">
      <c r="A714" s="408"/>
      <c r="B714" s="408"/>
      <c r="C714" s="408"/>
      <c r="D714" s="1235"/>
      <c r="E714" s="1235"/>
      <c r="F714" s="1235"/>
      <c r="H714" s="426"/>
      <c r="I714" s="408"/>
      <c r="J714" s="426"/>
      <c r="K714" s="426"/>
    </row>
    <row r="715" spans="1:11">
      <c r="A715" s="408"/>
      <c r="B715" s="408"/>
      <c r="C715" s="408"/>
      <c r="D715" s="1235"/>
      <c r="E715" s="1235"/>
      <c r="F715" s="1235"/>
      <c r="H715" s="426"/>
      <c r="I715" s="408"/>
      <c r="J715" s="426"/>
      <c r="K715" s="426"/>
    </row>
    <row r="716" spans="1:11">
      <c r="A716" s="408"/>
      <c r="B716" s="410" t="s">
        <v>528</v>
      </c>
      <c r="C716" s="408"/>
      <c r="D716" s="1235" t="s">
        <v>478</v>
      </c>
      <c r="E716" s="1235"/>
      <c r="F716" s="1235"/>
      <c r="H716" s="426"/>
      <c r="I716" s="408" t="s">
        <v>684</v>
      </c>
      <c r="J716" s="426"/>
      <c r="K716" s="426"/>
    </row>
    <row r="717" spans="1:11">
      <c r="A717" s="408"/>
      <c r="B717" s="408"/>
      <c r="C717" s="408"/>
      <c r="D717" s="1235"/>
      <c r="E717" s="1235"/>
      <c r="F717" s="1235"/>
      <c r="H717" s="426"/>
      <c r="I717" s="408"/>
      <c r="J717" s="426"/>
      <c r="K717" s="426"/>
    </row>
    <row r="718" spans="1:11">
      <c r="A718" s="408"/>
      <c r="B718" s="408"/>
      <c r="C718" s="408"/>
      <c r="D718" s="371"/>
      <c r="E718" s="371"/>
      <c r="F718" s="371"/>
      <c r="H718" s="426"/>
      <c r="I718" s="408"/>
      <c r="J718" s="426"/>
      <c r="K718" s="426"/>
    </row>
    <row r="719" spans="1:11">
      <c r="A719" s="408"/>
      <c r="B719" s="410" t="s">
        <v>528</v>
      </c>
      <c r="C719" s="408"/>
      <c r="D719" s="1235" t="s">
        <v>480</v>
      </c>
      <c r="E719" s="1235"/>
      <c r="F719" s="1235"/>
      <c r="H719" s="426"/>
      <c r="I719" s="408" t="s">
        <v>684</v>
      </c>
      <c r="J719" s="426"/>
      <c r="K719" s="426"/>
    </row>
    <row r="720" spans="1:11">
      <c r="A720" s="408"/>
      <c r="B720" s="408"/>
      <c r="C720" s="408"/>
      <c r="D720" s="1235"/>
      <c r="E720" s="1235"/>
      <c r="F720" s="1235"/>
      <c r="H720" s="426"/>
      <c r="I720" s="408"/>
      <c r="J720" s="426"/>
      <c r="K720" s="426"/>
    </row>
    <row r="721" spans="1:11">
      <c r="A721" s="408"/>
      <c r="B721" s="408"/>
      <c r="C721" s="408"/>
      <c r="D721" s="1235"/>
      <c r="E721" s="1235"/>
      <c r="F721" s="1235"/>
      <c r="H721" s="426"/>
      <c r="I721" s="408"/>
      <c r="J721" s="426"/>
      <c r="K721" s="426"/>
    </row>
    <row r="722" spans="1:11">
      <c r="A722" s="408"/>
      <c r="B722" s="408"/>
      <c r="C722" s="408"/>
      <c r="H722" s="426"/>
      <c r="I722" s="408"/>
      <c r="J722" s="426"/>
      <c r="K722" s="426"/>
    </row>
    <row r="723" spans="1:11">
      <c r="A723" s="408"/>
      <c r="B723" s="410" t="s">
        <v>528</v>
      </c>
      <c r="C723" s="408"/>
      <c r="D723" s="1235" t="s">
        <v>481</v>
      </c>
      <c r="E723" s="1235"/>
      <c r="F723" s="1235"/>
      <c r="H723" s="426"/>
      <c r="I723" s="408" t="s">
        <v>684</v>
      </c>
      <c r="J723" s="426"/>
      <c r="K723" s="426"/>
    </row>
    <row r="724" spans="1:11">
      <c r="A724" s="408"/>
      <c r="B724" s="408"/>
      <c r="C724" s="408"/>
      <c r="D724" s="1235"/>
      <c r="E724" s="1235"/>
      <c r="F724" s="1235"/>
      <c r="H724" s="426"/>
      <c r="I724" s="408"/>
      <c r="J724" s="426"/>
      <c r="K724" s="426"/>
    </row>
    <row r="725" spans="1:11">
      <c r="A725" s="408"/>
      <c r="B725" s="408"/>
      <c r="C725" s="408"/>
      <c r="D725" s="1235"/>
      <c r="E725" s="1235"/>
      <c r="F725" s="1235"/>
      <c r="H725" s="426"/>
      <c r="I725" s="408"/>
      <c r="J725" s="426"/>
      <c r="K725" s="426"/>
    </row>
    <row r="726" spans="1:11">
      <c r="A726" s="408"/>
      <c r="B726" s="408"/>
      <c r="C726" s="408"/>
      <c r="H726" s="426"/>
      <c r="I726" s="408"/>
      <c r="J726" s="426"/>
      <c r="K726" s="426"/>
    </row>
    <row r="727" spans="1:11" ht="14.4">
      <c r="A727" s="409"/>
      <c r="B727" s="410" t="s">
        <v>528</v>
      </c>
      <c r="C727" s="408"/>
      <c r="D727" s="1235" t="s">
        <v>482</v>
      </c>
      <c r="E727" s="1235"/>
      <c r="F727" s="1235"/>
      <c r="H727" s="426"/>
      <c r="I727" s="408" t="s">
        <v>685</v>
      </c>
      <c r="J727" s="426"/>
      <c r="K727" s="426"/>
    </row>
    <row r="728" spans="1:11">
      <c r="A728" s="408"/>
      <c r="B728" s="408"/>
      <c r="C728" s="408"/>
      <c r="D728" s="1235"/>
      <c r="E728" s="1235"/>
      <c r="F728" s="1235"/>
      <c r="H728" s="426"/>
      <c r="I728" s="408"/>
      <c r="J728" s="426"/>
      <c r="K728" s="426"/>
    </row>
    <row r="729" spans="1:11">
      <c r="A729" s="408"/>
      <c r="B729" s="408"/>
      <c r="C729" s="408"/>
      <c r="D729" s="1235"/>
      <c r="E729" s="1235"/>
      <c r="F729" s="1235"/>
      <c r="H729" s="426"/>
      <c r="I729" s="408"/>
      <c r="J729" s="426"/>
      <c r="K729" s="426"/>
    </row>
    <row r="730" spans="1:11">
      <c r="A730" s="408"/>
      <c r="B730" s="408"/>
      <c r="C730" s="408"/>
      <c r="D730" s="1235"/>
      <c r="E730" s="1235"/>
      <c r="F730" s="1235"/>
      <c r="H730" s="426"/>
      <c r="I730" s="408"/>
      <c r="J730" s="426"/>
      <c r="K730" s="426"/>
    </row>
    <row r="731" spans="1:11">
      <c r="A731" s="408"/>
      <c r="B731" s="408"/>
      <c r="C731" s="408"/>
      <c r="D731" s="417"/>
      <c r="H731" s="426"/>
      <c r="I731" s="408"/>
      <c r="J731" s="426"/>
      <c r="K731" s="426"/>
    </row>
    <row r="732" spans="1:11" ht="14.4">
      <c r="A732" s="409"/>
      <c r="B732" s="410" t="s">
        <v>528</v>
      </c>
      <c r="C732" s="408"/>
      <c r="D732" s="1235" t="s">
        <v>686</v>
      </c>
      <c r="E732" s="1235"/>
      <c r="F732" s="1235"/>
      <c r="H732" s="426"/>
      <c r="I732" s="408" t="s">
        <v>687</v>
      </c>
      <c r="J732" s="426"/>
      <c r="K732" s="426"/>
    </row>
    <row r="733" spans="1:11">
      <c r="A733" s="408"/>
      <c r="B733" s="408"/>
      <c r="C733" s="408"/>
      <c r="D733" s="1235"/>
      <c r="E733" s="1235"/>
      <c r="F733" s="1235"/>
      <c r="H733" s="426"/>
      <c r="I733" s="408"/>
      <c r="J733" s="426"/>
      <c r="K733" s="426"/>
    </row>
    <row r="734" spans="1:11">
      <c r="A734" s="408"/>
      <c r="B734" s="408"/>
      <c r="C734" s="408"/>
      <c r="D734" s="1235"/>
      <c r="E734" s="1235"/>
      <c r="F734" s="1235"/>
      <c r="H734" s="426"/>
      <c r="I734" s="408"/>
      <c r="J734" s="426"/>
      <c r="K734" s="426"/>
    </row>
    <row r="735" spans="1:11">
      <c r="A735" s="408"/>
      <c r="B735" s="408"/>
      <c r="C735" s="408"/>
      <c r="D735" s="1235"/>
      <c r="E735" s="1235"/>
      <c r="F735" s="1235"/>
      <c r="H735" s="426"/>
      <c r="I735" s="408"/>
      <c r="J735" s="426"/>
      <c r="K735" s="426"/>
    </row>
    <row r="736" spans="1:11">
      <c r="A736" s="408"/>
      <c r="B736" s="408"/>
      <c r="C736" s="408"/>
      <c r="D736" s="1235"/>
      <c r="E736" s="1235"/>
      <c r="F736" s="1235"/>
      <c r="H736" s="426"/>
      <c r="I736" s="408"/>
      <c r="J736" s="426"/>
      <c r="K736" s="426"/>
    </row>
    <row r="737" spans="1:11">
      <c r="A737" s="408"/>
      <c r="B737" s="408"/>
      <c r="C737" s="408"/>
      <c r="D737" s="1235"/>
      <c r="E737" s="1235"/>
      <c r="F737" s="1235"/>
      <c r="H737" s="426"/>
      <c r="I737" s="408"/>
      <c r="J737" s="426"/>
      <c r="K737" s="426"/>
    </row>
    <row r="738" spans="1:11">
      <c r="A738" s="408"/>
      <c r="B738" s="408"/>
      <c r="C738" s="408"/>
      <c r="D738" s="1235"/>
      <c r="E738" s="1235"/>
      <c r="F738" s="1235"/>
      <c r="H738" s="426"/>
      <c r="I738" s="408"/>
      <c r="J738" s="426"/>
      <c r="K738" s="426"/>
    </row>
    <row r="739" spans="1:11">
      <c r="A739" s="408"/>
      <c r="B739" s="408"/>
      <c r="C739" s="408"/>
      <c r="D739" s="1245" t="s">
        <v>688</v>
      </c>
      <c r="E739" s="1245"/>
      <c r="F739" s="1245"/>
      <c r="H739" s="426"/>
      <c r="I739" s="408"/>
      <c r="J739" s="426"/>
      <c r="K739" s="426"/>
    </row>
    <row r="740" spans="1:11">
      <c r="A740" s="408"/>
      <c r="B740" s="408"/>
      <c r="C740" s="408"/>
      <c r="D740" s="262"/>
      <c r="H740" s="426"/>
      <c r="I740" s="408"/>
      <c r="J740" s="426"/>
      <c r="K740" s="426"/>
    </row>
    <row r="741" spans="1:11">
      <c r="A741" s="1242" t="s">
        <v>485</v>
      </c>
      <c r="B741" s="1242"/>
      <c r="C741" s="1242"/>
      <c r="D741" s="1242"/>
      <c r="E741" s="1242"/>
      <c r="F741" s="1242"/>
      <c r="G741" s="1242"/>
      <c r="H741" s="946"/>
      <c r="I741" s="1139"/>
      <c r="J741" s="426"/>
      <c r="K741" s="426"/>
    </row>
    <row r="742" spans="1:11">
      <c r="A742" s="408"/>
      <c r="B742" s="408"/>
      <c r="C742" s="408"/>
      <c r="D742" s="417"/>
      <c r="G742" s="426"/>
      <c r="H742" s="426"/>
      <c r="I742" s="408"/>
      <c r="J742" s="426"/>
      <c r="K742" s="426"/>
    </row>
    <row r="743" spans="1:11" ht="13.95" customHeight="1">
      <c r="C743" s="408"/>
      <c r="D743" s="1261" t="s">
        <v>486</v>
      </c>
      <c r="E743" s="1261"/>
      <c r="F743" s="1261"/>
      <c r="G743" s="426"/>
      <c r="H743" s="426"/>
      <c r="I743" s="408"/>
      <c r="J743" s="426"/>
      <c r="K743" s="426"/>
    </row>
    <row r="744" spans="1:11">
      <c r="A744" s="408"/>
      <c r="B744" s="408"/>
      <c r="C744" s="408"/>
      <c r="D744" s="1248" t="s">
        <v>487</v>
      </c>
      <c r="E744" s="1248"/>
      <c r="F744" s="1248"/>
      <c r="G744" s="426"/>
      <c r="H744" s="426"/>
      <c r="I744" s="408"/>
      <c r="J744" s="426"/>
      <c r="K744" s="426"/>
    </row>
    <row r="745" spans="1:11">
      <c r="A745" s="408"/>
      <c r="B745" s="408"/>
      <c r="C745" s="408"/>
      <c r="G745" s="426"/>
      <c r="H745" s="426"/>
      <c r="I745" s="408"/>
      <c r="J745" s="426"/>
      <c r="K745" s="426"/>
    </row>
    <row r="746" spans="1:11" ht="14.4">
      <c r="A746" s="409"/>
      <c r="B746" s="410" t="s">
        <v>2796</v>
      </c>
      <c r="D746" s="1235" t="s">
        <v>488</v>
      </c>
      <c r="E746" s="1235"/>
      <c r="F746" s="1235"/>
      <c r="G746" s="426"/>
      <c r="H746" s="426"/>
      <c r="I746" s="408" t="s">
        <v>689</v>
      </c>
      <c r="J746" s="426"/>
      <c r="K746" s="426"/>
    </row>
    <row r="747" spans="1:11" ht="10.5" customHeight="1">
      <c r="D747" s="1235"/>
      <c r="E747" s="1235"/>
      <c r="F747" s="1235"/>
      <c r="G747" s="426"/>
      <c r="H747" s="426"/>
      <c r="I747" s="408"/>
      <c r="J747" s="426"/>
      <c r="K747" s="426"/>
    </row>
    <row r="748" spans="1:11">
      <c r="D748" s="1235"/>
      <c r="E748" s="1235"/>
      <c r="F748" s="1235"/>
      <c r="G748" s="426"/>
      <c r="H748" s="426"/>
      <c r="I748" s="408"/>
      <c r="J748" s="426"/>
      <c r="K748" s="426"/>
    </row>
    <row r="749" spans="1:11">
      <c r="D749" s="1235"/>
      <c r="E749" s="1235"/>
      <c r="F749" s="1235"/>
      <c r="G749" s="426"/>
      <c r="H749" s="426"/>
      <c r="I749" s="408"/>
      <c r="J749" s="426"/>
      <c r="K749" s="426"/>
    </row>
    <row r="750" spans="1:11">
      <c r="D750" s="1235"/>
      <c r="E750" s="1235"/>
      <c r="F750" s="1235"/>
      <c r="G750" s="426"/>
      <c r="H750" s="426"/>
      <c r="I750" s="408"/>
      <c r="J750" s="426"/>
      <c r="K750" s="426"/>
    </row>
    <row r="751" spans="1:11" ht="15.6" customHeight="1">
      <c r="D751" s="1235"/>
      <c r="E751" s="1235"/>
      <c r="F751" s="1235"/>
      <c r="G751" s="426"/>
      <c r="H751" s="426"/>
      <c r="I751" s="408"/>
      <c r="J751" s="426"/>
      <c r="K751" s="426"/>
    </row>
    <row r="752" spans="1:11">
      <c r="D752" s="424"/>
      <c r="E752" s="372"/>
      <c r="F752" s="372"/>
      <c r="G752" s="426"/>
      <c r="H752" s="426"/>
      <c r="I752" s="408"/>
      <c r="J752" s="426"/>
      <c r="K752" s="426"/>
    </row>
    <row r="753" spans="1:11" s="430" customFormat="1" ht="14.4">
      <c r="A753" s="428"/>
      <c r="B753" s="410" t="s">
        <v>2796</v>
      </c>
      <c r="C753" s="429"/>
      <c r="D753" s="1235" t="s">
        <v>690</v>
      </c>
      <c r="E753" s="1235"/>
      <c r="F753" s="1235"/>
      <c r="I753" s="1140" t="s">
        <v>689</v>
      </c>
    </row>
    <row r="754" spans="1:11" s="430" customFormat="1">
      <c r="A754" s="429"/>
      <c r="B754" s="429"/>
      <c r="C754" s="429"/>
      <c r="D754" s="1235"/>
      <c r="E754" s="1235"/>
      <c r="F754" s="1235"/>
      <c r="I754" s="1140"/>
    </row>
    <row r="755" spans="1:11" s="430" customFormat="1">
      <c r="A755" s="429"/>
      <c r="B755" s="429"/>
      <c r="C755" s="429"/>
      <c r="D755" s="1235"/>
      <c r="E755" s="1235"/>
      <c r="F755" s="1235"/>
      <c r="I755" s="1140"/>
    </row>
    <row r="756" spans="1:11" s="430" customFormat="1">
      <c r="A756" s="429"/>
      <c r="B756" s="429"/>
      <c r="C756" s="429"/>
      <c r="D756" s="1235"/>
      <c r="E756" s="1235"/>
      <c r="F756" s="1235"/>
      <c r="I756" s="1140"/>
    </row>
    <row r="757" spans="1:11" s="430" customFormat="1">
      <c r="A757" s="429"/>
      <c r="B757" s="429"/>
      <c r="C757" s="429"/>
      <c r="D757" s="424"/>
      <c r="I757" s="1140"/>
    </row>
    <row r="758" spans="1:11" s="430" customFormat="1" ht="14.4">
      <c r="A758" s="409"/>
      <c r="B758" s="410" t="s">
        <v>528</v>
      </c>
      <c r="C758" s="429"/>
      <c r="D758" s="1237" t="s">
        <v>691</v>
      </c>
      <c r="E758" s="1237"/>
      <c r="F758" s="1237"/>
      <c r="I758" s="1140" t="s">
        <v>692</v>
      </c>
    </row>
    <row r="759" spans="1:11" s="430" customFormat="1">
      <c r="A759" s="429"/>
      <c r="B759" s="429"/>
      <c r="C759" s="429"/>
      <c r="D759" s="1237"/>
      <c r="E759" s="1237"/>
      <c r="F759" s="1237"/>
      <c r="I759" s="1140"/>
    </row>
    <row r="760" spans="1:11" s="430" customFormat="1">
      <c r="A760" s="429"/>
      <c r="B760" s="429"/>
      <c r="C760" s="429"/>
      <c r="D760" s="1237"/>
      <c r="E760" s="1237"/>
      <c r="F760" s="1237"/>
      <c r="I760" s="1140"/>
    </row>
    <row r="761" spans="1:11">
      <c r="D761" s="424"/>
      <c r="E761" s="372"/>
      <c r="F761" s="372"/>
      <c r="G761" s="426"/>
      <c r="H761" s="426"/>
      <c r="I761" s="408"/>
      <c r="J761" s="426"/>
      <c r="K761" s="426"/>
    </row>
    <row r="762" spans="1:11" ht="14.4">
      <c r="A762" s="409"/>
      <c r="B762" s="410" t="s">
        <v>528</v>
      </c>
      <c r="D762" s="1235" t="s">
        <v>693</v>
      </c>
      <c r="E762" s="1235"/>
      <c r="F762" s="1235"/>
      <c r="G762" s="426"/>
      <c r="H762" s="426"/>
      <c r="I762" s="408" t="s">
        <v>689</v>
      </c>
      <c r="J762" s="426"/>
      <c r="K762" s="426"/>
    </row>
    <row r="763" spans="1:11">
      <c r="D763" s="1235"/>
      <c r="E763" s="1235"/>
      <c r="F763" s="1235"/>
      <c r="G763" s="426"/>
      <c r="H763" s="426"/>
      <c r="I763" s="408"/>
      <c r="J763" s="426"/>
      <c r="K763" s="426"/>
    </row>
    <row r="764" spans="1:11">
      <c r="D764" s="371"/>
      <c r="E764" s="371"/>
      <c r="F764" s="371"/>
      <c r="G764" s="426"/>
      <c r="H764" s="426"/>
      <c r="I764" s="408"/>
      <c r="J764" s="426"/>
      <c r="K764" s="426"/>
    </row>
    <row r="765" spans="1:11">
      <c r="B765" s="410" t="s">
        <v>2796</v>
      </c>
      <c r="D765" s="1235" t="s">
        <v>694</v>
      </c>
      <c r="E765" s="1235"/>
      <c r="F765" s="1235"/>
      <c r="G765" s="426"/>
      <c r="H765" s="426"/>
      <c r="I765" s="408" t="s">
        <v>689</v>
      </c>
      <c r="J765" s="426"/>
      <c r="K765" s="426"/>
    </row>
    <row r="766" spans="1:11">
      <c r="D766" s="1235"/>
      <c r="E766" s="1235"/>
      <c r="F766" s="1235"/>
      <c r="G766" s="426"/>
      <c r="H766" s="426"/>
      <c r="I766" s="408"/>
      <c r="J766" s="426"/>
      <c r="K766" s="426"/>
    </row>
    <row r="767" spans="1:11">
      <c r="D767" s="1235"/>
      <c r="E767" s="1235"/>
      <c r="F767" s="1235"/>
      <c r="G767" s="426"/>
      <c r="H767" s="426"/>
      <c r="I767" s="408"/>
      <c r="J767" s="426"/>
      <c r="K767" s="426"/>
    </row>
    <row r="768" spans="1:11">
      <c r="D768" s="371"/>
      <c r="E768" s="371"/>
      <c r="F768" s="371"/>
      <c r="G768" s="426"/>
      <c r="H768" s="426"/>
      <c r="I768" s="408"/>
      <c r="J768" s="426"/>
      <c r="K768" s="426"/>
    </row>
    <row r="769" spans="1:9">
      <c r="A769" s="1287" t="s">
        <v>695</v>
      </c>
      <c r="B769" s="1287"/>
      <c r="C769" s="1287"/>
      <c r="D769" s="1287"/>
      <c r="E769" s="1287"/>
      <c r="F769" s="1287"/>
      <c r="G769" s="1287"/>
      <c r="H769" s="944"/>
      <c r="I769" s="1135"/>
    </row>
    <row r="770" spans="1:9">
      <c r="A770" s="50"/>
      <c r="B770" s="50"/>
      <c r="C770" s="278"/>
      <c r="D770" s="3"/>
      <c r="E770" s="3"/>
      <c r="F770" s="3"/>
      <c r="G770" s="3"/>
      <c r="I770" s="415"/>
    </row>
    <row r="771" spans="1:9">
      <c r="A771" s="50"/>
      <c r="B771" s="50"/>
      <c r="C771" s="278"/>
      <c r="D771" s="1297" t="s">
        <v>696</v>
      </c>
      <c r="E771" s="1297"/>
      <c r="F771" s="1297"/>
      <c r="G771" s="3"/>
      <c r="I771" s="415"/>
    </row>
    <row r="772" spans="1:9">
      <c r="A772" s="50"/>
      <c r="B772" s="50"/>
      <c r="C772" s="278"/>
      <c r="D772" s="1266" t="s">
        <v>697</v>
      </c>
      <c r="E772" s="1266"/>
      <c r="F772" s="1266"/>
      <c r="G772" s="3"/>
      <c r="I772" s="415"/>
    </row>
    <row r="773" spans="1:9">
      <c r="A773" s="50"/>
      <c r="B773" s="50"/>
      <c r="C773" s="278"/>
      <c r="D773" s="373"/>
      <c r="E773" s="373"/>
      <c r="F773" s="373"/>
      <c r="G773" s="3"/>
      <c r="I773" s="415"/>
    </row>
    <row r="774" spans="1:9">
      <c r="A774" s="50"/>
      <c r="B774" s="410" t="s">
        <v>2796</v>
      </c>
      <c r="C774" s="278"/>
      <c r="D774" s="1251" t="s">
        <v>698</v>
      </c>
      <c r="E774" s="1251"/>
      <c r="F774" s="1251"/>
      <c r="G774" s="3"/>
      <c r="I774" s="408" t="s">
        <v>699</v>
      </c>
    </row>
    <row r="775" spans="1:9">
      <c r="A775" s="50"/>
      <c r="B775" s="50"/>
      <c r="C775" s="278"/>
      <c r="D775" s="1251"/>
      <c r="E775" s="1251"/>
      <c r="F775" s="1251"/>
      <c r="G775" s="3"/>
      <c r="I775" s="415"/>
    </row>
    <row r="776" spans="1:9">
      <c r="A776" s="123"/>
      <c r="B776" s="123"/>
      <c r="C776" s="123"/>
      <c r="D776" s="1251"/>
      <c r="E776" s="1251"/>
      <c r="F776" s="1251"/>
      <c r="G776" s="85"/>
      <c r="I776" s="415"/>
    </row>
    <row r="777" spans="1:9">
      <c r="A777" s="278"/>
      <c r="B777" s="278"/>
      <c r="C777" s="278"/>
      <c r="D777" s="122"/>
      <c r="E777" s="3"/>
      <c r="F777" s="3"/>
      <c r="G777" s="3"/>
      <c r="I777" s="415"/>
    </row>
    <row r="778" spans="1:9">
      <c r="A778" s="120"/>
      <c r="B778" s="410" t="s">
        <v>2796</v>
      </c>
      <c r="C778" s="120"/>
      <c r="D778" s="1251" t="s">
        <v>700</v>
      </c>
      <c r="E778" s="1251"/>
      <c r="F778" s="1251"/>
      <c r="G778" s="3"/>
      <c r="I778" s="408" t="s">
        <v>699</v>
      </c>
    </row>
    <row r="779" spans="1:9">
      <c r="A779" s="120"/>
      <c r="B779" s="120"/>
      <c r="C779" s="120"/>
      <c r="D779" s="1251"/>
      <c r="E779" s="1251"/>
      <c r="F779" s="1251"/>
      <c r="G779" s="3"/>
      <c r="I779" s="415"/>
    </row>
    <row r="780" spans="1:9">
      <c r="A780" s="120"/>
      <c r="B780" s="120"/>
      <c r="C780" s="120"/>
      <c r="D780" s="1251"/>
      <c r="E780" s="1251"/>
      <c r="F780" s="1251"/>
      <c r="G780" s="3"/>
      <c r="I780" s="415"/>
    </row>
    <row r="781" spans="1:9">
      <c r="A781" s="123"/>
      <c r="B781" s="123"/>
      <c r="C781" s="123"/>
      <c r="D781" s="3"/>
      <c r="E781" s="907"/>
      <c r="F781" s="907"/>
      <c r="G781" s="907"/>
      <c r="I781" s="415"/>
    </row>
    <row r="782" spans="1:9" ht="14.4">
      <c r="A782" s="124"/>
      <c r="B782" s="410" t="s">
        <v>528</v>
      </c>
      <c r="C782" s="908"/>
      <c r="D782" s="1251" t="s">
        <v>701</v>
      </c>
      <c r="E782" s="1251"/>
      <c r="F782" s="1251"/>
      <c r="G782" s="907"/>
      <c r="I782" s="408" t="s">
        <v>699</v>
      </c>
    </row>
    <row r="783" spans="1:9" ht="14.4">
      <c r="A783" s="124"/>
      <c r="B783" s="124"/>
      <c r="C783" s="908"/>
      <c r="D783" s="1251"/>
      <c r="E783" s="1251"/>
      <c r="F783" s="1251"/>
      <c r="G783" s="907"/>
      <c r="I783" s="415"/>
    </row>
    <row r="784" spans="1:9" ht="14.4">
      <c r="A784" s="124"/>
      <c r="B784" s="124"/>
      <c r="C784" s="908"/>
      <c r="D784" s="1251"/>
      <c r="E784" s="1251"/>
      <c r="F784" s="1251"/>
      <c r="G784" s="907"/>
      <c r="I784" s="415"/>
    </row>
    <row r="785" spans="1:9" ht="14.4">
      <c r="A785" s="124"/>
      <c r="B785" s="124"/>
      <c r="C785" s="908"/>
      <c r="D785" s="85"/>
      <c r="E785" s="3"/>
      <c r="F785" s="3"/>
      <c r="G785" s="907"/>
      <c r="I785" s="415"/>
    </row>
    <row r="786" spans="1:9" ht="14.4">
      <c r="A786" s="124"/>
      <c r="B786" s="410" t="s">
        <v>528</v>
      </c>
      <c r="C786" s="908"/>
      <c r="D786" s="1251" t="s">
        <v>702</v>
      </c>
      <c r="E786" s="1251"/>
      <c r="F786" s="1251"/>
      <c r="G786" s="907"/>
      <c r="I786" s="408" t="s">
        <v>699</v>
      </c>
    </row>
    <row r="787" spans="1:9" ht="14.4">
      <c r="A787" s="124"/>
      <c r="B787" s="124"/>
      <c r="C787" s="908"/>
      <c r="D787" s="1251"/>
      <c r="E787" s="1251"/>
      <c r="F787" s="1251"/>
      <c r="G787" s="907"/>
      <c r="I787" s="415"/>
    </row>
    <row r="788" spans="1:9" ht="14.4">
      <c r="A788" s="124"/>
      <c r="B788" s="124"/>
      <c r="C788" s="908"/>
      <c r="D788" s="1251"/>
      <c r="E788" s="1251"/>
      <c r="F788" s="1251"/>
      <c r="G788" s="907"/>
      <c r="I788" s="415"/>
    </row>
    <row r="789" spans="1:9" ht="14.4">
      <c r="A789" s="124"/>
      <c r="B789" s="124"/>
      <c r="C789" s="908"/>
      <c r="D789" s="1251"/>
      <c r="E789" s="1251"/>
      <c r="F789" s="1251"/>
      <c r="G789" s="907"/>
      <c r="I789" s="415"/>
    </row>
    <row r="790" spans="1:9" ht="14.4">
      <c r="A790" s="124"/>
      <c r="B790" s="124"/>
      <c r="C790" s="908"/>
      <c r="D790" s="1251"/>
      <c r="E790" s="1251"/>
      <c r="F790" s="1251"/>
      <c r="G790" s="907"/>
      <c r="I790" s="415"/>
    </row>
    <row r="791" spans="1:9" ht="14.4">
      <c r="A791" s="124"/>
      <c r="B791" s="124"/>
      <c r="C791" s="908"/>
      <c r="D791" s="1251"/>
      <c r="E791" s="1251"/>
      <c r="F791" s="1251"/>
      <c r="G791" s="907"/>
      <c r="I791" s="415"/>
    </row>
    <row r="792" spans="1:9" ht="14.4">
      <c r="A792" s="124"/>
      <c r="B792" s="124"/>
      <c r="C792" s="908"/>
      <c r="D792" s="1251" t="s">
        <v>703</v>
      </c>
      <c r="E792" s="1251"/>
      <c r="F792" s="1251"/>
      <c r="G792" s="907"/>
      <c r="I792" s="415"/>
    </row>
    <row r="793" spans="1:9" ht="14.4">
      <c r="A793" s="124"/>
      <c r="B793" s="124"/>
      <c r="C793" s="908"/>
      <c r="D793" s="1251"/>
      <c r="E793" s="1251"/>
      <c r="F793" s="1251"/>
      <c r="G793" s="907"/>
      <c r="I793" s="415"/>
    </row>
    <row r="794" spans="1:9" ht="14.4">
      <c r="A794" s="124"/>
      <c r="B794" s="124"/>
      <c r="C794" s="908"/>
      <c r="D794" s="1251"/>
      <c r="E794" s="1251"/>
      <c r="F794" s="1251"/>
      <c r="G794" s="907"/>
      <c r="I794" s="415"/>
    </row>
    <row r="795" spans="1:9" ht="14.4">
      <c r="A795" s="124"/>
      <c r="B795" s="278"/>
      <c r="C795" s="908"/>
      <c r="D795" s="909"/>
      <c r="E795" s="909"/>
      <c r="F795" s="909"/>
      <c r="G795" s="907"/>
      <c r="I795" s="415"/>
    </row>
    <row r="796" spans="1:9" ht="14.4">
      <c r="A796" s="124"/>
      <c r="B796" s="410" t="s">
        <v>528</v>
      </c>
      <c r="C796" s="908"/>
      <c r="D796" s="1251" t="s">
        <v>704</v>
      </c>
      <c r="E796" s="1251"/>
      <c r="F796" s="1251"/>
      <c r="G796" s="907"/>
      <c r="I796" s="408" t="s">
        <v>699</v>
      </c>
    </row>
    <row r="797" spans="1:9" ht="14.4">
      <c r="A797" s="124"/>
      <c r="B797" s="124"/>
      <c r="C797" s="908"/>
      <c r="D797" s="1251"/>
      <c r="E797" s="1251"/>
      <c r="F797" s="1251"/>
      <c r="G797" s="907"/>
      <c r="I797" s="415"/>
    </row>
    <row r="798" spans="1:9" ht="14.4">
      <c r="A798" s="124"/>
      <c r="B798" s="124"/>
      <c r="C798" s="908"/>
      <c r="D798" s="1251"/>
      <c r="E798" s="1251"/>
      <c r="F798" s="1251"/>
      <c r="G798" s="907"/>
      <c r="I798" s="415"/>
    </row>
    <row r="799" spans="1:9" ht="14.4">
      <c r="A799" s="124"/>
      <c r="B799" s="124"/>
      <c r="C799" s="908"/>
      <c r="D799" s="1251"/>
      <c r="E799" s="1251"/>
      <c r="F799" s="1251"/>
      <c r="G799" s="907"/>
      <c r="I799" s="415"/>
    </row>
    <row r="800" spans="1:9" ht="14.4">
      <c r="A800" s="124"/>
      <c r="B800" s="124"/>
      <c r="C800" s="908"/>
      <c r="D800" s="1251"/>
      <c r="E800" s="1251"/>
      <c r="F800" s="1251"/>
      <c r="G800" s="907"/>
      <c r="I800" s="415"/>
    </row>
    <row r="801" spans="1:9" ht="14.4">
      <c r="A801" s="124"/>
      <c r="B801" s="124"/>
      <c r="C801" s="908"/>
      <c r="D801" s="1251"/>
      <c r="E801" s="1251"/>
      <c r="F801" s="1251"/>
      <c r="G801" s="907"/>
      <c r="I801" s="415"/>
    </row>
    <row r="802" spans="1:9" ht="14.4">
      <c r="A802" s="124"/>
      <c r="B802" s="124"/>
      <c r="C802" s="908"/>
      <c r="D802" s="901"/>
      <c r="E802" s="901"/>
      <c r="F802" s="901"/>
      <c r="G802" s="907"/>
      <c r="I802" s="415"/>
    </row>
    <row r="803" spans="1:9" ht="14.4">
      <c r="A803" s="124"/>
      <c r="B803" s="410" t="s">
        <v>528</v>
      </c>
      <c r="C803" s="908"/>
      <c r="D803" s="1251" t="s">
        <v>705</v>
      </c>
      <c r="E803" s="1251"/>
      <c r="F803" s="1251"/>
      <c r="G803" s="907"/>
      <c r="I803" s="408" t="s">
        <v>699</v>
      </c>
    </row>
    <row r="804" spans="1:9" ht="14.4">
      <c r="A804" s="124"/>
      <c r="B804" s="124"/>
      <c r="C804" s="908"/>
      <c r="D804" s="1251"/>
      <c r="E804" s="1251"/>
      <c r="F804" s="1251"/>
      <c r="G804" s="907"/>
      <c r="I804" s="415"/>
    </row>
    <row r="805" spans="1:9" ht="14.4">
      <c r="A805" s="124"/>
      <c r="B805" s="124"/>
      <c r="C805" s="908"/>
      <c r="D805" s="1251"/>
      <c r="E805" s="1251"/>
      <c r="F805" s="1251"/>
      <c r="G805" s="907"/>
      <c r="I805" s="415"/>
    </row>
    <row r="806" spans="1:9" ht="14.4">
      <c r="A806" s="124"/>
      <c r="B806" s="124"/>
      <c r="C806" s="908"/>
      <c r="D806" s="1251"/>
      <c r="E806" s="1251"/>
      <c r="F806" s="1251"/>
      <c r="G806" s="907"/>
      <c r="I806" s="415"/>
    </row>
    <row r="807" spans="1:9" ht="14.4">
      <c r="A807" s="124"/>
      <c r="B807" s="124"/>
      <c r="C807" s="908"/>
      <c r="D807" s="1251"/>
      <c r="E807" s="1251"/>
      <c r="F807" s="1251"/>
      <c r="G807" s="907"/>
      <c r="I807" s="415"/>
    </row>
    <row r="808" spans="1:9" ht="14.4">
      <c r="A808" s="124"/>
      <c r="B808" s="124"/>
      <c r="C808" s="908"/>
      <c r="D808" s="1251"/>
      <c r="E808" s="1251"/>
      <c r="F808" s="1251"/>
      <c r="G808" s="907"/>
      <c r="I808" s="415"/>
    </row>
    <row r="809" spans="1:9" ht="14.4">
      <c r="A809" s="124"/>
      <c r="B809" s="124"/>
      <c r="C809" s="908"/>
      <c r="D809" s="901"/>
      <c r="E809" s="901"/>
      <c r="F809" s="901"/>
      <c r="G809" s="907"/>
      <c r="I809" s="415"/>
    </row>
    <row r="810" spans="1:9" ht="14.4">
      <c r="A810" s="124"/>
      <c r="B810" s="410" t="s">
        <v>528</v>
      </c>
      <c r="C810" s="908"/>
      <c r="D810" s="1259" t="s">
        <v>706</v>
      </c>
      <c r="E810" s="1259"/>
      <c r="F810" s="1259"/>
      <c r="G810" s="907"/>
      <c r="I810" s="408" t="s">
        <v>699</v>
      </c>
    </row>
    <row r="811" spans="1:9" ht="14.4">
      <c r="A811" s="124"/>
      <c r="B811" s="124"/>
      <c r="C811" s="908"/>
      <c r="D811" s="1259"/>
      <c r="E811" s="1259"/>
      <c r="F811" s="1259"/>
      <c r="G811" s="907"/>
      <c r="I811" s="415"/>
    </row>
    <row r="812" spans="1:9">
      <c r="A812" s="13"/>
      <c r="B812" s="13"/>
      <c r="C812" s="908"/>
      <c r="D812" s="1259"/>
      <c r="E812" s="1259"/>
      <c r="F812" s="1259"/>
      <c r="G812" s="907"/>
      <c r="I812" s="415"/>
    </row>
    <row r="813" spans="1:9" ht="14.4">
      <c r="A813" s="124"/>
      <c r="B813" s="13"/>
      <c r="C813" s="908"/>
      <c r="D813" s="1259"/>
      <c r="E813" s="1259"/>
      <c r="F813" s="1259"/>
      <c r="G813" s="907"/>
      <c r="I813" s="415"/>
    </row>
    <row r="814" spans="1:9" ht="12.75" customHeight="1">
      <c r="A814" s="124"/>
      <c r="B814" s="13"/>
      <c r="C814" s="908"/>
      <c r="D814" s="1259"/>
      <c r="E814" s="1259"/>
      <c r="F814" s="1259"/>
      <c r="G814" s="907"/>
      <c r="I814" s="415"/>
    </row>
    <row r="815" spans="1:9" ht="12.75" customHeight="1">
      <c r="A815" s="124"/>
      <c r="B815" s="13"/>
      <c r="C815" s="908"/>
      <c r="D815" s="1259"/>
      <c r="E815" s="1259"/>
      <c r="F815" s="1259"/>
      <c r="G815" s="907"/>
      <c r="I815" s="415"/>
    </row>
    <row r="816" spans="1:9" ht="12.75" customHeight="1">
      <c r="A816" s="13"/>
      <c r="B816" s="13"/>
      <c r="C816" s="908"/>
      <c r="D816" s="907"/>
      <c r="E816" s="3"/>
      <c r="F816" s="3"/>
      <c r="G816" s="907"/>
      <c r="I816" s="415"/>
    </row>
    <row r="817" spans="1:9" ht="12.75" customHeight="1">
      <c r="A817" s="1246" t="s">
        <v>707</v>
      </c>
      <c r="B817" s="1246"/>
      <c r="C817" s="1246"/>
      <c r="D817" s="1246"/>
      <c r="E817" s="1246"/>
      <c r="F817" s="1246"/>
      <c r="G817" s="1246"/>
      <c r="H817" s="944"/>
      <c r="I817" s="1135"/>
    </row>
    <row r="818" spans="1:9" ht="12.75" customHeight="1">
      <c r="A818" s="120"/>
      <c r="B818" s="120"/>
      <c r="C818" s="908"/>
      <c r="D818" s="907"/>
      <c r="E818" s="907"/>
      <c r="F818" s="907"/>
      <c r="G818" s="907"/>
      <c r="I818" s="415"/>
    </row>
    <row r="819" spans="1:9" ht="12.75" customHeight="1">
      <c r="A819" s="124"/>
      <c r="B819" s="124"/>
      <c r="C819" s="278"/>
      <c r="D819" s="1250" t="s">
        <v>708</v>
      </c>
      <c r="E819" s="1250"/>
      <c r="F819" s="1250"/>
      <c r="G819" s="3"/>
      <c r="I819" s="415"/>
    </row>
    <row r="820" spans="1:9" ht="14.25" customHeight="1">
      <c r="A820" s="124"/>
      <c r="B820" s="124"/>
      <c r="C820" s="278"/>
      <c r="D820" s="1220" t="s">
        <v>709</v>
      </c>
      <c r="E820" s="1220"/>
      <c r="F820" s="1220"/>
      <c r="G820" s="3"/>
      <c r="I820" s="415"/>
    </row>
    <row r="821" spans="1:9" ht="12.75" customHeight="1">
      <c r="A821" s="124"/>
      <c r="B821" s="124"/>
      <c r="C821" s="278"/>
      <c r="D821" s="367"/>
      <c r="E821" s="367"/>
      <c r="F821" s="367"/>
      <c r="G821" s="3"/>
      <c r="I821" s="415"/>
    </row>
    <row r="822" spans="1:9" ht="12.75" customHeight="1">
      <c r="A822" s="278"/>
      <c r="B822" s="410" t="s">
        <v>2796</v>
      </c>
      <c r="C822" s="908"/>
      <c r="D822" s="1220" t="s">
        <v>710</v>
      </c>
      <c r="E822" s="1220"/>
      <c r="F822" s="1220"/>
      <c r="G822" s="3"/>
      <c r="I822" s="415" t="s">
        <v>587</v>
      </c>
    </row>
    <row r="823" spans="1:9" ht="14.25" customHeight="1">
      <c r="A823" s="13"/>
      <c r="B823" s="13"/>
      <c r="C823" s="908"/>
      <c r="E823" s="952" t="s">
        <v>588</v>
      </c>
      <c r="F823" s="954"/>
      <c r="G823" s="3"/>
      <c r="I823" s="415"/>
    </row>
    <row r="824" spans="1:9" ht="12.75" customHeight="1">
      <c r="A824" s="13"/>
      <c r="B824" s="13"/>
      <c r="C824" s="908"/>
      <c r="D824" s="910"/>
      <c r="E824" s="3"/>
      <c r="F824" s="3"/>
      <c r="G824" s="3"/>
      <c r="I824" s="415"/>
    </row>
    <row r="825" spans="1:9" ht="14.25" hidden="1" customHeight="1">
      <c r="A825" s="13"/>
      <c r="B825" s="410" t="s">
        <v>294</v>
      </c>
      <c r="C825" s="908"/>
      <c r="D825" s="1295" t="s">
        <v>711</v>
      </c>
      <c r="E825" s="1295"/>
      <c r="F825" s="1295"/>
      <c r="G825" s="3"/>
      <c r="I825" s="415"/>
    </row>
    <row r="826" spans="1:9" ht="12.75" hidden="1" customHeight="1">
      <c r="A826" s="13"/>
      <c r="B826" s="13"/>
      <c r="C826" s="908"/>
      <c r="D826" s="1295"/>
      <c r="E826" s="1295"/>
      <c r="F826" s="1295"/>
      <c r="G826" s="3"/>
      <c r="I826" s="415"/>
    </row>
    <row r="827" spans="1:9" ht="12.75" hidden="1" customHeight="1">
      <c r="A827" s="13"/>
      <c r="B827" s="13"/>
      <c r="C827" s="908"/>
      <c r="D827" s="1295"/>
      <c r="E827" s="1295"/>
      <c r="F827" s="1295"/>
      <c r="G827" s="3"/>
      <c r="I827" s="415"/>
    </row>
    <row r="828" spans="1:9" ht="12.75" hidden="1" customHeight="1">
      <c r="A828" s="13"/>
      <c r="B828" s="13"/>
      <c r="C828" s="908"/>
      <c r="D828" s="1295"/>
      <c r="E828" s="1295"/>
      <c r="F828" s="1295"/>
      <c r="G828" s="3"/>
      <c r="I828" s="415"/>
    </row>
    <row r="829" spans="1:9" ht="12.75" hidden="1" customHeight="1">
      <c r="A829" s="13"/>
      <c r="B829" s="13"/>
      <c r="C829" s="908"/>
      <c r="D829" s="1295"/>
      <c r="E829" s="1295"/>
      <c r="F829" s="1295"/>
      <c r="G829" s="3"/>
      <c r="I829" s="415"/>
    </row>
    <row r="830" spans="1:9" ht="12.75" hidden="1" customHeight="1">
      <c r="A830" s="13"/>
      <c r="B830" s="13"/>
      <c r="C830" s="908"/>
      <c r="D830" s="1295"/>
      <c r="E830" s="1295"/>
      <c r="F830" s="1295"/>
      <c r="G830" s="3"/>
      <c r="I830" s="415"/>
    </row>
    <row r="831" spans="1:9" ht="12.75" hidden="1" customHeight="1">
      <c r="A831" s="13"/>
      <c r="B831" s="13"/>
      <c r="C831" s="908"/>
      <c r="D831" s="1295"/>
      <c r="E831" s="1295"/>
      <c r="F831" s="1295"/>
      <c r="G831" s="3"/>
      <c r="I831" s="415"/>
    </row>
    <row r="832" spans="1:9" ht="12.75" hidden="1" customHeight="1">
      <c r="A832" s="13"/>
      <c r="B832" s="13"/>
      <c r="C832" s="908"/>
      <c r="D832" s="1295"/>
      <c r="E832" s="1295"/>
      <c r="F832" s="1295"/>
      <c r="G832" s="3"/>
      <c r="I832" s="415"/>
    </row>
    <row r="833" spans="1:9" ht="12.75" hidden="1" customHeight="1">
      <c r="A833" s="13"/>
      <c r="B833" s="13"/>
      <c r="C833" s="908"/>
      <c r="D833" s="1295"/>
      <c r="E833" s="1295"/>
      <c r="F833" s="1295"/>
      <c r="G833" s="3"/>
      <c r="I833" s="415"/>
    </row>
    <row r="834" spans="1:9" ht="12.75" hidden="1" customHeight="1">
      <c r="A834" s="13"/>
      <c r="B834" s="13"/>
      <c r="C834" s="908"/>
      <c r="D834" s="1295"/>
      <c r="E834" s="1295"/>
      <c r="F834" s="1295"/>
      <c r="G834" s="3"/>
      <c r="I834" s="415"/>
    </row>
    <row r="835" spans="1:9" ht="12.75" hidden="1" customHeight="1">
      <c r="A835" s="13"/>
      <c r="B835" s="13"/>
      <c r="C835" s="908"/>
      <c r="D835" s="910"/>
      <c r="E835" s="3"/>
      <c r="F835" s="3"/>
      <c r="G835" s="3"/>
      <c r="I835" s="415"/>
    </row>
    <row r="836" spans="1:9" ht="12.75" customHeight="1">
      <c r="A836" s="124"/>
      <c r="B836" s="410" t="s">
        <v>2796</v>
      </c>
      <c r="C836" s="908"/>
      <c r="D836" s="1220" t="s">
        <v>712</v>
      </c>
      <c r="E836" s="1220"/>
      <c r="F836" s="1220"/>
      <c r="G836" s="3"/>
      <c r="I836" s="415" t="s">
        <v>590</v>
      </c>
    </row>
    <row r="837" spans="1:9" ht="12.75" customHeight="1">
      <c r="A837" s="124"/>
      <c r="B837" s="124"/>
      <c r="C837" s="908"/>
      <c r="D837" s="1220"/>
      <c r="E837" s="1220"/>
      <c r="F837" s="1220"/>
      <c r="G837" s="3"/>
      <c r="I837" s="415"/>
    </row>
    <row r="838" spans="1:9" ht="12.75" customHeight="1">
      <c r="A838" s="124"/>
      <c r="B838" s="124"/>
      <c r="C838" s="908"/>
      <c r="D838" s="1220"/>
      <c r="E838" s="1220"/>
      <c r="F838" s="1220"/>
      <c r="G838" s="3"/>
      <c r="I838" s="415"/>
    </row>
    <row r="839" spans="1:9" ht="12.75" customHeight="1">
      <c r="A839" s="124"/>
      <c r="B839" s="124"/>
      <c r="C839" s="908"/>
      <c r="D839" s="85"/>
      <c r="E839" s="3"/>
      <c r="F839" s="3"/>
      <c r="G839" s="3"/>
      <c r="I839" s="415"/>
    </row>
    <row r="840" spans="1:9" ht="12.75" customHeight="1">
      <c r="A840" s="911"/>
      <c r="B840" s="410" t="s">
        <v>528</v>
      </c>
      <c r="C840" s="908"/>
      <c r="D840" s="1250" t="s">
        <v>713</v>
      </c>
      <c r="E840" s="1250"/>
      <c r="F840" s="1250"/>
      <c r="G840" s="3"/>
      <c r="I840" s="415"/>
    </row>
    <row r="841" spans="1:9" ht="12.75" customHeight="1">
      <c r="A841" s="278"/>
      <c r="B841" s="911"/>
      <c r="C841" s="908"/>
      <c r="D841" s="1250"/>
      <c r="E841" s="1250"/>
      <c r="F841" s="1250"/>
      <c r="G841" s="3"/>
      <c r="I841" s="415"/>
    </row>
    <row r="842" spans="1:9" ht="12.75" customHeight="1">
      <c r="A842" s="124"/>
      <c r="B842" s="278"/>
      <c r="C842" s="908"/>
      <c r="D842" s="1220" t="s">
        <v>714</v>
      </c>
      <c r="E842" s="1220"/>
      <c r="F842" s="1220"/>
      <c r="G842" s="3"/>
      <c r="I842" s="415"/>
    </row>
    <row r="843" spans="1:9" ht="12.75" customHeight="1">
      <c r="A843" s="124"/>
      <c r="B843" s="124"/>
      <c r="C843" s="908"/>
      <c r="D843" s="1220"/>
      <c r="E843" s="1220"/>
      <c r="F843" s="1220"/>
      <c r="G843" s="3"/>
      <c r="I843" s="415"/>
    </row>
    <row r="844" spans="1:9" ht="12.75" customHeight="1">
      <c r="A844" s="124"/>
      <c r="B844" s="124"/>
      <c r="C844" s="908"/>
      <c r="D844" s="1220"/>
      <c r="E844" s="1220"/>
      <c r="F844" s="1220"/>
      <c r="G844" s="3"/>
      <c r="I844" s="415"/>
    </row>
    <row r="845" spans="1:9" ht="12.75" customHeight="1">
      <c r="A845" s="124"/>
      <c r="B845" s="124"/>
      <c r="C845" s="908"/>
      <c r="D845" s="1220"/>
      <c r="E845" s="1220"/>
      <c r="F845" s="1220"/>
      <c r="G845" s="3"/>
      <c r="I845" s="415"/>
    </row>
    <row r="846" spans="1:9" ht="12.75" customHeight="1">
      <c r="A846" s="124"/>
      <c r="B846" s="124"/>
      <c r="C846" s="908"/>
      <c r="D846" s="1220"/>
      <c r="E846" s="1220"/>
      <c r="F846" s="1220"/>
      <c r="G846" s="3"/>
      <c r="I846" s="415"/>
    </row>
    <row r="847" spans="1:9" ht="12.75" customHeight="1">
      <c r="A847" s="124"/>
      <c r="B847" s="124"/>
      <c r="C847" s="908"/>
      <c r="D847" s="1220"/>
      <c r="E847" s="1220"/>
      <c r="F847" s="1220"/>
      <c r="G847" s="3"/>
      <c r="I847" s="415"/>
    </row>
    <row r="848" spans="1:9" ht="12.75" customHeight="1">
      <c r="A848" s="124"/>
      <c r="B848" s="124"/>
      <c r="C848" s="908"/>
      <c r="D848" s="85"/>
      <c r="E848" s="3"/>
      <c r="F848" s="3"/>
      <c r="G848" s="3"/>
      <c r="I848" s="415"/>
    </row>
    <row r="849" spans="1:9" ht="12.75" customHeight="1">
      <c r="A849" s="124"/>
      <c r="B849" s="410" t="s">
        <v>528</v>
      </c>
      <c r="C849" s="908"/>
      <c r="D849" s="1220" t="s">
        <v>715</v>
      </c>
      <c r="E849" s="1220"/>
      <c r="F849" s="1220"/>
      <c r="G849" s="3"/>
      <c r="I849" s="415" t="s">
        <v>594</v>
      </c>
    </row>
    <row r="850" spans="1:9" ht="12.75" customHeight="1">
      <c r="A850" s="124"/>
      <c r="B850" s="124"/>
      <c r="C850" s="908"/>
      <c r="D850" s="1220" t="s">
        <v>716</v>
      </c>
      <c r="E850" s="1220"/>
      <c r="F850" s="1220"/>
      <c r="G850" s="3"/>
      <c r="I850" s="415"/>
    </row>
    <row r="851" spans="1:9" ht="12.75" customHeight="1">
      <c r="A851" s="124"/>
      <c r="B851" s="124"/>
      <c r="C851" s="908"/>
      <c r="E851" s="952" t="s">
        <v>596</v>
      </c>
      <c r="F851" s="954"/>
      <c r="G851" s="3"/>
      <c r="I851" s="415"/>
    </row>
    <row r="852" spans="1:9" ht="12.75" customHeight="1">
      <c r="A852" s="124"/>
      <c r="B852" s="124"/>
      <c r="C852" s="908"/>
      <c r="D852" s="85"/>
      <c r="E852" s="3"/>
      <c r="F852" s="3"/>
      <c r="G852" s="3"/>
      <c r="I852" s="415"/>
    </row>
    <row r="853" spans="1:9" ht="12.75" customHeight="1">
      <c r="A853" s="124"/>
      <c r="B853" s="410" t="s">
        <v>528</v>
      </c>
      <c r="C853" s="908"/>
      <c r="D853" s="1220" t="s">
        <v>717</v>
      </c>
      <c r="E853" s="1220"/>
      <c r="F853" s="1220"/>
      <c r="G853" s="3"/>
      <c r="I853" s="415" t="s">
        <v>598</v>
      </c>
    </row>
    <row r="854" spans="1:9" ht="12.75" customHeight="1">
      <c r="A854" s="124"/>
      <c r="B854" s="124"/>
      <c r="C854" s="908"/>
      <c r="D854" s="1220"/>
      <c r="E854" s="1220"/>
      <c r="F854" s="1220"/>
      <c r="G854" s="3"/>
      <c r="I854" s="415"/>
    </row>
    <row r="855" spans="1:9" ht="12.75" customHeight="1">
      <c r="A855" s="124"/>
      <c r="B855" s="124"/>
      <c r="C855" s="908"/>
      <c r="D855" s="1220"/>
      <c r="E855" s="1220"/>
      <c r="F855" s="1220"/>
      <c r="G855" s="3"/>
      <c r="I855" s="415"/>
    </row>
    <row r="856" spans="1:9" ht="12.75" customHeight="1">
      <c r="A856" s="124"/>
      <c r="B856" s="124"/>
      <c r="C856" s="908"/>
      <c r="D856" s="1220"/>
      <c r="E856" s="1220"/>
      <c r="F856" s="1220"/>
      <c r="G856" s="3"/>
      <c r="I856" s="415"/>
    </row>
    <row r="857" spans="1:9" ht="12.75" customHeight="1">
      <c r="A857" s="120"/>
      <c r="B857" s="120"/>
      <c r="C857" s="120"/>
      <c r="D857" s="85"/>
      <c r="E857" s="3"/>
      <c r="F857" s="3"/>
      <c r="G857" s="3"/>
      <c r="I857" s="415"/>
    </row>
    <row r="858" spans="1:9" ht="12.75" customHeight="1">
      <c r="A858" s="902" t="s">
        <v>718</v>
      </c>
      <c r="B858" s="902"/>
      <c r="C858" s="912"/>
      <c r="D858" s="912"/>
      <c r="E858" s="912"/>
      <c r="F858" s="912"/>
      <c r="G858" s="912"/>
      <c r="H858" s="944"/>
      <c r="I858" s="1135"/>
    </row>
    <row r="859" spans="1:9" ht="12.75" customHeight="1">
      <c r="A859" s="120"/>
      <c r="B859" s="120"/>
      <c r="C859" s="120"/>
      <c r="D859" s="913"/>
      <c r="E859" s="3"/>
      <c r="F859" s="3"/>
      <c r="G859" s="3"/>
      <c r="I859" s="415"/>
    </row>
    <row r="860" spans="1:9" ht="12.75" customHeight="1">
      <c r="A860" s="278"/>
      <c r="B860" s="278"/>
      <c r="C860" s="123"/>
      <c r="D860" s="1239" t="s">
        <v>719</v>
      </c>
      <c r="E860" s="1239"/>
      <c r="F860" s="1239"/>
      <c r="G860" s="907"/>
      <c r="I860" s="415"/>
    </row>
    <row r="861" spans="1:9" ht="12.75" customHeight="1">
      <c r="A861" s="278"/>
      <c r="B861" s="278"/>
      <c r="C861" s="123"/>
      <c r="D861" s="1294" t="s">
        <v>720</v>
      </c>
      <c r="E861" s="1294"/>
      <c r="F861" s="1294"/>
      <c r="G861" s="907"/>
      <c r="I861" s="415"/>
    </row>
    <row r="862" spans="1:9" ht="12.75" customHeight="1">
      <c r="A862" s="278"/>
      <c r="B862" s="278"/>
      <c r="C862" s="123"/>
      <c r="D862" s="914"/>
      <c r="E862" s="914"/>
      <c r="F862" s="914"/>
      <c r="G862" s="907"/>
      <c r="I862" s="415"/>
    </row>
    <row r="863" spans="1:9" ht="12.75" customHeight="1">
      <c r="A863" s="124"/>
      <c r="B863" s="410" t="s">
        <v>2796</v>
      </c>
      <c r="C863" s="278"/>
      <c r="D863" s="1240" t="s">
        <v>721</v>
      </c>
      <c r="E863" s="1240"/>
      <c r="F863" s="1240"/>
      <c r="G863" s="907"/>
      <c r="I863" s="415" t="s">
        <v>594</v>
      </c>
    </row>
    <row r="864" spans="1:9" ht="12.75" customHeight="1">
      <c r="A864" s="278"/>
      <c r="B864" s="278"/>
      <c r="C864" s="278"/>
      <c r="D864" s="2" t="s">
        <v>566</v>
      </c>
      <c r="E864" s="952" t="s">
        <v>596</v>
      </c>
      <c r="F864" s="955"/>
      <c r="G864" s="907"/>
      <c r="I864" s="415"/>
    </row>
    <row r="865" spans="1:9" ht="12.75" customHeight="1">
      <c r="A865" s="278"/>
      <c r="B865" s="278"/>
      <c r="C865" s="278"/>
      <c r="D865" s="85"/>
      <c r="E865" s="907"/>
      <c r="F865" s="907"/>
      <c r="G865" s="907"/>
      <c r="I865" s="415"/>
    </row>
    <row r="866" spans="1:9" ht="12.75" customHeight="1">
      <c r="A866" s="124"/>
      <c r="B866" s="410" t="s">
        <v>2796</v>
      </c>
      <c r="C866" s="278"/>
      <c r="D866" s="1220" t="s">
        <v>722</v>
      </c>
      <c r="E866" s="1267"/>
      <c r="F866" s="1267"/>
      <c r="G866" s="3"/>
      <c r="I866" s="415" t="s">
        <v>598</v>
      </c>
    </row>
    <row r="867" spans="1:9" ht="12.75" customHeight="1">
      <c r="A867" s="278"/>
      <c r="B867" s="278"/>
      <c r="C867" s="278"/>
      <c r="D867" s="1267"/>
      <c r="E867" s="1267"/>
      <c r="F867" s="1267"/>
      <c r="G867" s="3"/>
      <c r="I867" s="415"/>
    </row>
    <row r="868" spans="1:9" ht="12.75" customHeight="1">
      <c r="A868" s="278"/>
      <c r="B868" s="278"/>
      <c r="C868" s="278"/>
      <c r="D868" s="85"/>
      <c r="E868" s="3"/>
      <c r="F868" s="3"/>
      <c r="G868" s="3"/>
      <c r="I868" s="415"/>
    </row>
    <row r="869" spans="1:9" ht="12.75" customHeight="1">
      <c r="A869" s="278"/>
      <c r="B869" s="410" t="s">
        <v>528</v>
      </c>
      <c r="C869" s="278"/>
      <c r="D869" s="1298" t="s">
        <v>723</v>
      </c>
      <c r="E869" s="1298"/>
      <c r="F869" s="1298"/>
      <c r="G869" s="907"/>
      <c r="I869" s="415"/>
    </row>
    <row r="870" spans="1:9" ht="12.75" customHeight="1">
      <c r="A870" s="278"/>
      <c r="B870" s="915"/>
      <c r="C870" s="278"/>
      <c r="D870" s="1298"/>
      <c r="E870" s="1298"/>
      <c r="F870" s="1298"/>
      <c r="G870" s="907"/>
      <c r="I870" s="415"/>
    </row>
    <row r="871" spans="1:9" ht="12.75" customHeight="1">
      <c r="A871" s="124"/>
      <c r="B871"/>
      <c r="C871" s="278"/>
      <c r="D871" s="1220" t="s">
        <v>714</v>
      </c>
      <c r="E871" s="1220"/>
      <c r="F871" s="1220"/>
      <c r="G871" s="907"/>
      <c r="I871" s="415"/>
    </row>
    <row r="872" spans="1:9" ht="12.75" customHeight="1">
      <c r="A872" s="124"/>
      <c r="B872" s="124"/>
      <c r="C872" s="278"/>
      <c r="D872" s="1220"/>
      <c r="E872" s="1220"/>
      <c r="F872" s="1220"/>
      <c r="G872" s="907"/>
      <c r="I872" s="415"/>
    </row>
    <row r="873" spans="1:9" ht="12.75" customHeight="1">
      <c r="A873" s="124"/>
      <c r="B873" s="124"/>
      <c r="C873" s="278"/>
      <c r="D873" s="1220"/>
      <c r="E873" s="1220"/>
      <c r="F873" s="1220"/>
      <c r="G873" s="907"/>
      <c r="I873" s="415"/>
    </row>
    <row r="874" spans="1:9" ht="12.75" customHeight="1">
      <c r="A874" s="124"/>
      <c r="B874" s="124"/>
      <c r="C874" s="278"/>
      <c r="D874" s="1220"/>
      <c r="E874" s="1220"/>
      <c r="F874" s="1220"/>
      <c r="G874" s="907"/>
      <c r="I874" s="415"/>
    </row>
    <row r="875" spans="1:9" ht="12.75" customHeight="1">
      <c r="A875" s="124"/>
      <c r="B875" s="124"/>
      <c r="C875" s="278"/>
      <c r="D875" s="1220"/>
      <c r="E875" s="1220"/>
      <c r="F875" s="1220"/>
      <c r="G875" s="907"/>
      <c r="I875" s="415"/>
    </row>
    <row r="876" spans="1:9" ht="12.75" customHeight="1">
      <c r="A876" s="124"/>
      <c r="B876" s="124"/>
      <c r="C876" s="278"/>
      <c r="D876" s="1220"/>
      <c r="E876" s="1220"/>
      <c r="F876" s="1220"/>
      <c r="G876" s="907"/>
      <c r="I876" s="415"/>
    </row>
    <row r="877" spans="1:9" ht="12.75" customHeight="1">
      <c r="A877" s="124"/>
      <c r="B877" s="124"/>
      <c r="C877" s="278"/>
      <c r="D877" s="85"/>
      <c r="E877" s="907"/>
      <c r="F877" s="907"/>
      <c r="G877" s="907"/>
      <c r="I877" s="415"/>
    </row>
    <row r="878" spans="1:9" ht="12.75" customHeight="1">
      <c r="A878" s="124"/>
      <c r="B878" s="410" t="s">
        <v>528</v>
      </c>
      <c r="C878" s="278"/>
      <c r="D878" s="1238" t="s">
        <v>715</v>
      </c>
      <c r="E878" s="1238"/>
      <c r="F878" s="1238"/>
      <c r="G878" s="907"/>
      <c r="I878" s="415" t="s">
        <v>594</v>
      </c>
    </row>
    <row r="879" spans="1:9" ht="12.75" customHeight="1">
      <c r="A879" s="124"/>
      <c r="B879" s="124"/>
      <c r="C879" s="278"/>
      <c r="D879" s="1238" t="s">
        <v>716</v>
      </c>
      <c r="E879" s="1238"/>
      <c r="F879" s="1238"/>
      <c r="G879" s="907"/>
      <c r="I879" s="415"/>
    </row>
    <row r="880" spans="1:9" ht="12.75" customHeight="1">
      <c r="A880" s="124"/>
      <c r="B880" s="124"/>
      <c r="C880" s="278"/>
      <c r="D880" s="2" t="s">
        <v>724</v>
      </c>
      <c r="E880" s="952" t="s">
        <v>596</v>
      </c>
      <c r="F880" s="956"/>
      <c r="G880" s="907"/>
      <c r="I880" s="415"/>
    </row>
    <row r="881" spans="1:9" ht="12.75" customHeight="1">
      <c r="A881" s="124"/>
      <c r="B881" s="124"/>
      <c r="C881" s="278"/>
      <c r="D881" s="85"/>
      <c r="E881" s="907"/>
      <c r="F881" s="907"/>
      <c r="G881" s="907"/>
      <c r="I881" s="415"/>
    </row>
    <row r="882" spans="1:9" ht="12.75" customHeight="1">
      <c r="A882" s="124"/>
      <c r="B882" s="410" t="s">
        <v>528</v>
      </c>
      <c r="C882" s="278"/>
      <c r="D882" s="1220" t="s">
        <v>717</v>
      </c>
      <c r="E882" s="1220"/>
      <c r="F882" s="1220"/>
      <c r="G882" s="907"/>
      <c r="I882" s="415" t="s">
        <v>598</v>
      </c>
    </row>
    <row r="883" spans="1:9" ht="12.75" customHeight="1">
      <c r="A883" s="124"/>
      <c r="B883" s="124"/>
      <c r="C883" s="278"/>
      <c r="D883" s="1220"/>
      <c r="E883" s="1220"/>
      <c r="F883" s="1220"/>
      <c r="G883" s="907"/>
      <c r="I883" s="415"/>
    </row>
    <row r="884" spans="1:9" ht="12.75" customHeight="1">
      <c r="A884" s="124"/>
      <c r="B884" s="124"/>
      <c r="C884" s="278"/>
      <c r="D884" s="1220"/>
      <c r="E884" s="1220"/>
      <c r="F884" s="1220"/>
      <c r="G884" s="907"/>
      <c r="I884" s="415"/>
    </row>
    <row r="885" spans="1:9" ht="12.75" customHeight="1">
      <c r="A885" s="124"/>
      <c r="B885" s="124"/>
      <c r="C885" s="278"/>
      <c r="D885" s="1220"/>
      <c r="E885" s="1220"/>
      <c r="F885" s="1220"/>
      <c r="G885" s="907"/>
      <c r="I885" s="415"/>
    </row>
    <row r="886" spans="1:9" ht="12.75" customHeight="1">
      <c r="A886" s="85"/>
      <c r="B886" s="85"/>
      <c r="C886" s="908"/>
      <c r="D886" s="907"/>
      <c r="E886" s="907"/>
      <c r="F886" s="907"/>
      <c r="G886" s="907"/>
      <c r="I886" s="415"/>
    </row>
    <row r="887" spans="1:9" ht="12.75" customHeight="1">
      <c r="A887" s="1246" t="s">
        <v>725</v>
      </c>
      <c r="B887" s="1246"/>
      <c r="C887" s="1246"/>
      <c r="D887" s="1246"/>
      <c r="E887" s="1246"/>
      <c r="F887" s="1246"/>
      <c r="G887" s="1246"/>
      <c r="H887" s="944"/>
      <c r="I887" s="1135"/>
    </row>
    <row r="888" spans="1:9" ht="12.75" customHeight="1">
      <c r="A888" s="50"/>
      <c r="B888" s="50"/>
      <c r="C888" s="50"/>
      <c r="D888" s="50"/>
      <c r="E888" s="50"/>
      <c r="F888" s="50"/>
      <c r="G888" s="50"/>
      <c r="I888" s="415"/>
    </row>
    <row r="889" spans="1:9" ht="12.75" customHeight="1">
      <c r="A889" s="50"/>
      <c r="B889" s="50"/>
      <c r="C889" s="50"/>
      <c r="D889" s="1252" t="s">
        <v>726</v>
      </c>
      <c r="E889" s="1252"/>
      <c r="F889" s="1252"/>
      <c r="G889" s="50"/>
      <c r="I889" s="415"/>
    </row>
    <row r="890" spans="1:9" ht="12.75" customHeight="1">
      <c r="A890" s="50"/>
      <c r="B890" s="50"/>
      <c r="C890" s="50"/>
      <c r="D890" s="900"/>
      <c r="E890" s="900"/>
      <c r="F890" s="900"/>
      <c r="G890" s="50"/>
      <c r="I890" s="415"/>
    </row>
    <row r="891" spans="1:9" ht="12.75" customHeight="1">
      <c r="A891" s="50"/>
      <c r="B891" s="410" t="s">
        <v>2796</v>
      </c>
      <c r="C891" s="50"/>
      <c r="D891" s="903" t="s">
        <v>727</v>
      </c>
      <c r="E891" s="900"/>
      <c r="F891" s="900"/>
      <c r="G891" s="50"/>
      <c r="I891" s="415" t="s">
        <v>728</v>
      </c>
    </row>
    <row r="892" spans="1:9" ht="12.75" customHeight="1">
      <c r="A892" s="50"/>
      <c r="B892" s="50"/>
      <c r="C892" s="50"/>
      <c r="D892" s="900"/>
      <c r="E892" s="900"/>
      <c r="F892" s="900"/>
      <c r="G892" s="50"/>
      <c r="I892" s="415"/>
    </row>
    <row r="893" spans="1:9" ht="12.75" customHeight="1">
      <c r="A893" s="278"/>
      <c r="B893" s="278"/>
      <c r="C893" s="908"/>
      <c r="D893" s="1252" t="s">
        <v>729</v>
      </c>
      <c r="E893" s="1252"/>
      <c r="F893" s="1252"/>
      <c r="G893" s="907"/>
      <c r="I893" s="415"/>
    </row>
    <row r="894" spans="1:9" ht="12.75" customHeight="1">
      <c r="A894" s="120"/>
      <c r="B894" s="120"/>
      <c r="C894" s="120"/>
      <c r="D894" s="1240" t="s">
        <v>730</v>
      </c>
      <c r="E894" s="1240"/>
      <c r="F894" s="1240"/>
      <c r="G894" s="907"/>
      <c r="I894" s="415"/>
    </row>
    <row r="895" spans="1:9" ht="12.75" customHeight="1">
      <c r="A895" s="908"/>
      <c r="B895" s="908"/>
      <c r="C895" s="908"/>
      <c r="D895" s="2"/>
      <c r="E895" s="907"/>
      <c r="F895" s="907"/>
      <c r="G895" s="907"/>
      <c r="I895" s="415"/>
    </row>
    <row r="896" spans="1:9" ht="12.75" customHeight="1">
      <c r="A896" s="124"/>
      <c r="B896" s="410" t="s">
        <v>2796</v>
      </c>
      <c r="C896" s="278"/>
      <c r="D896" s="1220" t="s">
        <v>731</v>
      </c>
      <c r="E896" s="1220"/>
      <c r="F896" s="1220"/>
      <c r="G896" s="3"/>
      <c r="I896" s="415" t="s">
        <v>732</v>
      </c>
    </row>
    <row r="897" spans="1:9" ht="12.75" customHeight="1">
      <c r="A897" s="278"/>
      <c r="B897" s="278"/>
      <c r="C897" s="278"/>
      <c r="D897" s="1220"/>
      <c r="E897" s="1220"/>
      <c r="F897" s="1220"/>
      <c r="G897" s="3"/>
      <c r="I897" s="415"/>
    </row>
    <row r="898" spans="1:9" ht="12.75" customHeight="1">
      <c r="A898" s="120"/>
      <c r="B898" s="120"/>
      <c r="C898" s="120"/>
      <c r="D898" s="1220" t="s">
        <v>733</v>
      </c>
      <c r="E898" s="1220"/>
      <c r="F898" s="1220"/>
      <c r="G898" s="907"/>
      <c r="I898" s="415"/>
    </row>
    <row r="899" spans="1:9" ht="12.75" customHeight="1">
      <c r="A899" s="120"/>
      <c r="B899" s="120"/>
      <c r="C899" s="120"/>
      <c r="D899" s="1220"/>
      <c r="E899" s="1220"/>
      <c r="F899" s="1220"/>
      <c r="G899" s="907"/>
      <c r="I899" s="415"/>
    </row>
    <row r="900" spans="1:9" ht="12.75" customHeight="1">
      <c r="A900" s="120"/>
      <c r="B900" s="120"/>
      <c r="C900" s="120"/>
      <c r="D900" s="3"/>
      <c r="E900" s="3"/>
      <c r="F900" s="907"/>
      <c r="G900" s="907"/>
      <c r="I900" s="415"/>
    </row>
    <row r="901" spans="1:9" ht="12.75" customHeight="1">
      <c r="A901" s="124"/>
      <c r="B901" s="410" t="s">
        <v>2796</v>
      </c>
      <c r="C901" s="123"/>
      <c r="D901" s="1224" t="s">
        <v>734</v>
      </c>
      <c r="E901" s="1224"/>
      <c r="F901" s="1224"/>
      <c r="G901" s="907"/>
      <c r="I901" s="415" t="s">
        <v>735</v>
      </c>
    </row>
    <row r="902" spans="1:9" ht="12.75" customHeight="1">
      <c r="A902" s="124"/>
      <c r="B902" s="124"/>
      <c r="C902" s="123"/>
      <c r="D902" s="1224"/>
      <c r="E902" s="1224"/>
      <c r="F902" s="1224"/>
      <c r="G902" s="907"/>
      <c r="I902" s="415"/>
    </row>
    <row r="903" spans="1:9" ht="12.75" customHeight="1">
      <c r="A903" s="124"/>
      <c r="B903" s="124"/>
      <c r="C903" s="123"/>
      <c r="D903" s="1224"/>
      <c r="E903" s="1224"/>
      <c r="F903" s="1224"/>
      <c r="G903" s="907"/>
      <c r="I903" s="415"/>
    </row>
    <row r="904" spans="1:9" ht="12.75" customHeight="1">
      <c r="A904" s="124"/>
      <c r="B904" s="124"/>
      <c r="C904" s="123"/>
      <c r="D904" s="1224"/>
      <c r="E904" s="1224"/>
      <c r="F904" s="1224"/>
      <c r="G904" s="907"/>
      <c r="I904" s="415"/>
    </row>
    <row r="905" spans="1:9" ht="12.75" customHeight="1">
      <c r="A905" s="124"/>
      <c r="B905" s="124"/>
      <c r="C905" s="123"/>
      <c r="D905" s="1224"/>
      <c r="E905" s="1224"/>
      <c r="F905" s="1224"/>
      <c r="G905" s="907"/>
      <c r="I905" s="415"/>
    </row>
    <row r="906" spans="1:9" ht="12.75" customHeight="1">
      <c r="A906" s="123"/>
      <c r="B906" s="123"/>
      <c r="C906" s="123"/>
      <c r="D906" s="1224"/>
      <c r="E906" s="1224"/>
      <c r="F906" s="1224"/>
      <c r="G906" s="907"/>
      <c r="I906" s="415"/>
    </row>
    <row r="907" spans="1:9" ht="12.75" customHeight="1">
      <c r="A907" s="123"/>
      <c r="B907" s="123"/>
      <c r="C907" s="123"/>
      <c r="D907" s="1224"/>
      <c r="E907" s="1224"/>
      <c r="F907" s="1224"/>
      <c r="G907" s="907"/>
      <c r="I907" s="415"/>
    </row>
    <row r="908" spans="1:9" ht="12.75" customHeight="1">
      <c r="A908" s="123"/>
      <c r="B908" s="123"/>
      <c r="C908" s="123"/>
      <c r="D908" s="1224"/>
      <c r="E908" s="1224"/>
      <c r="F908" s="1224"/>
      <c r="G908" s="907"/>
      <c r="I908" s="415"/>
    </row>
    <row r="909" spans="1:9" ht="12.75" customHeight="1">
      <c r="A909" s="123"/>
      <c r="B909" s="123"/>
      <c r="C909" s="123"/>
      <c r="D909" s="258"/>
      <c r="E909" s="258"/>
      <c r="F909" s="258"/>
      <c r="G909" s="907"/>
      <c r="I909" s="415"/>
    </row>
    <row r="910" spans="1:9" ht="12.75" customHeight="1">
      <c r="A910" s="908"/>
      <c r="B910" s="410" t="s">
        <v>528</v>
      </c>
      <c r="C910" s="908"/>
      <c r="D910" s="1220" t="s">
        <v>736</v>
      </c>
      <c r="E910" s="1220"/>
      <c r="F910" s="1220"/>
      <c r="G910" s="907"/>
      <c r="I910" s="415"/>
    </row>
    <row r="911" spans="1:9" ht="12.75" customHeight="1">
      <c r="A911" s="908"/>
      <c r="B911" s="908"/>
      <c r="C911" s="908"/>
      <c r="D911" s="1220"/>
      <c r="E911" s="1220"/>
      <c r="F911" s="1220"/>
      <c r="G911" s="907"/>
      <c r="I911" s="415"/>
    </row>
    <row r="912" spans="1:9" ht="12.75" customHeight="1">
      <c r="A912" s="908"/>
      <c r="B912" s="908"/>
      <c r="C912" s="908"/>
      <c r="D912" s="907"/>
      <c r="E912" s="907"/>
      <c r="F912" s="907"/>
      <c r="G912" s="907"/>
      <c r="I912" s="415"/>
    </row>
    <row r="913" spans="1:9" ht="12.75" customHeight="1">
      <c r="A913" s="908"/>
      <c r="B913" s="410" t="s">
        <v>528</v>
      </c>
      <c r="C913" s="908"/>
      <c r="D913" s="1259" t="s">
        <v>737</v>
      </c>
      <c r="E913" s="1259"/>
      <c r="F913" s="1259"/>
      <c r="G913" s="907"/>
      <c r="I913" s="415"/>
    </row>
    <row r="914" spans="1:9" ht="12.75" customHeight="1">
      <c r="A914" s="908"/>
      <c r="B914" s="908"/>
      <c r="C914" s="908"/>
      <c r="D914" s="1259"/>
      <c r="E914" s="1259"/>
      <c r="F914" s="1259"/>
      <c r="G914" s="907"/>
      <c r="I914" s="415"/>
    </row>
    <row r="915" spans="1:9" ht="12.75" customHeight="1">
      <c r="A915" s="908"/>
      <c r="B915" s="908"/>
      <c r="C915" s="908"/>
      <c r="D915" s="1259"/>
      <c r="E915" s="1259"/>
      <c r="F915" s="1259"/>
      <c r="G915" s="907"/>
      <c r="I915" s="415"/>
    </row>
    <row r="916" spans="1:9" ht="12.75" customHeight="1">
      <c r="A916" s="908"/>
      <c r="B916" s="908"/>
      <c r="C916" s="908"/>
      <c r="D916" s="1259"/>
      <c r="E916" s="1259"/>
      <c r="F916" s="1259"/>
      <c r="G916" s="907"/>
      <c r="I916" s="415"/>
    </row>
    <row r="917" spans="1:9" ht="12.75" customHeight="1">
      <c r="A917" s="908"/>
      <c r="B917" s="908"/>
      <c r="C917" s="908"/>
      <c r="D917" s="85"/>
      <c r="E917" s="907"/>
      <c r="F917" s="907"/>
      <c r="G917" s="907"/>
      <c r="I917" s="415"/>
    </row>
    <row r="918" spans="1:9" ht="12.75" customHeight="1">
      <c r="A918" s="908"/>
      <c r="B918" s="410" t="s">
        <v>528</v>
      </c>
      <c r="C918" s="908"/>
      <c r="D918" s="1240" t="s">
        <v>738</v>
      </c>
      <c r="E918" s="1240"/>
      <c r="F918" s="1240"/>
      <c r="G918" s="907"/>
      <c r="I918" s="415"/>
    </row>
    <row r="919" spans="1:9" ht="12.75" customHeight="1">
      <c r="A919" s="908"/>
      <c r="B919" s="908"/>
      <c r="C919" s="908"/>
      <c r="D919" s="85"/>
      <c r="E919" s="907"/>
      <c r="F919" s="907"/>
      <c r="G919" s="907"/>
      <c r="I919" s="415"/>
    </row>
    <row r="920" spans="1:9" ht="12.75" customHeight="1">
      <c r="A920" s="908"/>
      <c r="B920" s="410" t="s">
        <v>528</v>
      </c>
      <c r="C920" s="908"/>
      <c r="D920" s="1240" t="s">
        <v>739</v>
      </c>
      <c r="E920" s="1240"/>
      <c r="F920" s="1240"/>
      <c r="G920" s="907"/>
      <c r="I920" s="415"/>
    </row>
    <row r="921" spans="1:9" ht="12.75" customHeight="1">
      <c r="A921" s="123"/>
      <c r="B921" s="123"/>
      <c r="C921" s="123"/>
      <c r="D921" s="2"/>
      <c r="E921" s="3"/>
      <c r="F921" s="907"/>
      <c r="G921" s="907"/>
      <c r="I921" s="415"/>
    </row>
    <row r="922" spans="1:9" ht="12.75" customHeight="1">
      <c r="A922" s="916"/>
      <c r="B922" s="410" t="s">
        <v>528</v>
      </c>
      <c r="C922" s="917"/>
      <c r="D922" s="1224" t="s">
        <v>740</v>
      </c>
      <c r="E922" s="1224"/>
      <c r="F922" s="1224"/>
      <c r="G922" s="918"/>
      <c r="I922" s="415" t="s">
        <v>741</v>
      </c>
    </row>
    <row r="923" spans="1:9" ht="12.75" customHeight="1">
      <c r="A923" s="916"/>
      <c r="B923" s="916"/>
      <c r="C923" s="917"/>
      <c r="D923" s="1224"/>
      <c r="E923" s="1224"/>
      <c r="F923" s="1224"/>
      <c r="G923" s="918"/>
      <c r="I923" s="415"/>
    </row>
    <row r="924" spans="1:9" ht="12.75" customHeight="1">
      <c r="A924" s="916"/>
      <c r="B924" s="916"/>
      <c r="C924" s="917"/>
      <c r="D924" s="1224"/>
      <c r="E924" s="1224"/>
      <c r="F924" s="1224"/>
      <c r="G924" s="918"/>
      <c r="I924" s="415"/>
    </row>
    <row r="925" spans="1:9" ht="12.75" customHeight="1">
      <c r="A925" s="916"/>
      <c r="B925" s="916"/>
      <c r="C925" s="917"/>
      <c r="D925" s="1224"/>
      <c r="E925" s="1224"/>
      <c r="F925" s="1224"/>
      <c r="G925" s="918"/>
      <c r="I925" s="415"/>
    </row>
    <row r="926" spans="1:9" ht="12.75" customHeight="1">
      <c r="A926" s="916"/>
      <c r="B926" s="916"/>
      <c r="C926" s="917"/>
      <c r="D926" s="1224"/>
      <c r="E926" s="1224"/>
      <c r="F926" s="1224"/>
      <c r="G926" s="918"/>
      <c r="I926" s="415"/>
    </row>
    <row r="927" spans="1:9" ht="12.75" customHeight="1">
      <c r="A927" s="916"/>
      <c r="B927" s="916"/>
      <c r="C927" s="917"/>
      <c r="D927" s="1224"/>
      <c r="E927" s="1224"/>
      <c r="F927" s="1224"/>
      <c r="G927" s="918"/>
      <c r="I927" s="415"/>
    </row>
    <row r="928" spans="1:9" ht="12.75" customHeight="1">
      <c r="A928" s="916"/>
      <c r="B928" s="916"/>
      <c r="C928" s="917"/>
      <c r="D928" s="1224"/>
      <c r="E928" s="1224"/>
      <c r="F928" s="1224"/>
      <c r="G928" s="918"/>
      <c r="I928" s="415"/>
    </row>
    <row r="929" spans="1:9" ht="12.75" customHeight="1">
      <c r="A929" s="916"/>
      <c r="B929" s="916"/>
      <c r="C929" s="917"/>
      <c r="D929" s="1224"/>
      <c r="E929" s="1224"/>
      <c r="F929" s="1224"/>
      <c r="G929" s="918"/>
      <c r="I929" s="415"/>
    </row>
    <row r="930" spans="1:9" ht="12.75" customHeight="1">
      <c r="A930" s="916"/>
      <c r="B930" s="916"/>
      <c r="C930" s="917"/>
      <c r="D930" s="1224"/>
      <c r="E930" s="1224"/>
      <c r="F930" s="1224"/>
      <c r="G930" s="918"/>
      <c r="I930" s="415"/>
    </row>
    <row r="931" spans="1:9" ht="12.75" customHeight="1">
      <c r="A931" s="123"/>
      <c r="B931" s="123"/>
      <c r="C931" s="123"/>
      <c r="D931" s="2"/>
      <c r="E931" s="3"/>
      <c r="F931" s="907"/>
      <c r="G931" s="907"/>
      <c r="I931" s="415"/>
    </row>
    <row r="932" spans="1:9" ht="12.75" customHeight="1">
      <c r="A932" s="124"/>
      <c r="B932" s="410" t="s">
        <v>2796</v>
      </c>
      <c r="C932" s="123"/>
      <c r="D932" s="1299" t="s">
        <v>742</v>
      </c>
      <c r="E932" s="1299"/>
      <c r="F932" s="1299"/>
      <c r="G932" s="907"/>
      <c r="I932" s="415" t="s">
        <v>741</v>
      </c>
    </row>
    <row r="933" spans="1:9" ht="12.75" customHeight="1">
      <c r="A933" s="124"/>
      <c r="B933" s="124"/>
      <c r="C933" s="123"/>
      <c r="D933" s="1299"/>
      <c r="E933" s="1299"/>
      <c r="F933" s="1299"/>
      <c r="G933" s="907"/>
      <c r="I933" s="415"/>
    </row>
    <row r="934" spans="1:9" ht="12.75" customHeight="1">
      <c r="A934" s="124"/>
      <c r="B934" s="124"/>
      <c r="C934" s="123"/>
      <c r="D934" s="1299"/>
      <c r="E934" s="1299"/>
      <c r="F934" s="1299"/>
      <c r="G934" s="907"/>
      <c r="I934" s="415"/>
    </row>
    <row r="935" spans="1:9" ht="12.75" customHeight="1">
      <c r="A935" s="124"/>
      <c r="B935" s="124"/>
      <c r="C935" s="123"/>
      <c r="D935" s="1299"/>
      <c r="E935" s="1299"/>
      <c r="F935" s="1299"/>
      <c r="G935" s="907"/>
      <c r="I935" s="415"/>
    </row>
    <row r="936" spans="1:9" ht="12.75" customHeight="1">
      <c r="A936" s="124"/>
      <c r="B936" s="124"/>
      <c r="C936" s="123"/>
      <c r="D936" s="1299"/>
      <c r="E936" s="1299"/>
      <c r="F936" s="1299"/>
      <c r="G936" s="907"/>
      <c r="I936" s="415"/>
    </row>
    <row r="937" spans="1:9" ht="12.75" customHeight="1">
      <c r="A937" s="124"/>
      <c r="B937" s="124"/>
      <c r="C937" s="123"/>
      <c r="D937" s="1299"/>
      <c r="E937" s="1299"/>
      <c r="F937" s="1299"/>
      <c r="G937" s="907"/>
      <c r="I937" s="415"/>
    </row>
    <row r="938" spans="1:9" ht="12.75" customHeight="1">
      <c r="A938" s="124"/>
      <c r="B938" s="124"/>
      <c r="C938" s="123"/>
      <c r="D938" s="1299"/>
      <c r="E938" s="1299"/>
      <c r="F938" s="1299"/>
      <c r="G938" s="907"/>
      <c r="I938" s="415"/>
    </row>
    <row r="939" spans="1:9" ht="12.75" customHeight="1">
      <c r="A939" s="124"/>
      <c r="B939" s="124"/>
      <c r="C939" s="123"/>
      <c r="D939" s="942"/>
      <c r="E939" s="942"/>
      <c r="F939" s="942"/>
      <c r="G939" s="907"/>
      <c r="I939" s="415"/>
    </row>
    <row r="940" spans="1:9" ht="12.75" customHeight="1">
      <c r="A940" s="124"/>
      <c r="B940" s="410" t="s">
        <v>2796</v>
      </c>
      <c r="C940" s="123"/>
      <c r="D940" s="1223" t="s">
        <v>743</v>
      </c>
      <c r="E940" s="1223"/>
      <c r="F940" s="1223"/>
      <c r="G940" s="907"/>
      <c r="I940" s="415"/>
    </row>
    <row r="941" spans="1:9" ht="12.75" customHeight="1">
      <c r="A941" s="124"/>
      <c r="B941" s="124"/>
      <c r="C941" s="123"/>
      <c r="D941" s="1223"/>
      <c r="E941" s="1223"/>
      <c r="F941" s="1223"/>
      <c r="G941" s="907"/>
      <c r="I941" s="415"/>
    </row>
    <row r="942" spans="1:9" ht="12.75" customHeight="1">
      <c r="A942" s="124"/>
      <c r="B942" s="124"/>
      <c r="C942" s="123"/>
      <c r="D942" s="1223"/>
      <c r="E942" s="1223"/>
      <c r="F942" s="1223"/>
      <c r="G942" s="907"/>
      <c r="I942" s="415"/>
    </row>
    <row r="943" spans="1:9" ht="12.75" customHeight="1">
      <c r="A943" s="124"/>
      <c r="B943" s="124"/>
      <c r="C943" s="123"/>
      <c r="D943" s="1223"/>
      <c r="E943" s="1223"/>
      <c r="F943" s="1223"/>
      <c r="G943" s="907"/>
      <c r="I943" s="415"/>
    </row>
    <row r="944" spans="1:9" ht="12.75" customHeight="1">
      <c r="A944" s="124"/>
      <c r="B944" s="124"/>
      <c r="C944" s="123"/>
      <c r="D944" s="1223"/>
      <c r="E944" s="1223"/>
      <c r="F944" s="1223"/>
      <c r="G944" s="907"/>
      <c r="I944" s="415"/>
    </row>
    <row r="945" spans="1:9" ht="12.75" customHeight="1">
      <c r="A945" s="124"/>
      <c r="B945" s="124"/>
      <c r="C945" s="123"/>
      <c r="D945" s="1223"/>
      <c r="E945" s="1223"/>
      <c r="F945" s="1223"/>
      <c r="G945" s="907"/>
      <c r="I945" s="415"/>
    </row>
    <row r="946" spans="1:9" ht="12.75" customHeight="1">
      <c r="A946" s="124"/>
      <c r="B946" s="124"/>
      <c r="C946" s="123"/>
      <c r="D946" s="942"/>
      <c r="E946" s="942"/>
      <c r="F946" s="942"/>
      <c r="G946" s="907"/>
      <c r="I946" s="415"/>
    </row>
    <row r="947" spans="1:9" ht="12.75" customHeight="1">
      <c r="A947" s="908"/>
      <c r="B947" s="410" t="s">
        <v>528</v>
      </c>
      <c r="C947" s="908"/>
      <c r="D947" s="1259" t="s">
        <v>744</v>
      </c>
      <c r="E947" s="1259"/>
      <c r="F947" s="1259"/>
      <c r="G947" s="907"/>
      <c r="I947" s="415"/>
    </row>
    <row r="948" spans="1:9" ht="12.75" customHeight="1">
      <c r="A948" s="908"/>
      <c r="B948" s="908"/>
      <c r="C948" s="908"/>
      <c r="D948" s="1259"/>
      <c r="E948" s="1259"/>
      <c r="F948" s="1259"/>
      <c r="G948" s="907"/>
      <c r="I948" s="415"/>
    </row>
    <row r="949" spans="1:9" ht="12.75" customHeight="1">
      <c r="A949" s="908"/>
      <c r="B949" s="908"/>
      <c r="C949" s="908"/>
      <c r="D949" s="1259"/>
      <c r="E949" s="1259"/>
      <c r="F949" s="1259"/>
      <c r="G949" s="907"/>
      <c r="I949" s="415"/>
    </row>
    <row r="950" spans="1:9" ht="12.75" customHeight="1">
      <c r="A950" s="124"/>
      <c r="B950" s="124"/>
      <c r="C950" s="123"/>
      <c r="D950" s="942"/>
      <c r="E950" s="942"/>
      <c r="F950" s="942"/>
      <c r="G950" s="907"/>
      <c r="I950" s="415"/>
    </row>
    <row r="951" spans="1:9" ht="12.75" customHeight="1">
      <c r="A951" s="124"/>
      <c r="B951" s="124"/>
      <c r="C951" s="123"/>
      <c r="D951" s="768"/>
      <c r="E951" s="3"/>
      <c r="F951" s="907"/>
      <c r="G951" s="907"/>
      <c r="I951" s="415"/>
    </row>
    <row r="952" spans="1:9" ht="12.75" customHeight="1">
      <c r="A952" s="124"/>
      <c r="B952" s="410" t="s">
        <v>2796</v>
      </c>
      <c r="C952" s="123"/>
      <c r="D952" s="1224" t="s">
        <v>745</v>
      </c>
      <c r="E952" s="1224"/>
      <c r="F952" s="1224"/>
      <c r="G952" s="907"/>
      <c r="I952" s="415" t="s">
        <v>741</v>
      </c>
    </row>
    <row r="953" spans="1:9" ht="12.75" customHeight="1">
      <c r="A953" s="124"/>
      <c r="B953" s="124"/>
      <c r="C953" s="123"/>
      <c r="D953" s="1224"/>
      <c r="E953" s="1224"/>
      <c r="F953" s="1224"/>
      <c r="G953" s="907"/>
      <c r="I953" s="415"/>
    </row>
    <row r="954" spans="1:9" ht="12.75" customHeight="1">
      <c r="A954" s="124"/>
      <c r="B954" s="124"/>
      <c r="C954" s="123"/>
      <c r="D954" s="1224"/>
      <c r="E954" s="1224"/>
      <c r="F954" s="1224"/>
      <c r="G954" s="907"/>
      <c r="I954" s="415"/>
    </row>
    <row r="955" spans="1:9" ht="12.75" customHeight="1">
      <c r="A955" s="124"/>
      <c r="B955" s="124"/>
      <c r="C955" s="123"/>
      <c r="D955" s="1224"/>
      <c r="E955" s="1224"/>
      <c r="F955" s="1224"/>
      <c r="G955" s="907"/>
      <c r="I955" s="415"/>
    </row>
    <row r="956" spans="1:9" ht="12.75" customHeight="1">
      <c r="A956" s="908"/>
      <c r="B956" s="908"/>
      <c r="C956" s="908"/>
      <c r="D956" s="899"/>
      <c r="E956" s="899"/>
      <c r="F956" s="899"/>
      <c r="G956" s="899"/>
      <c r="I956" s="415"/>
    </row>
    <row r="957" spans="1:9" ht="12.75" customHeight="1">
      <c r="A957" s="278"/>
      <c r="B957" s="278"/>
      <c r="C957" s="278"/>
      <c r="D957" s="1239" t="s">
        <v>746</v>
      </c>
      <c r="E957" s="1239"/>
      <c r="F957" s="1239"/>
      <c r="G957" s="3"/>
      <c r="I957" s="415"/>
    </row>
    <row r="958" spans="1:9" ht="12.75" customHeight="1">
      <c r="A958" s="124"/>
      <c r="B958" s="410" t="s">
        <v>528</v>
      </c>
      <c r="C958" s="278"/>
      <c r="D958" s="1240" t="s">
        <v>747</v>
      </c>
      <c r="E958" s="1240"/>
      <c r="F958" s="1240"/>
      <c r="G958" s="3"/>
      <c r="I958" s="415" t="s">
        <v>741</v>
      </c>
    </row>
    <row r="959" spans="1:9" ht="12.75" customHeight="1">
      <c r="A959" s="278"/>
      <c r="B959" s="278"/>
      <c r="C959" s="278"/>
      <c r="D959" s="3"/>
      <c r="E959" s="3"/>
      <c r="F959" s="3"/>
      <c r="G959" s="3"/>
      <c r="I959" s="415"/>
    </row>
    <row r="960" spans="1:9" ht="12.75" customHeight="1">
      <c r="A960" s="278"/>
      <c r="B960" s="278"/>
      <c r="C960" s="278"/>
      <c r="D960" s="1239" t="s">
        <v>748</v>
      </c>
      <c r="E960" s="1239"/>
      <c r="F960" s="1239"/>
      <c r="G960"/>
      <c r="I960" s="415"/>
    </row>
    <row r="961" spans="1:9" ht="12.75" customHeight="1">
      <c r="A961" s="124"/>
      <c r="B961" s="410" t="s">
        <v>528</v>
      </c>
      <c r="C961" s="278"/>
      <c r="D961" s="1220" t="s">
        <v>749</v>
      </c>
      <c r="E961" s="1220"/>
      <c r="F961" s="1220"/>
      <c r="G961"/>
      <c r="I961" s="415" t="s">
        <v>741</v>
      </c>
    </row>
    <row r="962" spans="1:9" ht="12.75" customHeight="1">
      <c r="A962" s="124"/>
      <c r="B962" s="124"/>
      <c r="C962" s="278"/>
      <c r="D962" s="1220"/>
      <c r="E962" s="1220"/>
      <c r="F962" s="1220"/>
      <c r="G962"/>
      <c r="I962" s="415"/>
    </row>
    <row r="963" spans="1:9" ht="12.75" customHeight="1">
      <c r="A963" s="124"/>
      <c r="B963" s="124"/>
      <c r="C963" s="278"/>
      <c r="D963" s="1220"/>
      <c r="E963" s="1220"/>
      <c r="F963" s="1220"/>
      <c r="G963"/>
      <c r="I963" s="415"/>
    </row>
    <row r="964" spans="1:9" ht="12.75" customHeight="1">
      <c r="A964" s="124"/>
      <c r="B964" s="124"/>
      <c r="C964" s="278"/>
      <c r="D964" s="1220"/>
      <c r="E964" s="1220"/>
      <c r="F964" s="1220"/>
      <c r="G964"/>
      <c r="I964" s="415"/>
    </row>
    <row r="965" spans="1:9" ht="12.75" customHeight="1">
      <c r="A965" s="124"/>
      <c r="B965" s="124"/>
      <c r="C965" s="278"/>
      <c r="D965" s="1220"/>
      <c r="E965" s="1220"/>
      <c r="F965" s="1220"/>
      <c r="G965"/>
      <c r="I965" s="415"/>
    </row>
    <row r="966" spans="1:9" ht="12.75" customHeight="1">
      <c r="A966" s="124"/>
      <c r="B966" s="124"/>
      <c r="C966" s="278"/>
      <c r="D966" s="1220"/>
      <c r="E966" s="1220"/>
      <c r="F966" s="1220"/>
      <c r="G966"/>
      <c r="I966" s="415"/>
    </row>
    <row r="967" spans="1:9" ht="12.75" customHeight="1">
      <c r="A967" s="124"/>
      <c r="B967" s="124"/>
      <c r="C967" s="278"/>
      <c r="D967" s="1220"/>
      <c r="E967" s="1220"/>
      <c r="F967" s="1220"/>
      <c r="G967"/>
      <c r="I967" s="415"/>
    </row>
    <row r="968" spans="1:9" ht="12.75" customHeight="1">
      <c r="A968" s="124"/>
      <c r="B968" s="124"/>
      <c r="C968" s="278"/>
      <c r="D968" s="1220"/>
      <c r="E968" s="1220"/>
      <c r="F968" s="1220"/>
      <c r="G968"/>
      <c r="I968" s="415"/>
    </row>
    <row r="969" spans="1:9" ht="12.75" customHeight="1">
      <c r="A969" s="124"/>
      <c r="B969" s="124"/>
      <c r="C969" s="278"/>
      <c r="D969" s="1220"/>
      <c r="E969" s="1220"/>
      <c r="F969" s="1220"/>
      <c r="G969"/>
      <c r="I969" s="415"/>
    </row>
    <row r="970" spans="1:9" ht="12.75" customHeight="1">
      <c r="A970" s="124"/>
      <c r="B970" s="124"/>
      <c r="C970" s="278"/>
      <c r="D970" s="1220"/>
      <c r="E970" s="1220"/>
      <c r="F970" s="1220"/>
      <c r="G970"/>
      <c r="I970" s="415"/>
    </row>
    <row r="971" spans="1:9" ht="12.75" customHeight="1">
      <c r="A971" s="124"/>
      <c r="B971" s="124"/>
      <c r="C971" s="278"/>
      <c r="D971" s="1220"/>
      <c r="E971" s="1220"/>
      <c r="F971" s="1220"/>
      <c r="G971"/>
      <c r="I971" s="415"/>
    </row>
    <row r="972" spans="1:9" ht="12.75" customHeight="1">
      <c r="A972" s="124"/>
      <c r="B972" s="124"/>
      <c r="C972" s="278"/>
      <c r="D972" s="1220"/>
      <c r="E972" s="1220"/>
      <c r="F972" s="1220"/>
      <c r="G972"/>
      <c r="I972" s="415"/>
    </row>
    <row r="973" spans="1:9" ht="12.75" customHeight="1">
      <c r="A973" s="124"/>
      <c r="B973" s="124"/>
      <c r="C973" s="278"/>
      <c r="D973" s="1220"/>
      <c r="E973" s="1220"/>
      <c r="F973" s="1220"/>
      <c r="G973"/>
      <c r="I973" s="415"/>
    </row>
    <row r="974" spans="1:9" ht="12.75" customHeight="1">
      <c r="A974" s="124"/>
      <c r="B974" s="124"/>
      <c r="C974" s="278"/>
      <c r="D974" s="1220"/>
      <c r="E974" s="1220"/>
      <c r="F974" s="1220"/>
      <c r="G974"/>
      <c r="I974" s="415"/>
    </row>
    <row r="975" spans="1:9" ht="12.75" customHeight="1">
      <c r="A975" s="124"/>
      <c r="B975" s="124"/>
      <c r="C975" s="278"/>
      <c r="D975" s="1220"/>
      <c r="E975" s="1220"/>
      <c r="F975" s="1220"/>
      <c r="G975" s="3"/>
      <c r="I975" s="415"/>
    </row>
    <row r="976" spans="1:9" ht="12.75" customHeight="1">
      <c r="A976" s="278"/>
      <c r="B976" s="278"/>
      <c r="C976" s="278"/>
      <c r="D976" s="3"/>
      <c r="E976" s="3"/>
      <c r="F976" s="3"/>
      <c r="G976" s="3"/>
      <c r="I976" s="415"/>
    </row>
    <row r="977" spans="1:9" ht="12.75" customHeight="1">
      <c r="A977" s="1246" t="s">
        <v>750</v>
      </c>
      <c r="B977" s="1246"/>
      <c r="C977" s="1246"/>
      <c r="D977" s="1246"/>
      <c r="E977" s="1246"/>
      <c r="F977" s="1246"/>
      <c r="G977" s="1246"/>
      <c r="H977" s="944"/>
      <c r="I977" s="1135"/>
    </row>
    <row r="978" spans="1:9" ht="12.75" customHeight="1">
      <c r="A978" s="85"/>
      <c r="B978" s="85"/>
      <c r="C978" s="278"/>
      <c r="D978" s="3"/>
      <c r="E978" s="3"/>
      <c r="F978" s="3"/>
      <c r="G978" s="3"/>
      <c r="I978" s="415"/>
    </row>
    <row r="979" spans="1:9" ht="12.75" customHeight="1">
      <c r="A979" s="278"/>
      <c r="B979" s="278"/>
      <c r="C979" s="908"/>
      <c r="D979" s="1239" t="s">
        <v>751</v>
      </c>
      <c r="E979" s="1239"/>
      <c r="F979" s="1239"/>
      <c r="G979" s="3"/>
      <c r="I979" s="415"/>
    </row>
    <row r="980" spans="1:9" ht="12.75" customHeight="1">
      <c r="A980" s="120"/>
      <c r="B980" s="120"/>
      <c r="C980" s="120"/>
      <c r="D980" s="1240" t="s">
        <v>752</v>
      </c>
      <c r="E980" s="1240"/>
      <c r="F980" s="1240"/>
      <c r="G980" s="3"/>
      <c r="I980" s="415"/>
    </row>
    <row r="981" spans="1:9" ht="12.75" customHeight="1">
      <c r="A981" s="120"/>
      <c r="B981" s="120"/>
      <c r="C981" s="120"/>
      <c r="D981" s="3"/>
      <c r="E981" s="3"/>
      <c r="F981" s="907"/>
      <c r="G981"/>
      <c r="I981" s="415"/>
    </row>
    <row r="982" spans="1:9" ht="12.75" customHeight="1">
      <c r="A982" s="278"/>
      <c r="B982" s="410" t="s">
        <v>2796</v>
      </c>
      <c r="C982" s="278"/>
      <c r="D982" s="1301" t="s">
        <v>753</v>
      </c>
      <c r="E982" s="1301"/>
      <c r="F982" s="1301"/>
      <c r="G982"/>
      <c r="I982" s="415" t="s">
        <v>754</v>
      </c>
    </row>
    <row r="983" spans="1:9" ht="12.75" customHeight="1">
      <c r="A983" s="278"/>
      <c r="B983" s="278"/>
      <c r="C983" s="278"/>
      <c r="D983" s="1301"/>
      <c r="E983" s="1301"/>
      <c r="F983" s="1301"/>
      <c r="G983"/>
      <c r="I983" s="415"/>
    </row>
    <row r="984" spans="1:9" ht="12.75" customHeight="1">
      <c r="A984" s="278"/>
      <c r="B984" s="278"/>
      <c r="C984" s="278"/>
      <c r="D984" s="954"/>
      <c r="E984" s="952" t="s">
        <v>755</v>
      </c>
      <c r="F984" s="954"/>
      <c r="G984"/>
      <c r="I984" s="415"/>
    </row>
    <row r="985" spans="1:9" ht="12.75" customHeight="1">
      <c r="A985" s="278"/>
      <c r="B985" s="278"/>
      <c r="C985" s="278"/>
      <c r="D985" s="1226" t="s">
        <v>756</v>
      </c>
      <c r="E985" s="1226"/>
      <c r="F985" s="1226"/>
      <c r="G985"/>
      <c r="I985" s="415"/>
    </row>
    <row r="986" spans="1:9" ht="12.75" customHeight="1">
      <c r="A986" s="278"/>
      <c r="B986" s="278"/>
      <c r="C986" s="278"/>
      <c r="D986" s="1226"/>
      <c r="E986" s="1226"/>
      <c r="F986" s="1226"/>
      <c r="G986"/>
      <c r="I986" s="415"/>
    </row>
    <row r="987" spans="1:9" ht="12.75" customHeight="1">
      <c r="A987" s="123"/>
      <c r="B987" s="123"/>
      <c r="C987" s="123"/>
      <c r="D987" s="1226"/>
      <c r="E987" s="1226"/>
      <c r="F987" s="1226"/>
      <c r="G987"/>
      <c r="I987" s="415"/>
    </row>
    <row r="988" spans="1:9" ht="12.75" customHeight="1">
      <c r="A988" s="123"/>
      <c r="B988" s="123"/>
      <c r="C988" s="123"/>
      <c r="D988" s="1226"/>
      <c r="E988" s="1226"/>
      <c r="F988" s="1226"/>
      <c r="G988"/>
      <c r="I988" s="415"/>
    </row>
    <row r="989" spans="1:9" ht="12.75" customHeight="1">
      <c r="A989" s="123"/>
      <c r="B989" s="123"/>
      <c r="C989" s="123"/>
      <c r="D989" s="258"/>
      <c r="E989" s="258"/>
      <c r="F989" s="258"/>
      <c r="G989"/>
      <c r="I989" s="415"/>
    </row>
    <row r="990" spans="1:9" ht="12.75" customHeight="1">
      <c r="A990" s="123"/>
      <c r="B990" s="410" t="s">
        <v>528</v>
      </c>
      <c r="C990" s="123"/>
      <c r="D990" s="1220" t="s">
        <v>757</v>
      </c>
      <c r="E990" s="1220"/>
      <c r="F990" s="1220"/>
      <c r="G990"/>
      <c r="I990" s="415"/>
    </row>
    <row r="991" spans="1:9" ht="12.75" customHeight="1">
      <c r="A991" s="123"/>
      <c r="B991" s="123"/>
      <c r="C991" s="123"/>
      <c r="D991" s="1220"/>
      <c r="E991" s="1220"/>
      <c r="F991" s="1220"/>
      <c r="G991"/>
      <c r="I991" s="415"/>
    </row>
    <row r="992" spans="1:9" ht="12.75" customHeight="1">
      <c r="A992" s="123"/>
      <c r="B992" s="123"/>
      <c r="C992" s="123"/>
      <c r="D992" s="1220"/>
      <c r="E992" s="1220"/>
      <c r="F992" s="1220"/>
      <c r="G992"/>
      <c r="I992" s="415"/>
    </row>
    <row r="993" spans="1:9" ht="12.75" customHeight="1">
      <c r="A993" s="123"/>
      <c r="B993" s="123"/>
      <c r="C993" s="123"/>
      <c r="D993" s="1220"/>
      <c r="E993" s="1220"/>
      <c r="F993" s="1220"/>
      <c r="G993"/>
      <c r="I993" s="415"/>
    </row>
    <row r="994" spans="1:9" ht="12.75" customHeight="1">
      <c r="A994" s="123"/>
      <c r="B994" s="123"/>
      <c r="C994" s="123"/>
      <c r="D994" s="367"/>
      <c r="E994" s="367"/>
      <c r="F994" s="367"/>
      <c r="G994"/>
      <c r="I994" s="415"/>
    </row>
    <row r="995" spans="1:9" ht="12.75" customHeight="1">
      <c r="A995" s="123"/>
      <c r="B995" s="410" t="s">
        <v>528</v>
      </c>
      <c r="C995" s="123"/>
      <c r="D995" s="1220" t="s">
        <v>758</v>
      </c>
      <c r="E995" s="1220"/>
      <c r="F995" s="1220"/>
      <c r="G995"/>
      <c r="I995" s="415"/>
    </row>
    <row r="996" spans="1:9" ht="12.75" customHeight="1">
      <c r="A996" s="123"/>
      <c r="B996" s="123"/>
      <c r="C996" s="123"/>
      <c r="D996" s="1220"/>
      <c r="E996" s="1220"/>
      <c r="F996" s="1220"/>
      <c r="G996"/>
      <c r="I996" s="415"/>
    </row>
    <row r="997" spans="1:9" ht="12.75" customHeight="1">
      <c r="A997" s="123"/>
      <c r="B997" s="123"/>
      <c r="C997" s="123"/>
      <c r="D997" s="367"/>
      <c r="E997" s="367"/>
      <c r="F997" s="367"/>
      <c r="G997"/>
      <c r="I997" s="415"/>
    </row>
    <row r="998" spans="1:9" ht="12.75" customHeight="1">
      <c r="A998" s="124"/>
      <c r="B998" s="410" t="s">
        <v>2796</v>
      </c>
      <c r="C998" s="278"/>
      <c r="D998" s="1240" t="s">
        <v>759</v>
      </c>
      <c r="E998" s="1240"/>
      <c r="F998" s="1240"/>
      <c r="G998"/>
      <c r="I998" s="415"/>
    </row>
    <row r="999" spans="1:9" ht="12.75" customHeight="1">
      <c r="A999" s="278"/>
      <c r="B999" s="278"/>
      <c r="C999" s="278"/>
      <c r="D999" s="3"/>
      <c r="E999" s="3"/>
      <c r="F999" s="3"/>
      <c r="G999"/>
      <c r="I999" s="415"/>
    </row>
    <row r="1000" spans="1:9" ht="12.75" customHeight="1">
      <c r="A1000" s="124"/>
      <c r="B1000" s="410" t="s">
        <v>528</v>
      </c>
      <c r="C1000" s="278"/>
      <c r="D1000" s="1240" t="s">
        <v>760</v>
      </c>
      <c r="E1000" s="1240"/>
      <c r="F1000" s="1240"/>
      <c r="G1000"/>
      <c r="I1000" s="415"/>
    </row>
    <row r="1001" spans="1:9" ht="12.75" customHeight="1">
      <c r="A1001" s="278"/>
      <c r="B1001" s="278"/>
      <c r="C1001" s="278"/>
      <c r="D1001" s="85"/>
      <c r="E1001" s="3"/>
      <c r="F1001" s="3"/>
      <c r="G1001"/>
      <c r="I1001" s="415"/>
    </row>
    <row r="1002" spans="1:9" ht="12.75" customHeight="1">
      <c r="A1002" s="124"/>
      <c r="B1002" s="410" t="s">
        <v>294</v>
      </c>
      <c r="C1002" s="278"/>
      <c r="D1002" s="1240" t="s">
        <v>761</v>
      </c>
      <c r="E1002" s="1240"/>
      <c r="F1002" s="1240"/>
      <c r="G1002"/>
      <c r="I1002" s="415"/>
    </row>
    <row r="1003" spans="1:9" ht="12.75" customHeight="1">
      <c r="A1003" s="278"/>
      <c r="B1003" s="278"/>
      <c r="C1003" s="278"/>
      <c r="D1003" s="85"/>
      <c r="E1003" s="3"/>
      <c r="F1003" s="3"/>
      <c r="G1003"/>
      <c r="I1003" s="415"/>
    </row>
    <row r="1004" spans="1:9" ht="12.75" customHeight="1">
      <c r="A1004" s="124"/>
      <c r="B1004" s="410" t="s">
        <v>2796</v>
      </c>
      <c r="C1004" s="278"/>
      <c r="D1004" s="1220" t="s">
        <v>762</v>
      </c>
      <c r="E1004" s="1220"/>
      <c r="F1004" s="1220"/>
      <c r="G1004"/>
      <c r="I1004" s="415"/>
    </row>
    <row r="1005" spans="1:9" ht="12.75" customHeight="1">
      <c r="A1005" s="124"/>
      <c r="B1005" s="124"/>
      <c r="C1005" s="278"/>
      <c r="D1005" s="1220"/>
      <c r="E1005" s="1220"/>
      <c r="F1005" s="1220"/>
      <c r="G1005"/>
      <c r="I1005" s="415"/>
    </row>
    <row r="1006" spans="1:9" ht="12.75" customHeight="1">
      <c r="A1006" s="124"/>
      <c r="B1006" s="124"/>
      <c r="C1006" s="278"/>
      <c r="D1006" s="85"/>
      <c r="E1006" s="3"/>
      <c r="F1006" s="3"/>
      <c r="G1006" s="3"/>
      <c r="I1006" s="415"/>
    </row>
    <row r="1007" spans="1:9" ht="12.75" customHeight="1">
      <c r="A1007" s="179"/>
      <c r="B1007" s="410" t="s">
        <v>528</v>
      </c>
      <c r="C1007" s="919"/>
      <c r="D1007" s="1251" t="s">
        <v>763</v>
      </c>
      <c r="E1007" s="1251"/>
      <c r="F1007" s="1251"/>
      <c r="G1007" s="920"/>
      <c r="I1007" s="415"/>
    </row>
    <row r="1008" spans="1:9" ht="12.75" customHeight="1">
      <c r="A1008" s="919"/>
      <c r="B1008" s="919"/>
      <c r="C1008" s="919"/>
      <c r="D1008" s="1251"/>
      <c r="E1008" s="1251"/>
      <c r="F1008" s="1251"/>
      <c r="G1008" s="920"/>
      <c r="I1008" s="415"/>
    </row>
    <row r="1009" spans="1:9" ht="12.75" customHeight="1">
      <c r="A1009" s="919"/>
      <c r="B1009" s="919"/>
      <c r="C1009" s="919"/>
      <c r="D1009" s="903"/>
      <c r="E1009" s="920"/>
      <c r="F1009" s="920"/>
      <c r="G1009" s="920"/>
      <c r="I1009" s="415"/>
    </row>
    <row r="1010" spans="1:9" ht="12.75" customHeight="1">
      <c r="A1010" s="179"/>
      <c r="B1010" s="410" t="s">
        <v>528</v>
      </c>
      <c r="C1010" s="919"/>
      <c r="D1010" s="1300" t="s">
        <v>764</v>
      </c>
      <c r="E1010" s="1300"/>
      <c r="F1010" s="1300"/>
      <c r="G1010" s="920"/>
      <c r="I1010" s="415"/>
    </row>
    <row r="1011" spans="1:9" ht="12.75" customHeight="1">
      <c r="A1011" s="919"/>
      <c r="B1011" s="919"/>
      <c r="C1011" s="919"/>
      <c r="D1011" s="903"/>
      <c r="E1011" s="920"/>
      <c r="F1011" s="920"/>
      <c r="G1011" s="920"/>
      <c r="I1011" s="415"/>
    </row>
    <row r="1012" spans="1:9" ht="12.75" customHeight="1">
      <c r="A1012" s="124"/>
      <c r="B1012" s="410" t="s">
        <v>528</v>
      </c>
      <c r="C1012" s="278"/>
      <c r="D1012" s="1240" t="s">
        <v>765</v>
      </c>
      <c r="E1012" s="1240"/>
      <c r="F1012" s="1240"/>
      <c r="G1012" s="3"/>
      <c r="I1012" s="415"/>
    </row>
    <row r="1013" spans="1:9" ht="12.75" customHeight="1">
      <c r="A1013" s="124"/>
      <c r="B1013" s="124"/>
      <c r="C1013" s="278"/>
      <c r="D1013" s="85"/>
      <c r="E1013" s="3"/>
      <c r="F1013" s="3"/>
      <c r="G1013" s="3"/>
      <c r="I1013" s="415"/>
    </row>
    <row r="1014" spans="1:9" ht="12.75" customHeight="1">
      <c r="A1014" s="124"/>
      <c r="B1014" s="410" t="s">
        <v>528</v>
      </c>
      <c r="C1014" s="278"/>
      <c r="D1014" s="1220" t="s">
        <v>766</v>
      </c>
      <c r="E1014" s="1220"/>
      <c r="F1014" s="1220"/>
      <c r="G1014" s="3"/>
      <c r="I1014" s="415"/>
    </row>
    <row r="1015" spans="1:9" ht="12.75" customHeight="1">
      <c r="A1015" s="124"/>
      <c r="B1015" s="124"/>
      <c r="C1015" s="278"/>
      <c r="D1015" s="1220"/>
      <c r="E1015" s="1220"/>
      <c r="F1015" s="1220"/>
      <c r="G1015" s="3"/>
      <c r="I1015" s="415"/>
    </row>
    <row r="1016" spans="1:9" ht="12.75" customHeight="1">
      <c r="A1016" s="278"/>
      <c r="B1016" s="278"/>
      <c r="C1016" s="278"/>
      <c r="D1016" s="3"/>
      <c r="E1016" s="3"/>
      <c r="F1016" s="3"/>
      <c r="G1016" s="3"/>
      <c r="I1016" s="415"/>
    </row>
    <row r="1017" spans="1:9" ht="12.75" customHeight="1">
      <c r="A1017" s="1246" t="s">
        <v>767</v>
      </c>
      <c r="B1017" s="1246"/>
      <c r="C1017" s="1246"/>
      <c r="D1017" s="1246"/>
      <c r="E1017" s="1246"/>
      <c r="F1017" s="1246"/>
      <c r="G1017" s="1246"/>
      <c r="H1017" s="944"/>
      <c r="I1017" s="1135"/>
    </row>
    <row r="1018" spans="1:9" ht="12.75" customHeight="1">
      <c r="A1018" s="278"/>
      <c r="B1018" s="278"/>
      <c r="C1018" s="278"/>
      <c r="D1018" s="3"/>
      <c r="E1018" s="3"/>
      <c r="F1018" s="3"/>
      <c r="G1018" s="3"/>
      <c r="I1018" s="415"/>
    </row>
    <row r="1019" spans="1:9" ht="12.75" customHeight="1">
      <c r="A1019" s="278"/>
      <c r="B1019" s="278"/>
      <c r="C1019" s="278"/>
      <c r="D1019" s="1252" t="s">
        <v>768</v>
      </c>
      <c r="E1019" s="1252"/>
      <c r="F1019" s="1252"/>
      <c r="G1019" s="3"/>
      <c r="I1019" s="415"/>
    </row>
    <row r="1020" spans="1:9" ht="12.75" customHeight="1">
      <c r="A1020" s="278"/>
      <c r="B1020" s="278"/>
      <c r="C1020" s="278"/>
      <c r="D1020" s="1300" t="s">
        <v>769</v>
      </c>
      <c r="E1020" s="1300"/>
      <c r="F1020" s="1300"/>
      <c r="G1020" s="3"/>
      <c r="I1020" s="415"/>
    </row>
    <row r="1021" spans="1:9" ht="12.75" customHeight="1">
      <c r="A1021" s="120"/>
      <c r="B1021" s="120"/>
      <c r="C1021" s="120"/>
      <c r="D1021" s="3"/>
      <c r="E1021" s="3"/>
      <c r="F1021" s="3"/>
      <c r="G1021" s="3"/>
      <c r="I1021" s="415"/>
    </row>
    <row r="1022" spans="1:9" ht="12.75" customHeight="1">
      <c r="A1022" s="124"/>
      <c r="B1022" s="124"/>
      <c r="C1022" s="123"/>
      <c r="D1022" s="1252" t="s">
        <v>770</v>
      </c>
      <c r="E1022" s="1252"/>
      <c r="F1022" s="1252"/>
      <c r="G1022" s="3"/>
      <c r="I1022" s="415" t="s">
        <v>771</v>
      </c>
    </row>
    <row r="1023" spans="1:9" ht="12.75" customHeight="1">
      <c r="A1023" s="278"/>
      <c r="B1023" s="410" t="s">
        <v>2796</v>
      </c>
      <c r="C1023" s="278"/>
      <c r="D1023" s="1300" t="s">
        <v>772</v>
      </c>
      <c r="E1023" s="1300"/>
      <c r="F1023" s="1300"/>
      <c r="G1023" s="3"/>
      <c r="I1023" s="415"/>
    </row>
    <row r="1024" spans="1:9" ht="12.75" customHeight="1">
      <c r="A1024" s="278"/>
      <c r="B1024" s="124"/>
      <c r="C1024" s="278"/>
      <c r="D1024" s="1300" t="s">
        <v>773</v>
      </c>
      <c r="E1024" s="1300"/>
      <c r="F1024" s="1300"/>
      <c r="G1024" s="3"/>
      <c r="I1024" s="415"/>
    </row>
    <row r="1025" spans="1:9" ht="12.75" customHeight="1">
      <c r="A1025" s="278"/>
      <c r="B1025" s="278"/>
      <c r="C1025" s="278"/>
      <c r="D1025" s="1300"/>
      <c r="E1025" s="1300"/>
      <c r="F1025" s="1300"/>
      <c r="G1025" s="3"/>
      <c r="I1025" s="415"/>
    </row>
    <row r="1026" spans="1:9" ht="12.75" customHeight="1">
      <c r="A1026" s="1246" t="s">
        <v>774</v>
      </c>
      <c r="B1026" s="1246"/>
      <c r="C1026" s="1246"/>
      <c r="D1026" s="1246"/>
      <c r="E1026" s="1246"/>
      <c r="F1026" s="1246"/>
      <c r="G1026" s="1246"/>
      <c r="H1026" s="944"/>
      <c r="I1026" s="1135"/>
    </row>
    <row r="1027" spans="1:9" ht="12.75" customHeight="1">
      <c r="A1027" s="85"/>
      <c r="B1027" s="85"/>
      <c r="C1027" s="278"/>
      <c r="D1027" s="3"/>
      <c r="E1027" s="3"/>
      <c r="F1027" s="3"/>
      <c r="G1027" s="3"/>
      <c r="I1027" s="415"/>
    </row>
    <row r="1028" spans="1:9" ht="12.75" hidden="1" customHeight="1">
      <c r="A1028" s="85"/>
      <c r="B1028" s="326"/>
      <c r="D1028" s="1247" t="s">
        <v>775</v>
      </c>
      <c r="E1028" s="1247"/>
      <c r="F1028" s="1247"/>
      <c r="G1028" s="3"/>
      <c r="I1028" s="415"/>
    </row>
    <row r="1029" spans="1:9" ht="12.75" hidden="1" customHeight="1">
      <c r="A1029" s="85"/>
      <c r="B1029" s="410" t="s">
        <v>294</v>
      </c>
      <c r="D1029" s="1234" t="s">
        <v>772</v>
      </c>
      <c r="E1029" s="1234"/>
      <c r="F1029" s="1234"/>
      <c r="G1029" s="3"/>
      <c r="I1029" s="415"/>
    </row>
    <row r="1030" spans="1:9" ht="12.75" hidden="1" customHeight="1">
      <c r="A1030" s="85"/>
      <c r="B1030" s="326"/>
      <c r="D1030" s="1234" t="s">
        <v>776</v>
      </c>
      <c r="E1030" s="1234"/>
      <c r="F1030" s="1234"/>
      <c r="G1030" s="3"/>
      <c r="I1030" s="415"/>
    </row>
    <row r="1031" spans="1:9" ht="12.75" hidden="1" customHeight="1">
      <c r="A1031" s="85"/>
      <c r="B1031" s="326"/>
      <c r="D1031" s="370"/>
      <c r="E1031" s="370"/>
      <c r="F1031" s="370"/>
      <c r="G1031" s="3"/>
      <c r="I1031" s="415"/>
    </row>
    <row r="1032" spans="1:9" ht="12.75" customHeight="1">
      <c r="A1032" s="85"/>
      <c r="B1032" s="85"/>
      <c r="C1032" s="278"/>
      <c r="D1032" s="1306" t="s">
        <v>494</v>
      </c>
      <c r="E1032" s="1306"/>
      <c r="F1032" s="1306"/>
      <c r="G1032" s="3"/>
      <c r="I1032" s="415" t="s">
        <v>777</v>
      </c>
    </row>
    <row r="1033" spans="1:9" ht="12.75" customHeight="1">
      <c r="A1033" s="240"/>
      <c r="B1033" s="240"/>
      <c r="C1033" s="240"/>
      <c r="D1033" s="1238" t="s">
        <v>495</v>
      </c>
      <c r="E1033" s="1238"/>
      <c r="F1033" s="1238"/>
      <c r="G1033" s="74"/>
      <c r="I1033" s="415"/>
    </row>
    <row r="1034" spans="1:9" ht="12.75" customHeight="1">
      <c r="A1034" s="124"/>
      <c r="B1034" s="410" t="s">
        <v>528</v>
      </c>
      <c r="C1034" s="278"/>
      <c r="D1034" s="1238" t="s">
        <v>496</v>
      </c>
      <c r="E1034" s="1238"/>
      <c r="F1034" s="1238"/>
      <c r="G1034" s="3"/>
      <c r="I1034" s="415"/>
    </row>
    <row r="1035" spans="1:9" ht="12.75" customHeight="1">
      <c r="A1035" s="278"/>
      <c r="B1035" s="278"/>
      <c r="C1035" s="278"/>
      <c r="D1035" s="952" t="s">
        <v>778</v>
      </c>
      <c r="E1035" s="72"/>
      <c r="F1035" s="72"/>
      <c r="G1035" s="3"/>
      <c r="I1035" s="415"/>
    </row>
    <row r="1036" spans="1:9">
      <c r="A1036" s="326"/>
      <c r="B1036" s="326"/>
      <c r="C1036" s="326"/>
      <c r="I1036" s="415"/>
    </row>
    <row r="1037" spans="1:9">
      <c r="A1037" s="1246" t="s">
        <v>779</v>
      </c>
      <c r="B1037" s="1246"/>
      <c r="C1037" s="1246"/>
      <c r="D1037" s="1246"/>
      <c r="E1037" s="1246"/>
      <c r="F1037" s="1246"/>
      <c r="G1037" s="1246"/>
      <c r="H1037" s="944"/>
      <c r="I1037" s="1135"/>
    </row>
    <row r="1038" spans="1:9">
      <c r="A1038" s="326"/>
      <c r="B1038" s="326"/>
      <c r="C1038" s="326"/>
      <c r="I1038" s="415"/>
    </row>
    <row r="1039" spans="1:9">
      <c r="A1039" s="326"/>
      <c r="B1039" s="326"/>
      <c r="C1039" s="326"/>
      <c r="D1039" s="328" t="s">
        <v>780</v>
      </c>
      <c r="I1039" s="415"/>
    </row>
    <row r="1040" spans="1:9">
      <c r="A1040" s="326"/>
      <c r="B1040" s="326"/>
      <c r="C1040" s="326"/>
      <c r="D1040" s="326" t="s">
        <v>781</v>
      </c>
      <c r="I1040" s="415"/>
    </row>
    <row r="1041" spans="1:9">
      <c r="A1041" s="326"/>
      <c r="B1041" s="326"/>
      <c r="C1041" s="326"/>
      <c r="D1041" s="328"/>
      <c r="I1041" s="415"/>
    </row>
    <row r="1042" spans="1:9">
      <c r="A1042" s="326"/>
      <c r="B1042" s="410" t="s">
        <v>528</v>
      </c>
      <c r="C1042" s="326"/>
      <c r="D1042" s="1303" t="s">
        <v>782</v>
      </c>
      <c r="E1042" s="1303"/>
      <c r="F1042" s="1303"/>
      <c r="I1042" s="415" t="s">
        <v>783</v>
      </c>
    </row>
    <row r="1043" spans="1:9">
      <c r="A1043" s="326"/>
      <c r="B1043" s="326"/>
      <c r="C1043" s="326"/>
      <c r="D1043" s="1303"/>
      <c r="E1043" s="1303"/>
      <c r="F1043" s="1303"/>
      <c r="I1043" s="415"/>
    </row>
    <row r="1044" spans="1:9">
      <c r="A1044" s="326"/>
      <c r="B1044" s="326"/>
      <c r="C1044" s="326"/>
      <c r="D1044" s="1303"/>
      <c r="E1044" s="1303"/>
      <c r="F1044" s="1303"/>
      <c r="I1044" s="415"/>
    </row>
    <row r="1045" spans="1:9">
      <c r="A1045" s="326"/>
      <c r="B1045" s="326"/>
      <c r="C1045" s="326"/>
      <c r="D1045" s="1303"/>
      <c r="E1045" s="1303"/>
      <c r="F1045" s="1303"/>
      <c r="I1045" s="415"/>
    </row>
    <row r="1046" spans="1:9">
      <c r="A1046" s="326"/>
      <c r="B1046" s="326"/>
      <c r="C1046" s="326"/>
      <c r="I1046" s="415"/>
    </row>
    <row r="1047" spans="1:9">
      <c r="A1047" s="326"/>
      <c r="B1047" s="326"/>
      <c r="C1047" s="326"/>
      <c r="D1047" s="328" t="s">
        <v>784</v>
      </c>
      <c r="I1047" s="415"/>
    </row>
    <row r="1048" spans="1:9">
      <c r="A1048" s="326"/>
      <c r="B1048" s="326"/>
      <c r="C1048" s="326"/>
      <c r="D1048" s="326" t="s">
        <v>785</v>
      </c>
      <c r="I1048" s="415"/>
    </row>
    <row r="1049" spans="1:9">
      <c r="A1049" s="326"/>
      <c r="B1049" s="326"/>
      <c r="C1049" s="326"/>
      <c r="I1049" s="415"/>
    </row>
    <row r="1050" spans="1:9">
      <c r="A1050" s="326"/>
      <c r="B1050" s="410" t="s">
        <v>2796</v>
      </c>
      <c r="C1050" s="326"/>
      <c r="D1050" s="326" t="s">
        <v>727</v>
      </c>
      <c r="I1050" s="415" t="s">
        <v>786</v>
      </c>
    </row>
    <row r="1051" spans="1:9">
      <c r="A1051" s="326"/>
      <c r="B1051" s="326"/>
      <c r="C1051" s="326"/>
      <c r="I1051" s="415"/>
    </row>
    <row r="1052" spans="1:9">
      <c r="A1052" s="326"/>
      <c r="B1052" s="410" t="s">
        <v>2796</v>
      </c>
      <c r="C1052" s="326"/>
      <c r="D1052" s="1303" t="s">
        <v>787</v>
      </c>
      <c r="E1052" s="1303"/>
      <c r="F1052" s="1303"/>
      <c r="I1052" s="415" t="s">
        <v>788</v>
      </c>
    </row>
    <row r="1053" spans="1:9">
      <c r="A1053" s="326"/>
      <c r="B1053" s="326"/>
      <c r="C1053" s="326"/>
      <c r="D1053" s="1303"/>
      <c r="E1053" s="1303"/>
      <c r="F1053" s="1303"/>
      <c r="I1053" s="415"/>
    </row>
    <row r="1054" spans="1:9">
      <c r="A1054" s="326"/>
      <c r="B1054" s="326"/>
      <c r="C1054" s="326"/>
      <c r="D1054" s="1303"/>
      <c r="E1054" s="1303"/>
      <c r="F1054" s="1303"/>
      <c r="I1054" s="415"/>
    </row>
    <row r="1055" spans="1:9">
      <c r="A1055" s="326"/>
      <c r="B1055" s="326"/>
      <c r="C1055" s="326"/>
      <c r="D1055" s="1303"/>
      <c r="E1055" s="1303"/>
      <c r="F1055" s="1303"/>
      <c r="I1055" s="415"/>
    </row>
    <row r="1056" spans="1:9">
      <c r="A1056" s="326"/>
      <c r="B1056" s="326"/>
      <c r="C1056" s="326"/>
      <c r="D1056" s="1303"/>
      <c r="E1056" s="1303"/>
      <c r="F1056" s="1303"/>
      <c r="I1056" s="415"/>
    </row>
    <row r="1057" spans="1:9">
      <c r="A1057" s="326"/>
      <c r="B1057" s="326"/>
      <c r="C1057" s="326"/>
      <c r="I1057" s="415"/>
    </row>
    <row r="1058" spans="1:9">
      <c r="A1058" s="1246" t="s">
        <v>789</v>
      </c>
      <c r="B1058" s="1246"/>
      <c r="C1058" s="1246"/>
      <c r="D1058" s="1246"/>
      <c r="E1058" s="1246"/>
      <c r="F1058" s="1246"/>
      <c r="G1058" s="1246"/>
      <c r="H1058" s="944"/>
      <c r="I1058" s="1135"/>
    </row>
    <row r="1059" spans="1:9">
      <c r="A1059" s="326"/>
      <c r="B1059" s="326"/>
      <c r="C1059" s="326"/>
      <c r="I1059" s="415"/>
    </row>
    <row r="1060" spans="1:9">
      <c r="A1060" s="326"/>
      <c r="B1060" s="326"/>
      <c r="C1060" s="326"/>
      <c r="I1060" s="415"/>
    </row>
    <row r="1061" spans="1:9">
      <c r="A1061" s="326"/>
      <c r="B1061" s="410" t="s">
        <v>2796</v>
      </c>
      <c r="C1061" s="326"/>
      <c r="D1061" s="451" t="s">
        <v>790</v>
      </c>
      <c r="I1061" s="415" t="s">
        <v>791</v>
      </c>
    </row>
    <row r="1062" spans="1:9">
      <c r="A1062" s="326"/>
      <c r="B1062" s="326"/>
      <c r="C1062" s="326"/>
      <c r="D1062" s="451" t="s">
        <v>792</v>
      </c>
      <c r="I1062" s="415"/>
    </row>
    <row r="1063" spans="1:9">
      <c r="A1063" s="326"/>
      <c r="B1063" s="326"/>
      <c r="C1063" s="326"/>
      <c r="D1063" s="451"/>
      <c r="I1063" s="415"/>
    </row>
    <row r="1064" spans="1:9">
      <c r="A1064" s="326"/>
      <c r="B1064" s="410" t="s">
        <v>528</v>
      </c>
      <c r="C1064" s="326"/>
      <c r="D1064" s="451" t="s">
        <v>793</v>
      </c>
      <c r="I1064" s="415" t="s">
        <v>794</v>
      </c>
    </row>
    <row r="1065" spans="1:9">
      <c r="A1065" s="326"/>
      <c r="B1065" s="326"/>
      <c r="C1065" s="326"/>
      <c r="D1065" s="451" t="s">
        <v>795</v>
      </c>
      <c r="I1065" s="415"/>
    </row>
    <row r="1066" spans="1:9">
      <c r="A1066" s="326"/>
      <c r="B1066" s="326"/>
      <c r="C1066" s="326"/>
      <c r="D1066" s="451"/>
      <c r="I1066" s="415"/>
    </row>
    <row r="1067" spans="1:9">
      <c r="A1067" s="326"/>
      <c r="B1067" s="410" t="s">
        <v>528</v>
      </c>
      <c r="C1067" s="326"/>
      <c r="D1067" s="86" t="s">
        <v>796</v>
      </c>
      <c r="I1067" s="415" t="s">
        <v>797</v>
      </c>
    </row>
    <row r="1068" spans="1:9">
      <c r="A1068" s="326"/>
      <c r="B1068" s="326"/>
      <c r="C1068" s="326"/>
      <c r="D1068" s="1220" t="s">
        <v>798</v>
      </c>
      <c r="E1068" s="1220"/>
      <c r="F1068" s="1220"/>
      <c r="I1068" s="415"/>
    </row>
    <row r="1069" spans="1:9">
      <c r="A1069" s="326"/>
      <c r="B1069" s="326"/>
      <c r="C1069" s="326"/>
      <c r="D1069" s="1220"/>
      <c r="E1069" s="1220"/>
      <c r="F1069" s="1220"/>
      <c r="I1069" s="415"/>
    </row>
    <row r="1070" spans="1:9">
      <c r="A1070" s="326"/>
      <c r="B1070" s="326"/>
      <c r="C1070" s="326"/>
      <c r="D1070" s="1220"/>
      <c r="E1070" s="1220"/>
      <c r="F1070" s="1220"/>
      <c r="I1070" s="415"/>
    </row>
    <row r="1071" spans="1:9">
      <c r="A1071" s="326"/>
      <c r="B1071" s="326"/>
      <c r="C1071" s="326"/>
      <c r="D1071" s="1220"/>
      <c r="E1071" s="1220"/>
      <c r="F1071" s="1220"/>
      <c r="I1071" s="415"/>
    </row>
    <row r="1072" spans="1:9">
      <c r="A1072" s="326"/>
      <c r="B1072" s="326"/>
      <c r="C1072" s="326"/>
      <c r="D1072" s="86" t="s">
        <v>799</v>
      </c>
      <c r="I1072" s="415"/>
    </row>
    <row r="1073" spans="1:9">
      <c r="A1073" s="326"/>
      <c r="B1073" s="326"/>
      <c r="C1073" s="326"/>
      <c r="D1073" s="86"/>
      <c r="I1073" s="415"/>
    </row>
    <row r="1074" spans="1:9">
      <c r="A1074" s="326"/>
      <c r="B1074" s="326"/>
      <c r="C1074" s="326"/>
      <c r="D1074" s="451" t="s">
        <v>800</v>
      </c>
      <c r="I1074" s="415" t="s">
        <v>801</v>
      </c>
    </row>
    <row r="1075" spans="1:9">
      <c r="A1075" s="326"/>
      <c r="B1075" s="410" t="s">
        <v>528</v>
      </c>
      <c r="C1075" s="326"/>
      <c r="D1075" s="1302" t="s">
        <v>802</v>
      </c>
      <c r="E1075" s="1302"/>
      <c r="F1075" s="1302"/>
      <c r="I1075" s="415"/>
    </row>
    <row r="1076" spans="1:9">
      <c r="A1076" s="326"/>
      <c r="B1076" s="326"/>
      <c r="C1076" s="326"/>
      <c r="D1076" s="1302"/>
      <c r="E1076" s="1302"/>
      <c r="F1076" s="1302"/>
      <c r="I1076" s="415"/>
    </row>
    <row r="1077" spans="1:9">
      <c r="A1077" s="326"/>
      <c r="B1077" s="326"/>
      <c r="C1077" s="326"/>
      <c r="D1077" s="1302"/>
      <c r="E1077" s="1302"/>
      <c r="F1077" s="1302"/>
      <c r="I1077" s="415"/>
    </row>
    <row r="1078" spans="1:9">
      <c r="A1078" s="326"/>
      <c r="B1078" s="326"/>
      <c r="C1078" s="326"/>
      <c r="D1078" s="1302"/>
      <c r="E1078" s="1302"/>
      <c r="F1078" s="1302"/>
      <c r="I1078" s="415"/>
    </row>
    <row r="1079" spans="1:9">
      <c r="A1079" s="326"/>
      <c r="B1079" s="326"/>
      <c r="C1079" s="326"/>
      <c r="D1079" s="1302"/>
      <c r="E1079" s="1302"/>
      <c r="F1079" s="1302"/>
      <c r="I1079" s="415"/>
    </row>
    <row r="1080" spans="1:9">
      <c r="A1080" s="326"/>
      <c r="B1080" s="326"/>
      <c r="C1080" s="326"/>
      <c r="D1080" s="451" t="s">
        <v>803</v>
      </c>
      <c r="I1080" s="415"/>
    </row>
    <row r="1081" spans="1:9">
      <c r="A1081" s="326"/>
      <c r="B1081" s="326"/>
      <c r="C1081" s="326"/>
      <c r="I1081" s="415"/>
    </row>
    <row r="1082" spans="1:9">
      <c r="A1082" s="1246" t="s">
        <v>804</v>
      </c>
      <c r="B1082" s="1246"/>
      <c r="C1082" s="1246"/>
      <c r="D1082" s="1246"/>
      <c r="E1082" s="1246"/>
      <c r="F1082" s="1246"/>
      <c r="G1082" s="1246"/>
      <c r="H1082" s="944"/>
      <c r="I1082" s="1135"/>
    </row>
    <row r="1083" spans="1:9">
      <c r="A1083" s="326"/>
      <c r="B1083" s="326"/>
      <c r="C1083" s="326"/>
      <c r="I1083" s="415"/>
    </row>
    <row r="1084" spans="1:9">
      <c r="A1084" s="326"/>
      <c r="B1084" s="326"/>
      <c r="C1084" s="326"/>
      <c r="I1084" s="415"/>
    </row>
    <row r="1085" spans="1:9" ht="12.75" customHeight="1">
      <c r="A1085" s="326"/>
      <c r="B1085" s="410" t="s">
        <v>2796</v>
      </c>
      <c r="C1085" s="326"/>
      <c r="D1085" s="1304" t="s">
        <v>805</v>
      </c>
      <c r="E1085" s="1304"/>
      <c r="F1085" s="1304"/>
      <c r="I1085" s="415" t="s">
        <v>806</v>
      </c>
    </row>
    <row r="1086" spans="1:9">
      <c r="A1086" s="326"/>
      <c r="B1086" s="326"/>
      <c r="C1086" s="326"/>
      <c r="D1086" s="1304"/>
      <c r="E1086" s="1304"/>
      <c r="F1086" s="1304"/>
      <c r="I1086" s="415"/>
    </row>
    <row r="1087" spans="1:9">
      <c r="A1087" s="326"/>
      <c r="B1087" s="326"/>
      <c r="C1087" s="326"/>
      <c r="D1087" s="1305" t="s">
        <v>807</v>
      </c>
      <c r="E1087" s="1220"/>
      <c r="F1087" s="1220"/>
      <c r="I1087" s="415"/>
    </row>
    <row r="1088" spans="1:9">
      <c r="A1088" s="326"/>
      <c r="B1088" s="326"/>
      <c r="C1088" s="326"/>
      <c r="D1088" s="451"/>
      <c r="I1088" s="415"/>
    </row>
    <row r="1089" spans="1:9">
      <c r="A1089" s="326"/>
      <c r="B1089" s="410" t="s">
        <v>528</v>
      </c>
      <c r="C1089" s="326"/>
      <c r="D1089" s="1302" t="s">
        <v>808</v>
      </c>
      <c r="E1089" s="1302"/>
      <c r="F1089" s="1302"/>
      <c r="I1089" s="415" t="s">
        <v>809</v>
      </c>
    </row>
    <row r="1090" spans="1:9">
      <c r="A1090" s="326"/>
      <c r="B1090" s="326"/>
      <c r="C1090" s="326"/>
      <c r="D1090" s="1302"/>
      <c r="E1090" s="1302"/>
      <c r="F1090" s="1302"/>
      <c r="I1090" s="415"/>
    </row>
    <row r="1091" spans="1:9">
      <c r="A1091" s="326"/>
      <c r="B1091" s="326"/>
      <c r="C1091" s="326"/>
      <c r="D1091" s="451"/>
      <c r="I1091" s="415"/>
    </row>
    <row r="1092" spans="1:9">
      <c r="A1092" s="326"/>
      <c r="B1092" s="410" t="s">
        <v>528</v>
      </c>
      <c r="C1092" s="326"/>
      <c r="D1092" s="1302" t="s">
        <v>810</v>
      </c>
      <c r="E1092" s="1302"/>
      <c r="F1092" s="1302"/>
      <c r="I1092" s="415" t="s">
        <v>811</v>
      </c>
    </row>
    <row r="1093" spans="1:9">
      <c r="A1093" s="326"/>
      <c r="B1093" s="326"/>
      <c r="C1093" s="326"/>
      <c r="D1093" s="1302"/>
      <c r="E1093" s="1302"/>
      <c r="F1093" s="1302"/>
      <c r="I1093" s="415"/>
    </row>
    <row r="1094" spans="1:9">
      <c r="A1094" s="326"/>
      <c r="B1094" s="326"/>
      <c r="C1094" s="326"/>
      <c r="D1094" s="1302"/>
      <c r="E1094" s="1302"/>
      <c r="F1094" s="1302"/>
      <c r="I1094" s="415"/>
    </row>
    <row r="1095" spans="1:9">
      <c r="A1095" s="326"/>
      <c r="B1095" s="326"/>
      <c r="C1095" s="326"/>
      <c r="D1095" s="1302"/>
      <c r="E1095" s="1302"/>
      <c r="F1095" s="1302"/>
      <c r="I1095" s="415"/>
    </row>
    <row r="1096" spans="1:9">
      <c r="A1096" s="326"/>
      <c r="B1096" s="326"/>
      <c r="C1096" s="326"/>
      <c r="D1096" s="1302"/>
      <c r="E1096" s="1302"/>
      <c r="F1096" s="1302"/>
      <c r="I1096" s="415"/>
    </row>
    <row r="1097" spans="1:9">
      <c r="A1097" s="326"/>
      <c r="B1097" s="326"/>
      <c r="C1097" s="326"/>
      <c r="D1097" s="1302"/>
      <c r="E1097" s="1302"/>
      <c r="F1097" s="1302"/>
      <c r="I1097" s="415"/>
    </row>
    <row r="1098" spans="1:9">
      <c r="A1098" s="326"/>
      <c r="B1098" s="326"/>
      <c r="C1098" s="326"/>
      <c r="D1098" s="451" t="s">
        <v>812</v>
      </c>
      <c r="I1098" s="405"/>
    </row>
    <row r="1099" spans="1:9">
      <c r="A1099" s="326"/>
      <c r="B1099" s="410" t="s">
        <v>528</v>
      </c>
      <c r="C1099" s="326"/>
      <c r="D1099" s="1302" t="s">
        <v>813</v>
      </c>
      <c r="E1099" s="1302"/>
      <c r="F1099" s="1302"/>
      <c r="I1099" s="415" t="s">
        <v>814</v>
      </c>
    </row>
    <row r="1100" spans="1:9">
      <c r="A1100" s="326"/>
      <c r="B1100" s="326"/>
      <c r="C1100" s="326"/>
      <c r="D1100" s="1302"/>
      <c r="E1100" s="1302"/>
      <c r="F1100" s="1302"/>
      <c r="I1100" s="415"/>
    </row>
    <row r="1101" spans="1:9">
      <c r="A1101" s="326"/>
      <c r="B1101" s="326"/>
      <c r="C1101" s="326"/>
      <c r="D1101" s="1302"/>
      <c r="E1101" s="1302"/>
      <c r="F1101" s="1302"/>
      <c r="I1101" s="415"/>
    </row>
    <row r="1102" spans="1:9">
      <c r="A1102" s="326"/>
      <c r="B1102" s="326"/>
      <c r="C1102" s="326"/>
      <c r="D1102" s="451"/>
      <c r="I1102" s="415"/>
    </row>
    <row r="1103" spans="1:9">
      <c r="A1103" s="326"/>
      <c r="B1103" s="410" t="s">
        <v>2796</v>
      </c>
      <c r="C1103" s="326"/>
      <c r="D1103" s="1226" t="s">
        <v>815</v>
      </c>
      <c r="E1103" s="1226"/>
      <c r="F1103" s="1226"/>
      <c r="I1103" s="415" t="s">
        <v>687</v>
      </c>
    </row>
    <row r="1104" spans="1:9">
      <c r="A1104" s="326"/>
      <c r="B1104" s="326"/>
      <c r="C1104" s="326"/>
      <c r="D1104" s="1226"/>
      <c r="E1104" s="1226"/>
      <c r="F1104" s="1226"/>
      <c r="I1104" s="415"/>
    </row>
    <row r="1105" spans="1:9">
      <c r="A1105" s="326"/>
      <c r="B1105" s="326"/>
      <c r="C1105" s="326"/>
      <c r="D1105" s="1226"/>
      <c r="E1105" s="1226"/>
      <c r="F1105" s="1226"/>
      <c r="I1105" s="415"/>
    </row>
    <row r="1106" spans="1:9">
      <c r="A1106" s="326"/>
      <c r="B1106" s="326"/>
      <c r="C1106" s="326"/>
      <c r="D1106" s="899"/>
      <c r="E1106" s="899"/>
      <c r="F1106" s="899"/>
      <c r="I1106" s="415"/>
    </row>
    <row r="1107" spans="1:9" ht="15.75" customHeight="1">
      <c r="A1107" s="326"/>
      <c r="B1107" s="410" t="s">
        <v>2796</v>
      </c>
      <c r="C1107" s="326"/>
      <c r="D1107" s="1220" t="s">
        <v>816</v>
      </c>
      <c r="E1107" s="1220"/>
      <c r="F1107" s="1220"/>
      <c r="I1107" s="415" t="s">
        <v>817</v>
      </c>
    </row>
    <row r="1108" spans="1:9">
      <c r="A1108" s="326"/>
      <c r="B1108" s="326"/>
      <c r="C1108" s="326"/>
      <c r="D1108" s="1220"/>
      <c r="E1108" s="1220"/>
      <c r="F1108" s="1220"/>
      <c r="I1108" s="415"/>
    </row>
    <row r="1109" spans="1:9">
      <c r="A1109" s="326"/>
      <c r="B1109" s="326"/>
      <c r="C1109" s="326"/>
      <c r="D1109" s="1220"/>
      <c r="E1109" s="1220"/>
      <c r="F1109" s="1220"/>
      <c r="I1109" s="415"/>
    </row>
    <row r="1110" spans="1:9">
      <c r="A1110" s="326"/>
      <c r="B1110" s="326"/>
      <c r="C1110" s="326"/>
      <c r="D1110" s="1220"/>
      <c r="E1110" s="1220"/>
      <c r="F1110" s="1220"/>
      <c r="I1110" s="415"/>
    </row>
    <row r="1111" spans="1:9">
      <c r="A1111" s="326"/>
      <c r="B1111" s="326"/>
      <c r="C1111" s="326"/>
      <c r="D1111" s="899"/>
      <c r="E1111" s="899"/>
      <c r="F1111" s="899"/>
      <c r="I1111" s="415"/>
    </row>
    <row r="1112" spans="1:9" ht="39.6">
      <c r="A1112" s="326"/>
      <c r="B1112" s="326"/>
      <c r="C1112" s="326"/>
      <c r="I1112" s="1141" t="s">
        <v>818</v>
      </c>
    </row>
    <row r="1113" spans="1:9">
      <c r="A1113" s="326"/>
      <c r="B1113" s="326"/>
      <c r="C1113" s="326"/>
      <c r="I1113" s="415"/>
    </row>
    <row r="1114" spans="1:9">
      <c r="A1114" s="326"/>
      <c r="B1114" s="326"/>
      <c r="C1114" s="326"/>
      <c r="I1114" s="415"/>
    </row>
    <row r="1115" spans="1:9">
      <c r="A1115" s="326"/>
      <c r="B1115" s="326"/>
      <c r="C1115" s="326"/>
    </row>
    <row r="1116" spans="1:9">
      <c r="A1116" s="326"/>
      <c r="B1116" s="326"/>
      <c r="C1116" s="326"/>
    </row>
    <row r="1117" spans="1:9">
      <c r="A1117" s="326"/>
      <c r="B1117" s="326"/>
      <c r="C1117" s="326"/>
    </row>
    <row r="1118" spans="1:9">
      <c r="A1118" s="326"/>
      <c r="B1118" s="326"/>
      <c r="C1118" s="326"/>
    </row>
    <row r="1119" spans="1:9">
      <c r="A1119" s="326"/>
      <c r="B1119" s="326"/>
      <c r="C1119" s="326"/>
    </row>
    <row r="1120" spans="1:9">
      <c r="A1120" s="326"/>
      <c r="B1120" s="326"/>
      <c r="C1120" s="326"/>
    </row>
    <row r="1121" spans="1:3">
      <c r="A1121" s="326"/>
      <c r="B1121" s="326"/>
      <c r="C1121" s="326"/>
    </row>
    <row r="1122" spans="1:3">
      <c r="A1122" s="326"/>
      <c r="B1122" s="326"/>
      <c r="C1122" s="326"/>
    </row>
    <row r="1123" spans="1:3">
      <c r="A1123" s="326"/>
      <c r="B1123" s="326"/>
      <c r="C1123" s="326"/>
    </row>
    <row r="1124" spans="1:3">
      <c r="A1124" s="326"/>
      <c r="B1124" s="326"/>
      <c r="C1124" s="326"/>
    </row>
    <row r="1125" spans="1:3">
      <c r="A1125" s="326"/>
      <c r="B1125" s="326"/>
      <c r="C1125" s="326"/>
    </row>
    <row r="1126" spans="1:3">
      <c r="A1126" s="326"/>
      <c r="B1126" s="326"/>
      <c r="C1126" s="326"/>
    </row>
    <row r="1127" spans="1:3">
      <c r="A1127" s="326"/>
      <c r="B1127" s="326"/>
      <c r="C1127" s="326"/>
    </row>
    <row r="1128" spans="1:3">
      <c r="A1128" s="326"/>
      <c r="B1128" s="326"/>
      <c r="C1128" s="326"/>
    </row>
    <row r="1129" spans="1:3">
      <c r="A1129" s="326"/>
      <c r="B1129" s="326"/>
      <c r="C1129" s="326"/>
    </row>
    <row r="1130" spans="1:3"/>
    <row r="1131" spans="1:3"/>
    <row r="1132" spans="1:3"/>
    <row r="1133" spans="1:3"/>
    <row r="1134" spans="1:3"/>
    <row r="1135" spans="1:3"/>
    <row r="1136" spans="1:3"/>
    <row r="1137" spans="1:3">
      <c r="A1137" s="326"/>
      <c r="B1137" s="326"/>
      <c r="C1137" s="326"/>
    </row>
    <row r="1138" spans="1:3">
      <c r="A1138" s="326"/>
      <c r="B1138" s="326"/>
      <c r="C1138" s="326"/>
    </row>
    <row r="1139" spans="1:3">
      <c r="A1139" s="326"/>
      <c r="B1139" s="326"/>
      <c r="C1139" s="326"/>
    </row>
    <row r="1140" spans="1:3">
      <c r="A1140" s="326"/>
      <c r="B1140" s="326"/>
      <c r="C1140" s="326"/>
    </row>
    <row r="1141" spans="1:3">
      <c r="A1141" s="326"/>
      <c r="B1141" s="326"/>
      <c r="C1141" s="326"/>
    </row>
    <row r="1142" spans="1:3">
      <c r="A1142" s="326"/>
      <c r="B1142" s="326"/>
      <c r="C1142" s="326"/>
    </row>
    <row r="1143" spans="1:3">
      <c r="A1143" s="326"/>
      <c r="B1143" s="326"/>
      <c r="C1143" s="326"/>
    </row>
    <row r="1144" spans="1:3">
      <c r="A1144" s="326"/>
      <c r="B1144" s="326"/>
      <c r="C1144" s="326"/>
    </row>
    <row r="1145" spans="1:3">
      <c r="A1145" s="326"/>
      <c r="B1145" s="326"/>
      <c r="C1145" s="326"/>
    </row>
    <row r="1146" spans="1:3">
      <c r="A1146" s="326"/>
      <c r="B1146" s="326"/>
      <c r="C1146" s="326"/>
    </row>
    <row r="1147" spans="1:3">
      <c r="A1147" s="326"/>
      <c r="B1147" s="326"/>
      <c r="C1147" s="326"/>
    </row>
    <row r="1148" spans="1:3">
      <c r="A1148" s="326"/>
      <c r="B1148" s="326"/>
      <c r="C1148" s="326"/>
    </row>
    <row r="1149" spans="1:3">
      <c r="A1149" s="326"/>
      <c r="B1149" s="326"/>
      <c r="C1149" s="326"/>
    </row>
    <row r="1150" spans="1:3">
      <c r="A1150" s="326"/>
      <c r="B1150" s="326"/>
      <c r="C1150" s="326"/>
    </row>
    <row r="1151" spans="1:3">
      <c r="A1151" s="326"/>
      <c r="B1151" s="326"/>
      <c r="C1151" s="326"/>
    </row>
    <row r="1152" spans="1:3">
      <c r="A1152" s="326"/>
      <c r="B1152" s="326"/>
      <c r="C1152" s="326"/>
    </row>
    <row r="1153" spans="1:3">
      <c r="A1153" s="326"/>
      <c r="B1153" s="326"/>
      <c r="C1153" s="326"/>
    </row>
    <row r="1154" spans="1:3">
      <c r="A1154" s="326"/>
      <c r="B1154" s="326"/>
      <c r="C1154" s="326"/>
    </row>
    <row r="1155" spans="1:3">
      <c r="A1155" s="326"/>
      <c r="B1155" s="326"/>
      <c r="C1155" s="326"/>
    </row>
    <row r="1156" spans="1:3">
      <c r="A1156" s="326"/>
      <c r="B1156" s="326"/>
      <c r="C1156" s="326"/>
    </row>
    <row r="1157" spans="1:3">
      <c r="A1157" s="326"/>
      <c r="B1157" s="326"/>
      <c r="C1157" s="326"/>
    </row>
    <row r="1158" spans="1:3">
      <c r="A1158" s="326"/>
      <c r="B1158" s="326"/>
      <c r="C1158" s="326"/>
    </row>
    <row r="1159" spans="1:3">
      <c r="A1159" s="326"/>
      <c r="B1159" s="326"/>
      <c r="C1159" s="326"/>
    </row>
    <row r="1160" spans="1:3">
      <c r="A1160" s="326"/>
      <c r="B1160" s="326"/>
      <c r="C1160" s="326"/>
    </row>
    <row r="1161" spans="1:3">
      <c r="A1161" s="326"/>
      <c r="B1161" s="326"/>
      <c r="C1161" s="326"/>
    </row>
    <row r="1162" spans="1:3">
      <c r="A1162" s="326"/>
      <c r="B1162" s="326"/>
      <c r="C1162" s="326"/>
    </row>
    <row r="1163" spans="1:3">
      <c r="A1163" s="326"/>
      <c r="B1163" s="326"/>
      <c r="C1163" s="326"/>
    </row>
    <row r="1164" spans="1:3">
      <c r="A1164" s="326"/>
      <c r="B1164" s="326"/>
      <c r="C1164" s="326"/>
    </row>
    <row r="1165" spans="1:3">
      <c r="A1165" s="326"/>
      <c r="B1165" s="326"/>
      <c r="C1165" s="326"/>
    </row>
    <row r="1166" spans="1:3">
      <c r="A1166" s="326"/>
      <c r="B1166" s="326"/>
      <c r="C1166" s="326"/>
    </row>
    <row r="1167" spans="1:3">
      <c r="A1167" s="326"/>
      <c r="B1167" s="326"/>
      <c r="C1167" s="326"/>
    </row>
    <row r="1168" spans="1:3">
      <c r="A1168" s="326"/>
      <c r="B1168" s="326"/>
      <c r="C1168" s="326"/>
    </row>
    <row r="1169" spans="1:3">
      <c r="A1169" s="326"/>
      <c r="B1169" s="326"/>
      <c r="C1169" s="326"/>
    </row>
    <row r="1170" spans="1:3">
      <c r="A1170" s="326"/>
      <c r="B1170" s="326"/>
      <c r="C1170" s="326"/>
    </row>
    <row r="1171" spans="1:3">
      <c r="A1171" s="326"/>
      <c r="B1171" s="326"/>
      <c r="C1171" s="326"/>
    </row>
    <row r="1172" spans="1:3">
      <c r="A1172" s="326"/>
      <c r="B1172" s="326"/>
      <c r="C1172" s="326"/>
    </row>
    <row r="1173" spans="1:3">
      <c r="A1173" s="326"/>
      <c r="B1173" s="326"/>
      <c r="C1173" s="326"/>
    </row>
    <row r="1174" spans="1:3">
      <c r="A1174" s="326"/>
      <c r="B1174" s="326"/>
      <c r="C1174" s="326"/>
    </row>
    <row r="1175" spans="1:3">
      <c r="A1175" s="326"/>
      <c r="B1175" s="326"/>
      <c r="C1175" s="326"/>
    </row>
    <row r="1176" spans="1:3">
      <c r="A1176" s="326"/>
      <c r="B1176" s="326"/>
      <c r="C1176" s="326"/>
    </row>
    <row r="1177" spans="1:3">
      <c r="A1177" s="326"/>
      <c r="B1177" s="326"/>
      <c r="C1177" s="326"/>
    </row>
    <row r="1178" spans="1:3">
      <c r="A1178" s="326"/>
      <c r="B1178" s="326"/>
      <c r="C1178" s="326"/>
    </row>
    <row r="1179" spans="1:3">
      <c r="A1179" s="326"/>
      <c r="B1179" s="326"/>
      <c r="C1179" s="326"/>
    </row>
    <row r="1180" spans="1:3">
      <c r="A1180" s="326"/>
      <c r="B1180" s="326"/>
      <c r="C1180" s="326"/>
    </row>
    <row r="1181" spans="1:3">
      <c r="A1181" s="326"/>
      <c r="B1181" s="326"/>
      <c r="C1181" s="326"/>
    </row>
    <row r="1182" spans="1:3">
      <c r="A1182" s="326"/>
      <c r="B1182" s="326"/>
      <c r="C1182" s="326"/>
    </row>
    <row r="1183" spans="1:3">
      <c r="A1183" s="326"/>
      <c r="B1183" s="326"/>
      <c r="C1183" s="326"/>
    </row>
    <row r="1184" spans="1:3">
      <c r="A1184" s="326"/>
      <c r="B1184" s="326"/>
      <c r="C1184" s="326"/>
    </row>
    <row r="1185" spans="1:3">
      <c r="A1185" s="326"/>
      <c r="B1185" s="326"/>
      <c r="C1185" s="326"/>
    </row>
    <row r="1186" spans="1:3">
      <c r="A1186" s="326"/>
      <c r="B1186" s="326"/>
      <c r="C1186" s="326"/>
    </row>
    <row r="1187" spans="1:3">
      <c r="A1187" s="326"/>
      <c r="B1187" s="326"/>
      <c r="C1187" s="326"/>
    </row>
    <row r="1188" spans="1:3">
      <c r="A1188" s="326"/>
      <c r="B1188" s="326"/>
      <c r="C1188" s="326"/>
    </row>
    <row r="1189" spans="1:3">
      <c r="A1189" s="326"/>
      <c r="B1189" s="326"/>
      <c r="C1189" s="326"/>
    </row>
    <row r="1190" spans="1:3">
      <c r="A1190" s="326"/>
      <c r="B1190" s="326"/>
      <c r="C1190" s="326"/>
    </row>
    <row r="1191" spans="1:3">
      <c r="A1191" s="326"/>
      <c r="B1191" s="326"/>
      <c r="C1191" s="326"/>
    </row>
    <row r="1192" spans="1:3">
      <c r="A1192" s="326"/>
      <c r="B1192" s="326"/>
      <c r="C1192" s="326"/>
    </row>
    <row r="1193" spans="1:3">
      <c r="A1193" s="326"/>
      <c r="B1193" s="326"/>
      <c r="C1193" s="326"/>
    </row>
    <row r="1194" spans="1:3">
      <c r="A1194" s="326"/>
      <c r="B1194" s="326"/>
      <c r="C1194" s="326"/>
    </row>
    <row r="1195" spans="1:3">
      <c r="A1195" s="326"/>
      <c r="B1195" s="326"/>
      <c r="C1195" s="326"/>
    </row>
    <row r="1196" spans="1:3">
      <c r="A1196" s="326"/>
      <c r="B1196" s="326"/>
      <c r="C1196" s="326"/>
    </row>
    <row r="1197" spans="1:3">
      <c r="A1197" s="326"/>
      <c r="B1197" s="326"/>
      <c r="C1197" s="326"/>
    </row>
    <row r="1198" spans="1:3">
      <c r="A1198" s="326"/>
      <c r="B1198" s="326"/>
      <c r="C1198" s="326"/>
    </row>
    <row r="1199" spans="1:3">
      <c r="A1199" s="326"/>
      <c r="B1199" s="326"/>
      <c r="C1199" s="326"/>
    </row>
    <row r="1200" spans="1:3">
      <c r="A1200" s="326"/>
      <c r="B1200" s="326"/>
      <c r="C1200" s="326"/>
    </row>
    <row r="1201" spans="1:3">
      <c r="A1201" s="326"/>
      <c r="B1201" s="326"/>
      <c r="C1201" s="326"/>
    </row>
    <row r="1202" spans="1:3">
      <c r="A1202" s="326"/>
      <c r="B1202" s="326"/>
      <c r="C1202" s="326"/>
    </row>
    <row r="1203" spans="1:3">
      <c r="A1203" s="326"/>
      <c r="B1203" s="326"/>
      <c r="C1203" s="326"/>
    </row>
    <row r="1204" spans="1:3">
      <c r="A1204" s="326"/>
      <c r="B1204" s="326"/>
      <c r="C1204" s="326"/>
    </row>
    <row r="1205" spans="1:3">
      <c r="A1205" s="326"/>
      <c r="B1205" s="326"/>
      <c r="C1205" s="326"/>
    </row>
    <row r="1206" spans="1:3">
      <c r="A1206" s="326"/>
      <c r="B1206" s="326"/>
      <c r="C1206" s="326"/>
    </row>
    <row r="1207" spans="1:3">
      <c r="A1207" s="326"/>
      <c r="B1207" s="326"/>
      <c r="C1207" s="326"/>
    </row>
    <row r="1208" spans="1:3">
      <c r="A1208" s="326"/>
      <c r="B1208" s="326"/>
      <c r="C1208" s="326"/>
    </row>
    <row r="1209" spans="1:3">
      <c r="A1209" s="326"/>
      <c r="B1209" s="326"/>
      <c r="C1209" s="326"/>
    </row>
    <row r="1210" spans="1:3">
      <c r="A1210" s="326"/>
      <c r="B1210" s="326"/>
      <c r="C1210" s="326"/>
    </row>
    <row r="1211" spans="1:3">
      <c r="A1211" s="326"/>
      <c r="B1211" s="326"/>
      <c r="C1211" s="326"/>
    </row>
    <row r="1212" spans="1:3">
      <c r="A1212" s="326"/>
      <c r="B1212" s="326"/>
      <c r="C1212" s="326"/>
    </row>
    <row r="1213" spans="1:3">
      <c r="A1213" s="326"/>
      <c r="B1213" s="326"/>
      <c r="C1213" s="326"/>
    </row>
    <row r="1214" spans="1:3">
      <c r="A1214" s="326"/>
      <c r="B1214" s="326"/>
      <c r="C1214" s="326"/>
    </row>
    <row r="1215" spans="1:3">
      <c r="A1215" s="326"/>
      <c r="B1215" s="326"/>
      <c r="C1215" s="326"/>
    </row>
    <row r="1216" spans="1:3">
      <c r="A1216" s="326"/>
      <c r="B1216" s="326"/>
      <c r="C1216" s="326"/>
    </row>
    <row r="1217" spans="1:3">
      <c r="A1217" s="326"/>
      <c r="B1217" s="326"/>
      <c r="C1217" s="326"/>
    </row>
    <row r="1218" spans="1:3">
      <c r="A1218" s="326"/>
      <c r="B1218" s="326"/>
      <c r="C1218" s="326"/>
    </row>
    <row r="1219" spans="1:3">
      <c r="A1219" s="326"/>
      <c r="B1219" s="326"/>
      <c r="C1219" s="326"/>
    </row>
    <row r="1220" spans="1:3">
      <c r="A1220" s="326"/>
      <c r="B1220" s="326"/>
      <c r="C1220" s="326"/>
    </row>
    <row r="1221" spans="1:3">
      <c r="A1221" s="326"/>
      <c r="B1221" s="326"/>
      <c r="C1221" s="326"/>
    </row>
    <row r="1222" spans="1:3">
      <c r="A1222" s="326"/>
      <c r="B1222" s="326"/>
      <c r="C1222" s="326"/>
    </row>
    <row r="1223" spans="1:3">
      <c r="A1223" s="326"/>
      <c r="B1223" s="326"/>
      <c r="C1223" s="326"/>
    </row>
    <row r="1224" spans="1:3">
      <c r="A1224" s="326"/>
      <c r="B1224" s="326"/>
      <c r="C1224" s="326"/>
    </row>
    <row r="1225" spans="1:3">
      <c r="A1225" s="326"/>
      <c r="B1225" s="326"/>
      <c r="C1225" s="326"/>
    </row>
    <row r="1226" spans="1:3">
      <c r="A1226" s="326"/>
      <c r="B1226" s="326"/>
      <c r="C1226" s="326"/>
    </row>
    <row r="1227" spans="1:3">
      <c r="A1227" s="326"/>
      <c r="B1227" s="326"/>
      <c r="C1227" s="326"/>
    </row>
    <row r="1228" spans="1:3">
      <c r="A1228" s="326"/>
      <c r="B1228" s="326"/>
      <c r="C1228" s="326"/>
    </row>
    <row r="1229" spans="1:3">
      <c r="A1229" s="326"/>
      <c r="B1229" s="326"/>
      <c r="C1229" s="326"/>
    </row>
    <row r="1230" spans="1:3">
      <c r="A1230" s="326"/>
      <c r="B1230" s="326"/>
      <c r="C1230" s="326"/>
    </row>
    <row r="1231" spans="1:3">
      <c r="A1231" s="326"/>
      <c r="B1231" s="326"/>
      <c r="C1231" s="326"/>
    </row>
    <row r="1232" spans="1:3">
      <c r="A1232" s="326"/>
      <c r="B1232" s="326"/>
      <c r="C1232" s="326"/>
    </row>
    <row r="1233" spans="1:3">
      <c r="A1233" s="326"/>
      <c r="B1233" s="326"/>
      <c r="C1233" s="326"/>
    </row>
    <row r="1234" spans="1:3">
      <c r="A1234" s="326"/>
      <c r="B1234" s="326"/>
      <c r="C1234" s="326"/>
    </row>
    <row r="1235" spans="1:3">
      <c r="A1235" s="326"/>
      <c r="B1235" s="326"/>
      <c r="C1235" s="326"/>
    </row>
    <row r="1236" spans="1:3">
      <c r="A1236" s="326"/>
      <c r="B1236" s="326"/>
      <c r="C1236" s="326"/>
    </row>
    <row r="1237" spans="1:3">
      <c r="A1237" s="326"/>
      <c r="B1237" s="326"/>
      <c r="C1237" s="326"/>
    </row>
    <row r="1238" spans="1:3">
      <c r="A1238" s="326"/>
      <c r="B1238" s="326"/>
      <c r="C1238" s="326"/>
    </row>
    <row r="1239" spans="1:3">
      <c r="A1239" s="326"/>
      <c r="B1239" s="326"/>
      <c r="C1239" s="326"/>
    </row>
    <row r="1240" spans="1:3">
      <c r="A1240" s="326"/>
      <c r="B1240" s="326"/>
      <c r="C1240" s="326"/>
    </row>
    <row r="1241" spans="1:3">
      <c r="A1241" s="326"/>
      <c r="B1241" s="326"/>
      <c r="C1241" s="326"/>
    </row>
    <row r="1242" spans="1:3">
      <c r="A1242" s="326"/>
      <c r="B1242" s="326"/>
      <c r="C1242" s="326"/>
    </row>
    <row r="1243" spans="1:3">
      <c r="A1243" s="326"/>
      <c r="B1243" s="326"/>
      <c r="C1243" s="326"/>
    </row>
    <row r="1244" spans="1:3">
      <c r="A1244" s="326"/>
      <c r="B1244" s="326"/>
      <c r="C1244" s="326"/>
    </row>
    <row r="1245" spans="1:3">
      <c r="A1245" s="326"/>
      <c r="B1245" s="326"/>
      <c r="C1245" s="326"/>
    </row>
    <row r="1246" spans="1:3">
      <c r="A1246" s="326"/>
      <c r="B1246" s="326"/>
      <c r="C1246" s="326"/>
    </row>
    <row r="1247" spans="1:3">
      <c r="A1247" s="326"/>
      <c r="B1247" s="326"/>
      <c r="C1247" s="326"/>
    </row>
    <row r="1248" spans="1:3">
      <c r="A1248" s="326"/>
      <c r="B1248" s="326"/>
      <c r="C1248" s="326"/>
    </row>
    <row r="1249" spans="1:3">
      <c r="A1249" s="326"/>
      <c r="B1249" s="326"/>
      <c r="C1249" s="326"/>
    </row>
    <row r="1250" spans="1:3">
      <c r="A1250" s="326"/>
      <c r="B1250" s="326"/>
      <c r="C1250" s="326"/>
    </row>
    <row r="1251" spans="1:3">
      <c r="A1251" s="326"/>
      <c r="B1251" s="326"/>
      <c r="C1251" s="326"/>
    </row>
    <row r="1252" spans="1:3">
      <c r="A1252" s="326"/>
      <c r="B1252" s="326"/>
      <c r="C1252" s="326"/>
    </row>
    <row r="1253" spans="1:3">
      <c r="A1253" s="326"/>
      <c r="B1253" s="326"/>
      <c r="C1253" s="326"/>
    </row>
    <row r="1254" spans="1:3">
      <c r="A1254" s="326"/>
      <c r="B1254" s="326"/>
      <c r="C1254" s="326"/>
    </row>
    <row r="1255" spans="1:3">
      <c r="A1255" s="326"/>
      <c r="B1255" s="326"/>
      <c r="C1255" s="326"/>
    </row>
    <row r="1256" spans="1:3">
      <c r="A1256" s="326"/>
      <c r="B1256" s="326"/>
      <c r="C1256" s="326"/>
    </row>
    <row r="1257" spans="1:3">
      <c r="A1257" s="326"/>
      <c r="B1257" s="326"/>
      <c r="C1257" s="326"/>
    </row>
    <row r="1258" spans="1:3">
      <c r="A1258" s="326"/>
      <c r="B1258" s="326"/>
      <c r="C1258" s="326"/>
    </row>
    <row r="1259" spans="1:3">
      <c r="A1259" s="326"/>
      <c r="B1259" s="326"/>
      <c r="C1259" s="326"/>
    </row>
    <row r="1260" spans="1:3">
      <c r="A1260" s="326"/>
      <c r="B1260" s="326"/>
      <c r="C1260" s="326"/>
    </row>
    <row r="1261" spans="1:3">
      <c r="A1261" s="326"/>
      <c r="B1261" s="326"/>
      <c r="C1261" s="326"/>
    </row>
    <row r="1262" spans="1:3">
      <c r="A1262" s="326"/>
      <c r="B1262" s="326"/>
      <c r="C1262" s="326"/>
    </row>
    <row r="1263" spans="1:3">
      <c r="A1263" s="326"/>
      <c r="B1263" s="326"/>
      <c r="C1263" s="326"/>
    </row>
    <row r="1264" spans="1:3">
      <c r="A1264" s="326"/>
      <c r="B1264" s="326"/>
      <c r="C1264" s="326"/>
    </row>
    <row r="1265" spans="1:3">
      <c r="A1265" s="326"/>
      <c r="B1265" s="326"/>
      <c r="C1265" s="326"/>
    </row>
    <row r="1266" spans="1:3">
      <c r="A1266" s="326"/>
      <c r="B1266" s="326"/>
      <c r="C1266" s="326"/>
    </row>
    <row r="1267" spans="1:3">
      <c r="A1267" s="326"/>
      <c r="B1267" s="326"/>
      <c r="C1267" s="326"/>
    </row>
    <row r="1268" spans="1:3">
      <c r="A1268" s="326"/>
      <c r="B1268" s="326"/>
      <c r="C1268" s="326"/>
    </row>
    <row r="1269" spans="1:3">
      <c r="A1269" s="326"/>
      <c r="B1269" s="326"/>
      <c r="C1269" s="326"/>
    </row>
    <row r="1270" spans="1:3">
      <c r="A1270" s="326"/>
      <c r="B1270" s="326"/>
      <c r="C1270" s="326"/>
    </row>
    <row r="1271" spans="1:3">
      <c r="A1271" s="326"/>
      <c r="B1271" s="326"/>
      <c r="C1271" s="326"/>
    </row>
    <row r="1272" spans="1:3">
      <c r="A1272" s="326"/>
      <c r="B1272" s="326"/>
      <c r="C1272" s="326"/>
    </row>
    <row r="1273" spans="1:3">
      <c r="A1273" s="326"/>
      <c r="B1273" s="326"/>
      <c r="C1273" s="326"/>
    </row>
    <row r="1274" spans="1:3">
      <c r="A1274" s="326"/>
      <c r="B1274" s="326"/>
      <c r="C1274" s="326"/>
    </row>
    <row r="1275" spans="1:3">
      <c r="A1275" s="326"/>
      <c r="B1275" s="326"/>
      <c r="C1275" s="326"/>
    </row>
    <row r="1276" spans="1:3">
      <c r="A1276" s="326"/>
      <c r="B1276" s="326"/>
      <c r="C1276" s="326"/>
    </row>
    <row r="1277" spans="1:3">
      <c r="A1277" s="326"/>
      <c r="B1277" s="326"/>
      <c r="C1277" s="326"/>
    </row>
    <row r="1278" spans="1:3">
      <c r="A1278" s="326"/>
      <c r="B1278" s="326"/>
      <c r="C1278" s="326"/>
    </row>
    <row r="1279" spans="1:3">
      <c r="A1279" s="326"/>
      <c r="B1279" s="326"/>
      <c r="C1279" s="326"/>
    </row>
    <row r="1280" spans="1:3">
      <c r="A1280" s="326"/>
      <c r="B1280" s="326"/>
      <c r="C1280" s="326"/>
    </row>
    <row r="1281" spans="1:3">
      <c r="A1281" s="326"/>
      <c r="B1281" s="326"/>
      <c r="C1281" s="326"/>
    </row>
    <row r="1282" spans="1:3">
      <c r="A1282" s="326"/>
      <c r="B1282" s="326"/>
      <c r="C1282" s="326"/>
    </row>
    <row r="1283" spans="1:3">
      <c r="A1283" s="326"/>
      <c r="B1283" s="326"/>
      <c r="C1283" s="326"/>
    </row>
    <row r="1284" spans="1:3">
      <c r="A1284" s="326"/>
      <c r="B1284" s="326"/>
      <c r="C1284" s="326"/>
    </row>
    <row r="1285" spans="1:3">
      <c r="A1285" s="326"/>
      <c r="B1285" s="326"/>
      <c r="C1285" s="326"/>
    </row>
    <row r="1286" spans="1:3">
      <c r="A1286" s="326"/>
      <c r="B1286" s="326"/>
      <c r="C1286" s="326"/>
    </row>
    <row r="1287" spans="1:3">
      <c r="A1287" s="326"/>
      <c r="B1287" s="326"/>
      <c r="C1287" s="326"/>
    </row>
    <row r="1288" spans="1:3">
      <c r="A1288" s="326"/>
      <c r="B1288" s="326"/>
      <c r="C1288" s="326"/>
    </row>
    <row r="1289" spans="1:3">
      <c r="A1289" s="326"/>
      <c r="B1289" s="326"/>
      <c r="C1289" s="326"/>
    </row>
    <row r="1290" spans="1:3">
      <c r="A1290" s="326"/>
      <c r="B1290" s="326"/>
      <c r="C1290" s="326"/>
    </row>
    <row r="1291" spans="1:3">
      <c r="A1291" s="326"/>
      <c r="B1291" s="326"/>
      <c r="C1291" s="326"/>
    </row>
    <row r="1292" spans="1:3">
      <c r="A1292" s="326"/>
      <c r="B1292" s="326"/>
      <c r="C1292" s="326"/>
    </row>
    <row r="1293" spans="1:3">
      <c r="A1293" s="326"/>
      <c r="B1293" s="326"/>
      <c r="C1293" s="326"/>
    </row>
    <row r="1294" spans="1:3">
      <c r="A1294" s="326"/>
      <c r="B1294" s="326"/>
      <c r="C1294" s="326"/>
    </row>
    <row r="1295" spans="1:3">
      <c r="A1295" s="326"/>
      <c r="B1295" s="326"/>
      <c r="C1295" s="326"/>
    </row>
    <row r="1296" spans="1:3">
      <c r="A1296" s="326"/>
      <c r="B1296" s="326"/>
      <c r="C1296" s="326"/>
    </row>
    <row r="1297" spans="1:3">
      <c r="A1297" s="326"/>
      <c r="B1297" s="326"/>
      <c r="C1297" s="326"/>
    </row>
    <row r="1298" spans="1:3">
      <c r="A1298" s="326"/>
      <c r="B1298" s="326"/>
      <c r="C1298" s="326"/>
    </row>
    <row r="1299" spans="1:3">
      <c r="A1299" s="326"/>
      <c r="B1299" s="326"/>
      <c r="C1299" s="326"/>
    </row>
    <row r="1300" spans="1:3">
      <c r="A1300" s="326"/>
      <c r="B1300" s="326"/>
      <c r="C1300" s="326"/>
    </row>
    <row r="1301" spans="1:3">
      <c r="A1301" s="326"/>
      <c r="B1301" s="326"/>
      <c r="C1301" s="326"/>
    </row>
    <row r="1302" spans="1:3">
      <c r="A1302" s="326"/>
      <c r="B1302" s="326"/>
      <c r="C1302" s="326"/>
    </row>
    <row r="1303" spans="1:3">
      <c r="A1303" s="326"/>
      <c r="B1303" s="326"/>
      <c r="C1303" s="326"/>
    </row>
    <row r="1304" spans="1:3">
      <c r="A1304" s="326"/>
      <c r="B1304" s="326"/>
      <c r="C1304" s="326"/>
    </row>
    <row r="1305" spans="1:3">
      <c r="A1305" s="326"/>
      <c r="B1305" s="326"/>
      <c r="C1305" s="326"/>
    </row>
    <row r="1306" spans="1:3">
      <c r="A1306" s="326"/>
      <c r="B1306" s="326"/>
      <c r="C1306" s="326"/>
    </row>
    <row r="1307" spans="1:3">
      <c r="A1307" s="326"/>
      <c r="B1307" s="326"/>
      <c r="C1307" s="326"/>
    </row>
    <row r="1308" spans="1:3">
      <c r="A1308" s="326"/>
      <c r="B1308" s="326"/>
      <c r="C1308" s="326"/>
    </row>
    <row r="1309" spans="1:3">
      <c r="A1309" s="326"/>
      <c r="B1309" s="326"/>
      <c r="C1309" s="326"/>
    </row>
    <row r="1310" spans="1:3">
      <c r="A1310" s="326"/>
      <c r="B1310" s="326"/>
      <c r="C1310" s="326"/>
    </row>
    <row r="1311" spans="1:3">
      <c r="A1311" s="326"/>
      <c r="B1311" s="326"/>
      <c r="C1311" s="326"/>
    </row>
    <row r="1312" spans="1:3">
      <c r="A1312" s="326"/>
      <c r="B1312" s="326"/>
      <c r="C1312" s="326"/>
    </row>
    <row r="1313" spans="1:3">
      <c r="A1313" s="326"/>
      <c r="B1313" s="326"/>
      <c r="C1313" s="326"/>
    </row>
    <row r="1314" spans="1:3">
      <c r="A1314" s="326"/>
      <c r="B1314" s="326"/>
      <c r="C1314" s="326"/>
    </row>
    <row r="1315" spans="1:3">
      <c r="A1315" s="326"/>
      <c r="B1315" s="326"/>
      <c r="C1315" s="326"/>
    </row>
    <row r="1316" spans="1:3">
      <c r="A1316" s="326"/>
      <c r="B1316" s="326"/>
      <c r="C1316" s="326"/>
    </row>
    <row r="1317" spans="1:3">
      <c r="A1317" s="326"/>
      <c r="B1317" s="326"/>
      <c r="C1317" s="326"/>
    </row>
    <row r="1318" spans="1:3">
      <c r="A1318" s="326"/>
      <c r="B1318" s="326"/>
      <c r="C1318" s="326"/>
    </row>
    <row r="1319" spans="1:3">
      <c r="A1319" s="326"/>
      <c r="B1319" s="326"/>
      <c r="C1319" s="326"/>
    </row>
    <row r="1320" spans="1:3">
      <c r="A1320" s="326"/>
      <c r="B1320" s="326"/>
      <c r="C1320" s="326"/>
    </row>
    <row r="1321" spans="1:3">
      <c r="A1321" s="326"/>
      <c r="B1321" s="326"/>
      <c r="C1321" s="326"/>
    </row>
    <row r="1322" spans="1:3">
      <c r="A1322" s="326"/>
      <c r="B1322" s="326"/>
      <c r="C1322" s="326"/>
    </row>
    <row r="1323" spans="1:3">
      <c r="A1323" s="326"/>
      <c r="B1323" s="326"/>
      <c r="C1323" s="326"/>
    </row>
    <row r="1324" spans="1:3">
      <c r="A1324" s="326"/>
      <c r="B1324" s="326"/>
      <c r="C1324" s="326"/>
    </row>
    <row r="1325" spans="1:3">
      <c r="A1325" s="326"/>
      <c r="B1325" s="326"/>
      <c r="C1325" s="326"/>
    </row>
    <row r="1326" spans="1:3">
      <c r="A1326" s="326"/>
      <c r="B1326" s="326"/>
      <c r="C1326" s="326"/>
    </row>
    <row r="1327" spans="1:3">
      <c r="A1327" s="326"/>
      <c r="B1327" s="326"/>
      <c r="C1327" s="326"/>
    </row>
    <row r="1328" spans="1:3">
      <c r="A1328" s="326"/>
      <c r="B1328" s="326"/>
      <c r="C1328" s="326"/>
    </row>
    <row r="1329" spans="1:3">
      <c r="A1329" s="326"/>
      <c r="B1329" s="326"/>
      <c r="C1329" s="326"/>
    </row>
    <row r="1330" spans="1:3">
      <c r="A1330" s="326"/>
      <c r="B1330" s="326"/>
      <c r="C1330" s="326"/>
    </row>
    <row r="1331" spans="1:3">
      <c r="A1331" s="326"/>
      <c r="B1331" s="326"/>
      <c r="C1331" s="326"/>
    </row>
    <row r="1332" spans="1:3">
      <c r="A1332" s="326"/>
      <c r="B1332" s="326"/>
      <c r="C1332" s="326"/>
    </row>
    <row r="1333" spans="1:3">
      <c r="A1333" s="326"/>
      <c r="B1333" s="326"/>
      <c r="C1333" s="326"/>
    </row>
    <row r="1334" spans="1:3">
      <c r="A1334" s="326"/>
      <c r="B1334" s="326"/>
      <c r="C1334" s="326"/>
    </row>
    <row r="1335" spans="1:3">
      <c r="A1335" s="326"/>
      <c r="B1335" s="326"/>
      <c r="C1335" s="326"/>
    </row>
    <row r="1336" spans="1:3">
      <c r="A1336" s="326"/>
      <c r="B1336" s="326"/>
      <c r="C1336" s="326"/>
    </row>
    <row r="1337" spans="1:3">
      <c r="A1337" s="326"/>
      <c r="B1337" s="326"/>
      <c r="C1337" s="326"/>
    </row>
    <row r="1338" spans="1:3">
      <c r="A1338" s="326"/>
      <c r="B1338" s="326"/>
      <c r="C1338" s="326"/>
    </row>
    <row r="1339" spans="1:3">
      <c r="A1339" s="326"/>
      <c r="B1339" s="326"/>
      <c r="C1339" s="326"/>
    </row>
    <row r="1340" spans="1:3">
      <c r="A1340" s="326"/>
      <c r="B1340" s="326"/>
      <c r="C1340" s="326"/>
    </row>
    <row r="1341" spans="1:3">
      <c r="A1341" s="326"/>
      <c r="B1341" s="326"/>
      <c r="C1341" s="326"/>
    </row>
    <row r="1342" spans="1:3">
      <c r="A1342" s="326"/>
      <c r="B1342" s="326"/>
      <c r="C1342" s="326"/>
    </row>
    <row r="1343" spans="1:3">
      <c r="A1343" s="326"/>
      <c r="B1343" s="326"/>
      <c r="C1343" s="326"/>
    </row>
    <row r="1344" spans="1:3">
      <c r="A1344" s="326"/>
      <c r="B1344" s="326"/>
      <c r="C1344" s="326"/>
    </row>
    <row r="1345" spans="1:3">
      <c r="A1345" s="326"/>
      <c r="B1345" s="326"/>
      <c r="C1345" s="326"/>
    </row>
    <row r="1346" spans="1:3">
      <c r="A1346" s="326"/>
      <c r="B1346" s="326"/>
      <c r="C1346" s="326"/>
    </row>
    <row r="1347" spans="1:3">
      <c r="A1347" s="326"/>
      <c r="B1347" s="326"/>
      <c r="C1347" s="326"/>
    </row>
    <row r="1348" spans="1:3">
      <c r="A1348" s="326"/>
      <c r="B1348" s="326"/>
      <c r="C1348" s="326"/>
    </row>
    <row r="1349" spans="1:3">
      <c r="A1349" s="326"/>
      <c r="B1349" s="326"/>
      <c r="C1349" s="326"/>
    </row>
    <row r="1350" spans="1:3">
      <c r="A1350" s="326"/>
      <c r="B1350" s="326"/>
      <c r="C1350" s="326"/>
    </row>
    <row r="1351" spans="1:3">
      <c r="A1351" s="326"/>
      <c r="B1351" s="326"/>
      <c r="C1351" s="326"/>
    </row>
    <row r="1352" spans="1:3">
      <c r="A1352" s="326"/>
      <c r="B1352" s="326"/>
      <c r="C1352" s="326"/>
    </row>
    <row r="1353" spans="1:3">
      <c r="A1353" s="326"/>
      <c r="B1353" s="326"/>
      <c r="C1353" s="326"/>
    </row>
    <row r="1354" spans="1:3">
      <c r="A1354" s="326"/>
      <c r="B1354" s="326"/>
      <c r="C1354" s="326"/>
    </row>
    <row r="1355" spans="1:3">
      <c r="A1355" s="326"/>
      <c r="B1355" s="326"/>
      <c r="C1355" s="326"/>
    </row>
    <row r="1356" spans="1:3">
      <c r="A1356" s="326"/>
      <c r="B1356" s="326"/>
      <c r="C1356" s="326"/>
    </row>
    <row r="1357" spans="1:3">
      <c r="A1357" s="326"/>
      <c r="B1357" s="326"/>
      <c r="C1357" s="326"/>
    </row>
    <row r="1358" spans="1:3">
      <c r="A1358" s="326"/>
      <c r="B1358" s="326"/>
      <c r="C1358" s="326"/>
    </row>
    <row r="1359" spans="1:3">
      <c r="A1359" s="326"/>
      <c r="B1359" s="326"/>
      <c r="C1359" s="326"/>
    </row>
    <row r="1360" spans="1:3">
      <c r="A1360" s="326"/>
      <c r="B1360" s="326"/>
      <c r="C1360" s="326"/>
    </row>
    <row r="1361" spans="1:3">
      <c r="A1361" s="326"/>
      <c r="B1361" s="326"/>
      <c r="C1361" s="326"/>
    </row>
    <row r="1362" spans="1:3">
      <c r="A1362" s="326"/>
      <c r="B1362" s="326"/>
      <c r="C1362" s="326"/>
    </row>
    <row r="1363" spans="1:3">
      <c r="A1363" s="326"/>
      <c r="B1363" s="326"/>
      <c r="C1363" s="326"/>
    </row>
    <row r="1364" spans="1:3">
      <c r="A1364" s="326"/>
      <c r="B1364" s="326"/>
      <c r="C1364" s="326"/>
    </row>
    <row r="1365" spans="1:3">
      <c r="A1365" s="326"/>
      <c r="B1365" s="326"/>
      <c r="C1365" s="326"/>
    </row>
    <row r="1366" spans="1:3">
      <c r="A1366" s="326"/>
      <c r="B1366" s="326"/>
      <c r="C1366" s="326"/>
    </row>
    <row r="1367" spans="1:3">
      <c r="A1367" s="326"/>
      <c r="B1367" s="326"/>
      <c r="C1367" s="326"/>
    </row>
    <row r="1368" spans="1:3">
      <c r="A1368" s="326"/>
      <c r="B1368" s="326"/>
      <c r="C1368" s="326"/>
    </row>
    <row r="1369" spans="1:3">
      <c r="A1369" s="326"/>
      <c r="B1369" s="326"/>
      <c r="C1369" s="326"/>
    </row>
    <row r="1370" spans="1:3">
      <c r="A1370" s="326"/>
      <c r="B1370" s="326"/>
      <c r="C1370" s="326"/>
    </row>
    <row r="1371" spans="1:3">
      <c r="A1371" s="326"/>
      <c r="B1371" s="326"/>
      <c r="C1371" s="326"/>
    </row>
    <row r="1372" spans="1:3">
      <c r="A1372" s="326"/>
      <c r="B1372" s="326"/>
      <c r="C1372" s="326"/>
    </row>
    <row r="1373" spans="1:3">
      <c r="A1373" s="326"/>
      <c r="B1373" s="326"/>
      <c r="C1373" s="326"/>
    </row>
    <row r="1374" spans="1:3">
      <c r="A1374" s="326"/>
      <c r="B1374" s="326"/>
      <c r="C1374" s="326"/>
    </row>
    <row r="1375" spans="1:3">
      <c r="A1375" s="326"/>
      <c r="B1375" s="326"/>
      <c r="C1375" s="326"/>
    </row>
    <row r="1376" spans="1:3">
      <c r="A1376" s="326"/>
      <c r="B1376" s="326"/>
      <c r="C1376" s="326"/>
    </row>
    <row r="1377" spans="1:3"/>
    <row r="1378" spans="1:3"/>
    <row r="1379" spans="1:3">
      <c r="A1379" s="326"/>
      <c r="B1379" s="326"/>
      <c r="C1379" s="326"/>
    </row>
    <row r="1380" spans="1:3">
      <c r="A1380" s="326"/>
      <c r="B1380" s="326"/>
      <c r="C1380" s="326"/>
    </row>
    <row r="1381" spans="1:3">
      <c r="A1381" s="326"/>
      <c r="B1381" s="326"/>
      <c r="C1381" s="326"/>
    </row>
    <row r="1382" spans="1:3">
      <c r="A1382" s="326"/>
      <c r="B1382" s="326"/>
      <c r="C1382" s="326"/>
    </row>
    <row r="1383" spans="1:3">
      <c r="A1383" s="326"/>
      <c r="B1383" s="326"/>
      <c r="C1383" s="326"/>
    </row>
    <row r="1384" spans="1:3">
      <c r="A1384" s="326"/>
      <c r="B1384" s="326"/>
      <c r="C1384" s="326"/>
    </row>
    <row r="1385" spans="1:3">
      <c r="A1385" s="326"/>
      <c r="B1385" s="326"/>
      <c r="C1385" s="326"/>
    </row>
    <row r="1386" spans="1:3">
      <c r="A1386" s="326"/>
      <c r="B1386" s="326"/>
      <c r="C1386" s="326"/>
    </row>
    <row r="1387" spans="1:3">
      <c r="A1387" s="326"/>
      <c r="B1387" s="326"/>
      <c r="C1387" s="326"/>
    </row>
    <row r="1388" spans="1:3">
      <c r="A1388" s="326"/>
      <c r="B1388" s="326"/>
      <c r="C1388" s="326"/>
    </row>
    <row r="1389" spans="1:3">
      <c r="A1389" s="326"/>
      <c r="B1389" s="326"/>
      <c r="C1389" s="326"/>
    </row>
    <row r="1390" spans="1:3">
      <c r="A1390" s="326"/>
      <c r="B1390" s="326"/>
      <c r="C1390" s="326"/>
    </row>
    <row r="1391" spans="1:3">
      <c r="A1391" s="326"/>
      <c r="B1391" s="326"/>
      <c r="C1391" s="326"/>
    </row>
    <row r="1392" spans="1:3">
      <c r="A1392" s="326"/>
      <c r="B1392" s="326"/>
      <c r="C1392" s="326"/>
    </row>
    <row r="1393" spans="1:3">
      <c r="A1393" s="326"/>
      <c r="B1393" s="326"/>
      <c r="C1393" s="326"/>
    </row>
    <row r="1394" spans="1:3">
      <c r="A1394" s="326"/>
      <c r="B1394" s="326"/>
      <c r="C1394" s="326"/>
    </row>
    <row r="1395" spans="1:3">
      <c r="A1395" s="326"/>
      <c r="B1395" s="326"/>
      <c r="C1395" s="326"/>
    </row>
    <row r="1396" spans="1:3">
      <c r="A1396" s="326"/>
      <c r="B1396" s="326"/>
      <c r="C1396" s="326"/>
    </row>
    <row r="1397" spans="1:3">
      <c r="A1397" s="326"/>
      <c r="B1397" s="326"/>
      <c r="C1397" s="326"/>
    </row>
    <row r="1398" spans="1:3">
      <c r="A1398" s="326"/>
      <c r="B1398" s="326"/>
      <c r="C1398" s="326"/>
    </row>
    <row r="1399" spans="1:3">
      <c r="A1399" s="326"/>
      <c r="B1399" s="326"/>
      <c r="C1399" s="326"/>
    </row>
    <row r="1400" spans="1:3">
      <c r="A1400" s="326"/>
      <c r="B1400" s="326"/>
      <c r="C1400" s="326"/>
    </row>
    <row r="1401" spans="1:3">
      <c r="A1401" s="326"/>
      <c r="B1401" s="326"/>
      <c r="C1401" s="326"/>
    </row>
    <row r="1402" spans="1:3">
      <c r="A1402" s="326"/>
      <c r="B1402" s="326"/>
      <c r="C1402" s="326"/>
    </row>
    <row r="1403" spans="1:3">
      <c r="A1403" s="326"/>
      <c r="B1403" s="326"/>
      <c r="C1403" s="326"/>
    </row>
    <row r="1404" spans="1:3">
      <c r="A1404" s="326"/>
      <c r="B1404" s="326"/>
      <c r="C1404" s="326"/>
    </row>
    <row r="1405" spans="1:3">
      <c r="A1405" s="326"/>
      <c r="B1405" s="326"/>
      <c r="C1405" s="326"/>
    </row>
    <row r="1406" spans="1:3">
      <c r="A1406" s="326"/>
      <c r="B1406" s="326"/>
      <c r="C1406" s="326"/>
    </row>
    <row r="1407" spans="1:3">
      <c r="A1407" s="326"/>
      <c r="B1407" s="326"/>
      <c r="C1407" s="326"/>
    </row>
    <row r="1408" spans="1:3">
      <c r="A1408" s="326"/>
      <c r="B1408" s="326"/>
      <c r="C1408" s="326"/>
    </row>
    <row r="1409" spans="1:3">
      <c r="A1409" s="326"/>
      <c r="B1409" s="326"/>
      <c r="C1409" s="326"/>
    </row>
    <row r="1410" spans="1:3">
      <c r="A1410" s="326"/>
      <c r="B1410" s="326"/>
      <c r="C1410" s="326"/>
    </row>
    <row r="1411" spans="1:3">
      <c r="A1411" s="326"/>
      <c r="B1411" s="326"/>
      <c r="C1411" s="326"/>
    </row>
    <row r="1412" spans="1:3">
      <c r="A1412" s="326"/>
      <c r="B1412" s="326"/>
      <c r="C1412" s="326"/>
    </row>
    <row r="1413" spans="1:3">
      <c r="A1413" s="326"/>
      <c r="B1413" s="326"/>
      <c r="C1413" s="326"/>
    </row>
    <row r="1414" spans="1:3">
      <c r="A1414" s="326"/>
      <c r="B1414" s="326"/>
      <c r="C1414" s="326"/>
    </row>
    <row r="1415" spans="1:3">
      <c r="A1415" s="326"/>
      <c r="B1415" s="326"/>
      <c r="C1415" s="326"/>
    </row>
    <row r="1416" spans="1:3">
      <c r="A1416" s="326"/>
      <c r="B1416" s="326"/>
      <c r="C1416" s="326"/>
    </row>
    <row r="1417" spans="1:3">
      <c r="A1417" s="326"/>
      <c r="B1417" s="326"/>
      <c r="C1417" s="326"/>
    </row>
    <row r="1418" spans="1:3">
      <c r="A1418" s="326"/>
      <c r="B1418" s="326"/>
      <c r="C1418" s="326"/>
    </row>
    <row r="1419" spans="1:3">
      <c r="A1419" s="326"/>
      <c r="B1419" s="326"/>
      <c r="C1419" s="326"/>
    </row>
    <row r="1420" spans="1:3">
      <c r="A1420" s="326"/>
      <c r="B1420" s="326"/>
      <c r="C1420" s="326"/>
    </row>
    <row r="1421" spans="1:3">
      <c r="A1421" s="326"/>
      <c r="B1421" s="326"/>
      <c r="C1421" s="326"/>
    </row>
    <row r="1422" spans="1:3">
      <c r="A1422" s="326"/>
      <c r="B1422" s="326"/>
      <c r="C1422" s="326"/>
    </row>
    <row r="1423" spans="1:3">
      <c r="A1423" s="326"/>
      <c r="B1423" s="326"/>
      <c r="C1423" s="326"/>
    </row>
    <row r="1424" spans="1:3">
      <c r="A1424" s="326"/>
      <c r="B1424" s="326"/>
      <c r="C1424" s="326"/>
    </row>
    <row r="1425" spans="1:3">
      <c r="A1425" s="326"/>
      <c r="B1425" s="326"/>
      <c r="C1425" s="326"/>
    </row>
    <row r="1426" spans="1:3">
      <c r="A1426" s="326"/>
      <c r="B1426" s="326"/>
      <c r="C1426" s="326"/>
    </row>
    <row r="1427" spans="1:3">
      <c r="A1427" s="326"/>
      <c r="B1427" s="326"/>
      <c r="C1427" s="326"/>
    </row>
    <row r="1428" spans="1:3">
      <c r="A1428" s="326"/>
      <c r="B1428" s="326"/>
      <c r="C1428" s="326"/>
    </row>
    <row r="1429" spans="1:3">
      <c r="A1429" s="326"/>
      <c r="B1429" s="326"/>
      <c r="C1429" s="326"/>
    </row>
    <row r="1430" spans="1:3">
      <c r="A1430" s="326"/>
      <c r="B1430" s="326"/>
      <c r="C1430" s="326"/>
    </row>
    <row r="1431" spans="1:3">
      <c r="A1431" s="326"/>
      <c r="B1431" s="326"/>
      <c r="C1431" s="326"/>
    </row>
    <row r="1432" spans="1:3">
      <c r="A1432" s="326"/>
      <c r="B1432" s="326"/>
      <c r="C1432" s="326"/>
    </row>
    <row r="1433" spans="1:3">
      <c r="A1433" s="326"/>
      <c r="B1433" s="326"/>
      <c r="C1433" s="326"/>
    </row>
    <row r="1434" spans="1:3">
      <c r="A1434" s="326"/>
      <c r="B1434" s="326"/>
      <c r="C1434" s="326"/>
    </row>
    <row r="1435" spans="1:3">
      <c r="A1435" s="326"/>
      <c r="B1435" s="326"/>
      <c r="C1435" s="326"/>
    </row>
    <row r="1436" spans="1:3">
      <c r="A1436" s="326"/>
      <c r="B1436" s="326"/>
      <c r="C1436" s="326"/>
    </row>
    <row r="1437" spans="1:3">
      <c r="A1437" s="326"/>
      <c r="B1437" s="326"/>
      <c r="C1437" s="326"/>
    </row>
    <row r="1438" spans="1:3">
      <c r="A1438" s="326"/>
      <c r="B1438" s="326"/>
      <c r="C1438" s="326"/>
    </row>
    <row r="1439" spans="1:3">
      <c r="A1439" s="326"/>
      <c r="B1439" s="326"/>
      <c r="C1439" s="326"/>
    </row>
    <row r="1440" spans="1:3">
      <c r="A1440" s="326"/>
      <c r="B1440" s="326"/>
      <c r="C1440" s="326"/>
    </row>
    <row r="1441" spans="1:3">
      <c r="A1441" s="326"/>
      <c r="B1441" s="326"/>
      <c r="C1441" s="326"/>
    </row>
    <row r="1442" spans="1:3">
      <c r="A1442" s="326"/>
      <c r="B1442" s="326"/>
      <c r="C1442" s="326"/>
    </row>
    <row r="1443" spans="1:3">
      <c r="A1443" s="326"/>
      <c r="B1443" s="326"/>
      <c r="C1443" s="326"/>
    </row>
    <row r="1444" spans="1:3">
      <c r="A1444" s="326"/>
      <c r="B1444" s="326"/>
      <c r="C1444" s="326"/>
    </row>
    <row r="1445" spans="1:3">
      <c r="A1445" s="326"/>
      <c r="B1445" s="326"/>
      <c r="C1445" s="326"/>
    </row>
    <row r="1446" spans="1:3">
      <c r="A1446" s="326"/>
      <c r="B1446" s="326"/>
      <c r="C1446" s="326"/>
    </row>
    <row r="1447" spans="1:3">
      <c r="A1447" s="326"/>
      <c r="B1447" s="326"/>
      <c r="C1447" s="326"/>
    </row>
    <row r="1448" spans="1:3">
      <c r="A1448" s="326"/>
      <c r="B1448" s="326"/>
      <c r="C1448" s="326"/>
    </row>
    <row r="1449" spans="1:3">
      <c r="A1449" s="326"/>
      <c r="B1449" s="326"/>
      <c r="C1449" s="326"/>
    </row>
    <row r="1450" spans="1:3">
      <c r="A1450" s="326"/>
      <c r="B1450" s="326"/>
      <c r="C1450" s="326"/>
    </row>
    <row r="1451" spans="1:3">
      <c r="A1451" s="326"/>
      <c r="B1451" s="326"/>
      <c r="C1451" s="326"/>
    </row>
    <row r="1452" spans="1:3">
      <c r="A1452" s="326"/>
      <c r="B1452" s="326"/>
      <c r="C1452" s="326"/>
    </row>
    <row r="1453" spans="1:3">
      <c r="A1453" s="326"/>
      <c r="B1453" s="326"/>
      <c r="C1453" s="326"/>
    </row>
    <row r="1454" spans="1:3">
      <c r="A1454" s="326"/>
      <c r="B1454" s="326"/>
      <c r="C1454" s="326"/>
    </row>
    <row r="1455" spans="1:3">
      <c r="A1455" s="326"/>
      <c r="B1455" s="326"/>
      <c r="C1455" s="326"/>
    </row>
    <row r="1456" spans="1:3">
      <c r="A1456" s="326"/>
      <c r="B1456" s="326"/>
      <c r="C1456" s="326"/>
    </row>
    <row r="1457" spans="1:3">
      <c r="A1457" s="326"/>
      <c r="B1457" s="326"/>
      <c r="C1457" s="326"/>
    </row>
    <row r="1458" spans="1:3">
      <c r="A1458" s="326"/>
      <c r="B1458" s="326"/>
      <c r="C1458" s="326"/>
    </row>
    <row r="1459" spans="1:3">
      <c r="A1459" s="326"/>
      <c r="B1459" s="326"/>
      <c r="C1459" s="326"/>
    </row>
    <row r="1460" spans="1:3">
      <c r="A1460" s="326"/>
      <c r="B1460" s="326"/>
      <c r="C1460" s="326"/>
    </row>
    <row r="1461" spans="1:3">
      <c r="A1461" s="326"/>
      <c r="B1461" s="326"/>
      <c r="C1461" s="326"/>
    </row>
    <row r="1462" spans="1:3">
      <c r="A1462" s="326"/>
      <c r="B1462" s="326"/>
      <c r="C1462" s="326"/>
    </row>
    <row r="1463" spans="1:3">
      <c r="A1463" s="326"/>
      <c r="B1463" s="326"/>
      <c r="C1463" s="326"/>
    </row>
    <row r="1464" spans="1:3">
      <c r="A1464" s="326"/>
      <c r="B1464" s="326"/>
      <c r="C1464" s="326"/>
    </row>
    <row r="1465" spans="1:3">
      <c r="A1465" s="326"/>
      <c r="B1465" s="326"/>
      <c r="C1465" s="326"/>
    </row>
    <row r="1466" spans="1:3">
      <c r="A1466" s="326"/>
      <c r="B1466" s="326"/>
      <c r="C1466" s="326"/>
    </row>
    <row r="1467" spans="1:3">
      <c r="A1467" s="326"/>
      <c r="B1467" s="326"/>
      <c r="C1467" s="326"/>
    </row>
    <row r="1468" spans="1:3">
      <c r="A1468" s="326"/>
      <c r="B1468" s="326"/>
      <c r="C1468" s="326"/>
    </row>
    <row r="1469" spans="1:3">
      <c r="A1469" s="326"/>
      <c r="B1469" s="326"/>
      <c r="C1469" s="326"/>
    </row>
    <row r="1470" spans="1:3">
      <c r="A1470" s="326"/>
      <c r="B1470" s="326"/>
      <c r="C1470" s="326"/>
    </row>
    <row r="1471" spans="1:3">
      <c r="A1471" s="326"/>
      <c r="B1471" s="326"/>
      <c r="C1471" s="326"/>
    </row>
    <row r="1472" spans="1:3">
      <c r="A1472" s="326"/>
      <c r="B1472" s="326"/>
      <c r="C1472" s="326"/>
    </row>
    <row r="1473" spans="1:3">
      <c r="A1473" s="326"/>
      <c r="B1473" s="326"/>
      <c r="C1473" s="326"/>
    </row>
    <row r="1474" spans="1:3">
      <c r="A1474" s="326"/>
      <c r="B1474" s="326"/>
      <c r="C1474" s="326"/>
    </row>
    <row r="1475" spans="1:3">
      <c r="A1475" s="326"/>
      <c r="B1475" s="326"/>
      <c r="C1475" s="326"/>
    </row>
    <row r="1476" spans="1:3">
      <c r="A1476" s="326"/>
      <c r="B1476" s="326"/>
      <c r="C1476" s="326"/>
    </row>
    <row r="1477" spans="1:3">
      <c r="A1477" s="326"/>
      <c r="B1477" s="326"/>
      <c r="C1477" s="326"/>
    </row>
    <row r="1478" spans="1:3">
      <c r="A1478" s="326"/>
      <c r="B1478" s="326"/>
      <c r="C1478" s="326"/>
    </row>
    <row r="1479" spans="1:3">
      <c r="A1479" s="326"/>
      <c r="B1479" s="326"/>
      <c r="C1479" s="326"/>
    </row>
    <row r="1480" spans="1:3">
      <c r="A1480" s="326"/>
      <c r="B1480" s="326"/>
      <c r="C1480" s="326"/>
    </row>
    <row r="1481" spans="1:3">
      <c r="A1481" s="326"/>
      <c r="B1481" s="326"/>
      <c r="C1481" s="326"/>
    </row>
    <row r="1482" spans="1:3">
      <c r="A1482" s="326"/>
      <c r="B1482" s="326"/>
      <c r="C1482" s="326"/>
    </row>
    <row r="1483" spans="1:3">
      <c r="A1483" s="326"/>
      <c r="B1483" s="326"/>
      <c r="C1483" s="326"/>
    </row>
    <row r="1484" spans="1:3">
      <c r="A1484" s="326"/>
      <c r="B1484" s="326"/>
      <c r="C1484" s="326"/>
    </row>
    <row r="1485" spans="1:3">
      <c r="A1485" s="326"/>
      <c r="B1485" s="326"/>
      <c r="C1485" s="326"/>
    </row>
    <row r="1486" spans="1:3">
      <c r="A1486" s="326"/>
      <c r="B1486" s="326"/>
      <c r="C1486" s="326"/>
    </row>
    <row r="1487" spans="1:3">
      <c r="A1487" s="326"/>
      <c r="B1487" s="326"/>
      <c r="C1487" s="326"/>
    </row>
    <row r="1488" spans="1:3">
      <c r="A1488" s="326"/>
      <c r="B1488" s="326"/>
      <c r="C1488" s="326"/>
    </row>
    <row r="1489" spans="1:3">
      <c r="A1489" s="326"/>
      <c r="B1489" s="326"/>
      <c r="C1489" s="326"/>
    </row>
    <row r="1490" spans="1:3">
      <c r="A1490" s="326"/>
      <c r="B1490" s="326"/>
      <c r="C1490" s="326"/>
    </row>
    <row r="1491" spans="1:3">
      <c r="A1491" s="326"/>
      <c r="B1491" s="326"/>
      <c r="C1491" s="326"/>
    </row>
    <row r="1492" spans="1:3">
      <c r="A1492" s="326"/>
      <c r="B1492" s="326"/>
      <c r="C1492" s="326"/>
    </row>
    <row r="1493" spans="1:3">
      <c r="A1493" s="326"/>
      <c r="B1493" s="326"/>
      <c r="C1493" s="326"/>
    </row>
    <row r="1494" spans="1:3">
      <c r="A1494" s="326"/>
      <c r="B1494" s="326"/>
      <c r="C1494" s="326"/>
    </row>
    <row r="1495" spans="1:3">
      <c r="A1495" s="326"/>
      <c r="B1495" s="326"/>
      <c r="C1495" s="326"/>
    </row>
    <row r="1496" spans="1:3">
      <c r="A1496" s="326"/>
      <c r="B1496" s="326"/>
      <c r="C1496" s="326"/>
    </row>
    <row r="1497" spans="1:3">
      <c r="A1497" s="326"/>
      <c r="B1497" s="326"/>
      <c r="C1497" s="326"/>
    </row>
    <row r="1498" spans="1:3">
      <c r="A1498" s="326"/>
      <c r="B1498" s="326"/>
      <c r="C1498" s="326"/>
    </row>
    <row r="1499" spans="1:3">
      <c r="A1499" s="326"/>
      <c r="B1499" s="326"/>
      <c r="C1499" s="326"/>
    </row>
    <row r="1500" spans="1:3">
      <c r="A1500" s="326"/>
      <c r="B1500" s="326"/>
      <c r="C1500" s="326"/>
    </row>
    <row r="1501" spans="1:3">
      <c r="A1501" s="326"/>
      <c r="B1501" s="326"/>
      <c r="C1501" s="326"/>
    </row>
    <row r="1502" spans="1:3">
      <c r="A1502" s="326"/>
      <c r="B1502" s="326"/>
      <c r="C1502" s="326"/>
    </row>
    <row r="1503" spans="1:3">
      <c r="A1503" s="326"/>
      <c r="B1503" s="326"/>
      <c r="C1503" s="326"/>
    </row>
    <row r="1504" spans="1:3">
      <c r="A1504" s="326"/>
      <c r="B1504" s="326"/>
      <c r="C1504" s="326"/>
    </row>
    <row r="1505" spans="1:3">
      <c r="A1505" s="326"/>
      <c r="B1505" s="326"/>
      <c r="C1505" s="326"/>
    </row>
    <row r="1506" spans="1:3">
      <c r="A1506" s="326"/>
      <c r="B1506" s="326"/>
      <c r="C1506" s="326"/>
    </row>
    <row r="1507" spans="1:3">
      <c r="A1507" s="326"/>
      <c r="B1507" s="326"/>
      <c r="C1507" s="326"/>
    </row>
    <row r="1508" spans="1:3">
      <c r="A1508" s="326"/>
      <c r="B1508" s="326"/>
      <c r="C1508" s="326"/>
    </row>
    <row r="1509" spans="1:3">
      <c r="A1509" s="326"/>
      <c r="B1509" s="326"/>
      <c r="C1509" s="326"/>
    </row>
    <row r="1510" spans="1:3">
      <c r="A1510" s="326"/>
      <c r="B1510" s="326"/>
      <c r="C1510" s="326"/>
    </row>
    <row r="1511" spans="1:3">
      <c r="A1511" s="326"/>
      <c r="B1511" s="326"/>
      <c r="C1511" s="326"/>
    </row>
    <row r="1512" spans="1:3">
      <c r="A1512" s="326"/>
      <c r="B1512" s="326"/>
      <c r="C1512" s="326"/>
    </row>
    <row r="1513" spans="1:3">
      <c r="A1513" s="326"/>
      <c r="B1513" s="326"/>
      <c r="C1513" s="326"/>
    </row>
    <row r="1514" spans="1:3">
      <c r="A1514" s="326"/>
      <c r="B1514" s="326"/>
      <c r="C1514" s="326"/>
    </row>
    <row r="1515" spans="1:3">
      <c r="A1515" s="326"/>
      <c r="B1515" s="326"/>
      <c r="C1515" s="326"/>
    </row>
    <row r="1516" spans="1:3">
      <c r="A1516" s="326"/>
      <c r="B1516" s="326"/>
      <c r="C1516" s="326"/>
    </row>
    <row r="1517" spans="1:3">
      <c r="A1517" s="326"/>
      <c r="B1517" s="326"/>
      <c r="C1517" s="326"/>
    </row>
    <row r="1518" spans="1:3">
      <c r="A1518" s="326"/>
      <c r="B1518" s="326"/>
      <c r="C1518" s="326"/>
    </row>
    <row r="1519" spans="1:3">
      <c r="A1519" s="326"/>
      <c r="B1519" s="326"/>
      <c r="C1519" s="326"/>
    </row>
    <row r="1520" spans="1:3">
      <c r="A1520" s="326"/>
      <c r="B1520" s="326"/>
      <c r="C1520" s="326"/>
    </row>
    <row r="1521" spans="1:9">
      <c r="A1521" s="326"/>
      <c r="B1521" s="326"/>
      <c r="C1521" s="326"/>
    </row>
    <row r="1522" spans="1:9"/>
    <row r="1523" spans="1:9"/>
    <row r="1524" spans="1:9"/>
    <row r="1525" spans="1:9">
      <c r="G1525" s="1233"/>
      <c r="H1525" s="1233"/>
      <c r="I1525" s="1233"/>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B728" zoomScaleNormal="100" workbookViewId="0">
      <selection activeCell="C757" sqref="C757:AM758"/>
    </sheetView>
  </sheetViews>
  <sheetFormatPr defaultColWidth="0" defaultRowHeight="0" customHeight="1" zeroHeight="1"/>
  <cols>
    <col min="1" max="36" width="2.5546875" customWidth="1"/>
    <col min="37" max="37" width="2.664062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2" customHeight="1">
      <c r="J1" s="76"/>
      <c r="AS1" s="947">
        <v>4</v>
      </c>
    </row>
    <row r="2" spans="1:51" ht="13.2" customHeight="1"/>
    <row r="3" spans="1:51" ht="13.2" customHeight="1"/>
    <row r="4" spans="1:51" ht="13.2" customHeight="1"/>
    <row r="5" spans="1:51" ht="13.2" customHeight="1"/>
    <row r="6" spans="1:51" ht="13.2" customHeight="1"/>
    <row r="7" spans="1:51" ht="13.2" customHeight="1"/>
    <row r="8" spans="1:51" ht="26.25" customHeight="1">
      <c r="A8" s="1771" t="s">
        <v>819</v>
      </c>
      <c r="B8" s="1771"/>
      <c r="C8" s="1771"/>
      <c r="D8" s="1771"/>
      <c r="E8" s="1771"/>
      <c r="F8" s="1771"/>
      <c r="G8" s="1771"/>
      <c r="H8" s="1771"/>
      <c r="I8" s="1771"/>
      <c r="J8" s="1771"/>
      <c r="K8" s="1771"/>
      <c r="L8" s="1771"/>
      <c r="M8" s="1771"/>
      <c r="N8" s="1771"/>
      <c r="O8" s="1771"/>
      <c r="P8" s="1771"/>
      <c r="Q8" s="1771"/>
      <c r="R8" s="1771"/>
      <c r="S8" s="1771"/>
      <c r="T8" s="1771"/>
      <c r="U8" s="1771"/>
      <c r="V8" s="1771"/>
      <c r="W8" s="1771"/>
      <c r="X8" s="1771"/>
      <c r="Y8" s="1771"/>
      <c r="Z8" s="1771"/>
      <c r="AA8" s="1771"/>
      <c r="AB8" s="1771"/>
      <c r="AC8" s="1771"/>
      <c r="AD8" s="1771"/>
      <c r="AE8" s="1771"/>
      <c r="AF8" s="1771"/>
      <c r="AG8" s="1771"/>
      <c r="AH8" s="1771"/>
      <c r="AI8" s="1771"/>
      <c r="AJ8" s="1771"/>
      <c r="AK8" s="1771"/>
      <c r="AL8" s="1771"/>
      <c r="AM8" s="1771"/>
      <c r="AN8" s="1771"/>
      <c r="AO8" s="1771"/>
      <c r="AP8" s="1771"/>
      <c r="AQ8" s="1771"/>
      <c r="AR8" s="1771"/>
      <c r="AS8" s="1771"/>
      <c r="AT8" s="1771"/>
      <c r="AU8" s="819"/>
      <c r="AV8" s="819"/>
      <c r="AW8" s="819"/>
      <c r="AX8" s="819"/>
      <c r="AY8" s="819"/>
    </row>
    <row r="9" spans="1:51" ht="13.2" customHeight="1">
      <c r="A9" s="1258" t="s">
        <v>820</v>
      </c>
      <c r="B9" s="1258"/>
      <c r="C9" s="1258"/>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1258"/>
      <c r="AM9" s="1258"/>
      <c r="AN9" s="1258"/>
      <c r="AO9" s="1258"/>
      <c r="AP9" s="1258"/>
      <c r="AQ9" s="1258"/>
      <c r="AR9" s="1258"/>
      <c r="AS9" s="1258"/>
      <c r="AT9" s="1258"/>
      <c r="AU9" s="13"/>
      <c r="AV9" s="13"/>
      <c r="AW9" s="13"/>
      <c r="AX9" s="13"/>
      <c r="AY9" s="13"/>
    </row>
    <row r="10" spans="1:51" ht="13.2" customHeight="1">
      <c r="A10" s="1258" t="s">
        <v>821</v>
      </c>
      <c r="B10" s="1258"/>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258"/>
      <c r="AH10" s="1258"/>
      <c r="AI10" s="1258"/>
      <c r="AJ10" s="1258"/>
      <c r="AK10" s="1258"/>
      <c r="AL10" s="1258"/>
      <c r="AM10" s="1258"/>
      <c r="AN10" s="1258"/>
      <c r="AO10" s="1258"/>
      <c r="AP10" s="1258"/>
      <c r="AQ10" s="1258"/>
      <c r="AR10" s="1258"/>
      <c r="AS10" s="1258"/>
      <c r="AT10" s="1258"/>
      <c r="AU10" s="13"/>
      <c r="AV10" s="13"/>
      <c r="AW10" s="13"/>
      <c r="AX10" s="13"/>
      <c r="AY10" s="13"/>
    </row>
    <row r="11" spans="1:51" ht="13.2" customHeight="1">
      <c r="A11" s="1258" t="s">
        <v>822</v>
      </c>
      <c r="B11" s="1258"/>
      <c r="C11" s="1258"/>
      <c r="D11" s="1258"/>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1258"/>
      <c r="AM11" s="1258"/>
      <c r="AN11" s="1258"/>
      <c r="AO11" s="1258"/>
      <c r="AP11" s="1258"/>
      <c r="AQ11" s="1258"/>
      <c r="AR11" s="1258"/>
      <c r="AS11" s="1258"/>
      <c r="AT11" s="1258"/>
      <c r="AU11" s="13"/>
      <c r="AV11" s="13"/>
      <c r="AW11" s="13"/>
      <c r="AX11" s="13"/>
      <c r="AY11" s="13"/>
    </row>
    <row r="12" spans="1:51" ht="13.2" customHeight="1">
      <c r="A12" s="1772" t="s">
        <v>823</v>
      </c>
      <c r="B12" s="1772"/>
      <c r="C12" s="1772"/>
      <c r="D12" s="1772"/>
      <c r="E12" s="1772"/>
      <c r="F12" s="1772"/>
      <c r="G12" s="1772"/>
      <c r="H12" s="1772"/>
      <c r="I12" s="1772"/>
      <c r="J12" s="1772"/>
      <c r="K12" s="1772"/>
      <c r="L12" s="1772"/>
      <c r="M12" s="1772"/>
      <c r="N12" s="1772"/>
      <c r="O12" s="1772"/>
      <c r="P12" s="1772"/>
      <c r="Q12" s="1772"/>
      <c r="R12" s="1772"/>
      <c r="S12" s="1772"/>
      <c r="T12" s="1772"/>
      <c r="U12" s="1772"/>
      <c r="V12" s="1772"/>
      <c r="W12" s="1772"/>
      <c r="X12" s="1772"/>
      <c r="Y12" s="1772"/>
      <c r="Z12" s="1772"/>
      <c r="AA12" s="1772"/>
      <c r="AB12" s="1772"/>
      <c r="AC12" s="1772"/>
      <c r="AD12" s="1772"/>
      <c r="AE12" s="1772"/>
      <c r="AF12" s="1772"/>
      <c r="AG12" s="1772"/>
      <c r="AH12" s="1772"/>
      <c r="AI12" s="1772"/>
      <c r="AJ12" s="1772"/>
      <c r="AK12" s="1772"/>
      <c r="AL12" s="1772"/>
      <c r="AM12" s="1772"/>
      <c r="AN12" s="1772"/>
      <c r="AO12" s="1772"/>
      <c r="AP12" s="1772"/>
      <c r="AQ12" s="1772"/>
      <c r="AR12" s="1772"/>
      <c r="AS12" s="1772"/>
      <c r="AT12" s="1772"/>
      <c r="AU12" s="278"/>
      <c r="AV12" s="278"/>
      <c r="AW12" s="278"/>
      <c r="AX12" s="278"/>
      <c r="AY12" s="278"/>
    </row>
    <row r="13" spans="1:51" ht="13.2" customHeight="1">
      <c r="A13" s="1230" t="s">
        <v>824</v>
      </c>
      <c r="B13" s="1230"/>
      <c r="C13" s="1230"/>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820"/>
      <c r="AV13" s="820"/>
      <c r="AW13" s="820"/>
      <c r="AX13" s="820"/>
      <c r="AY13" s="820"/>
    </row>
    <row r="14" spans="1:51" ht="13.2" customHeight="1">
      <c r="A14" s="1230"/>
      <c r="B14" s="1230"/>
      <c r="C14" s="1230"/>
      <c r="D14" s="1230"/>
      <c r="E14" s="1230"/>
      <c r="F14" s="1230"/>
      <c r="G14" s="1230"/>
      <c r="H14" s="1230"/>
      <c r="I14" s="1230"/>
      <c r="J14" s="1230"/>
      <c r="K14" s="1230"/>
      <c r="L14" s="1230"/>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820"/>
      <c r="AV14" s="820"/>
      <c r="AW14" s="820"/>
      <c r="AX14" s="820"/>
      <c r="AY14" s="820"/>
    </row>
    <row r="15" spans="1:51" ht="13.2"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2" customHeight="1">
      <c r="A16" s="50" t="s">
        <v>825</v>
      </c>
      <c r="C16" s="3"/>
      <c r="D16" s="3"/>
      <c r="E16" s="3"/>
      <c r="F16" s="3"/>
      <c r="G16" s="3"/>
      <c r="H16" s="1477" t="s">
        <v>826</v>
      </c>
      <c r="I16" s="1477"/>
      <c r="J16" s="1477"/>
      <c r="K16" s="1477"/>
      <c r="L16" s="1477"/>
      <c r="M16" s="1477"/>
      <c r="N16" s="1477"/>
      <c r="O16" s="1477"/>
      <c r="P16" s="1477"/>
      <c r="Q16" s="1477"/>
      <c r="R16" s="1477"/>
      <c r="S16" s="1477"/>
      <c r="T16" s="1477"/>
      <c r="U16" s="1477"/>
      <c r="V16" s="1477"/>
      <c r="W16" s="1477"/>
      <c r="X16" s="1477"/>
      <c r="Y16" s="1477"/>
      <c r="Z16" s="1477"/>
      <c r="AA16" s="1477"/>
      <c r="AB16" s="1477"/>
      <c r="AC16" s="1477"/>
      <c r="AD16" s="1477"/>
      <c r="AE16" s="1477"/>
      <c r="AF16" s="1477"/>
      <c r="AG16" s="1477"/>
      <c r="AH16" s="1477"/>
      <c r="AI16" s="1477"/>
      <c r="AJ16" s="1477"/>
    </row>
    <row r="17" spans="1:52" ht="13.2" customHeight="1"/>
    <row r="18" spans="1:52" ht="13.2" customHeight="1">
      <c r="A18" s="50" t="s">
        <v>827</v>
      </c>
      <c r="C18" s="3"/>
      <c r="D18" s="3"/>
      <c r="E18" s="3"/>
      <c r="F18" s="3"/>
      <c r="G18" s="3"/>
      <c r="H18" s="1476" t="s">
        <v>828</v>
      </c>
      <c r="I18" s="1476"/>
      <c r="J18" s="1476"/>
      <c r="K18" s="1476"/>
      <c r="L18" s="1476"/>
      <c r="M18" s="1476"/>
      <c r="N18" s="1476"/>
      <c r="O18" s="1476"/>
      <c r="P18" s="1476"/>
      <c r="Q18" s="1476"/>
      <c r="R18" s="1476"/>
      <c r="S18" s="1476"/>
      <c r="T18" s="1476"/>
      <c r="U18" s="1476"/>
      <c r="V18" s="1476"/>
      <c r="W18" s="1476"/>
      <c r="X18" s="1476"/>
      <c r="Y18" s="1476"/>
      <c r="Z18" s="1476"/>
      <c r="AA18" s="1476"/>
      <c r="AB18" s="1476"/>
      <c r="AC18" s="1476"/>
      <c r="AD18" s="1476"/>
      <c r="AE18" s="1476"/>
      <c r="AF18" s="1476"/>
      <c r="AG18" s="1476"/>
      <c r="AH18" s="1476"/>
      <c r="AI18" s="1476"/>
      <c r="AJ18" s="1476"/>
    </row>
    <row r="19" spans="1:52" ht="13.2" customHeight="1"/>
    <row r="20" spans="1:52" ht="13.2" customHeight="1">
      <c r="A20" s="1773" t="s">
        <v>829</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1773"/>
      <c r="AN20" s="1773"/>
      <c r="AO20" s="1773"/>
      <c r="AP20" s="1773"/>
      <c r="AQ20" s="1773"/>
      <c r="AR20" s="1773"/>
      <c r="AS20" s="1773"/>
      <c r="AT20" s="1773"/>
      <c r="AU20" s="821"/>
      <c r="AV20" s="821"/>
      <c r="AW20" s="821"/>
      <c r="AX20" s="821"/>
      <c r="AY20" s="821"/>
    </row>
    <row r="21" spans="1:52" ht="13.2" customHeight="1">
      <c r="A21" s="1775" t="s">
        <v>830</v>
      </c>
      <c r="B21" s="1775"/>
      <c r="C21" s="1775"/>
      <c r="D21" s="1775"/>
      <c r="E21" s="1775"/>
      <c r="F21" s="1775"/>
      <c r="G21" s="1775"/>
      <c r="H21" s="1775"/>
      <c r="I21" s="1775"/>
      <c r="J21" s="1775"/>
      <c r="K21" s="1775"/>
      <c r="L21" s="1775"/>
      <c r="M21" s="1775"/>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c r="AJ21" s="1775"/>
      <c r="AK21" s="1775"/>
      <c r="AL21" s="1775"/>
      <c r="AM21" s="822"/>
      <c r="AN21" s="822"/>
      <c r="AO21" s="822"/>
      <c r="AP21" s="822"/>
      <c r="AQ21" s="822"/>
      <c r="AR21" s="822"/>
      <c r="AS21" s="822"/>
      <c r="AT21" s="822"/>
      <c r="AU21" s="822"/>
      <c r="AV21" s="822"/>
      <c r="AW21" s="822"/>
      <c r="AX21" s="822"/>
      <c r="AY21" s="822"/>
    </row>
    <row r="22" spans="1:52" ht="13.2"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2" customHeight="1">
      <c r="A23" s="1304" t="s">
        <v>831</v>
      </c>
      <c r="B23" s="1304"/>
      <c r="C23" s="1304"/>
      <c r="D23" s="1304"/>
      <c r="E23" s="1304"/>
      <c r="F23" s="1304"/>
      <c r="G23" s="1304"/>
      <c r="H23" s="1304"/>
      <c r="I23" s="1304"/>
      <c r="J23" s="1304"/>
      <c r="K23" s="1304"/>
      <c r="L23" s="1304"/>
      <c r="M23" s="1304"/>
      <c r="N23" s="1304"/>
      <c r="O23" s="1304"/>
      <c r="P23" s="1304"/>
      <c r="Q23" s="1304"/>
      <c r="R23" s="1304"/>
      <c r="S23" s="1304"/>
      <c r="T23" s="1304"/>
      <c r="U23" s="1304"/>
      <c r="V23" s="1304"/>
      <c r="W23" s="1304"/>
      <c r="X23" s="1304"/>
      <c r="Y23" s="1304"/>
      <c r="Z23" s="1304"/>
      <c r="AA23" s="1304"/>
      <c r="AB23" s="1304"/>
      <c r="AC23" s="1304"/>
      <c r="AD23" s="1304"/>
      <c r="AE23" s="1304"/>
      <c r="AF23" s="1304"/>
      <c r="AG23" s="1304"/>
      <c r="AH23" s="1304"/>
      <c r="AI23" s="1304"/>
      <c r="AJ23" s="1304"/>
      <c r="AK23" s="1304"/>
      <c r="AL23" s="1304"/>
      <c r="AM23" s="1304"/>
      <c r="AN23" s="1304"/>
      <c r="AO23" s="1304"/>
      <c r="AP23" s="1304"/>
      <c r="AQ23" s="1304"/>
      <c r="AR23" s="1304"/>
      <c r="AS23" s="1304"/>
      <c r="AT23" s="1304"/>
      <c r="AU23" s="17"/>
      <c r="AV23" s="17"/>
      <c r="AW23" s="17"/>
      <c r="AX23" s="17"/>
      <c r="AY23" s="17"/>
      <c r="AZ23" s="17"/>
    </row>
    <row r="24" spans="1:52" ht="13.2" customHeight="1">
      <c r="A24" s="1304"/>
      <c r="B24" s="1304"/>
      <c r="C24" s="1304"/>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4"/>
      <c r="AL24" s="1304"/>
      <c r="AM24" s="1304"/>
      <c r="AN24" s="1304"/>
      <c r="AO24" s="1304"/>
      <c r="AP24" s="1304"/>
      <c r="AQ24" s="1304"/>
      <c r="AR24" s="1304"/>
      <c r="AS24" s="1304"/>
      <c r="AT24" s="1304"/>
      <c r="AU24" s="17"/>
      <c r="AV24" s="17"/>
      <c r="AW24" s="17"/>
      <c r="AX24" s="17"/>
      <c r="AY24" s="17"/>
      <c r="AZ24" s="17"/>
    </row>
    <row r="25" spans="1:52" ht="13.2" customHeight="1">
      <c r="A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
    </row>
    <row r="26" spans="1:52" ht="13.2" customHeight="1">
      <c r="A26" s="3"/>
      <c r="C26" s="3"/>
      <c r="D26" s="3"/>
      <c r="E26" s="3"/>
      <c r="F26" s="3"/>
      <c r="G26" s="3"/>
      <c r="H26" s="3"/>
      <c r="I26" s="3"/>
      <c r="J26" s="3"/>
      <c r="K26" s="3"/>
      <c r="L26" s="3"/>
      <c r="M26" s="1484">
        <f>'Basis &amp; Credits'!AB56</f>
        <v>3513758</v>
      </c>
      <c r="N26" s="1484"/>
      <c r="O26" s="1484"/>
      <c r="P26" s="1484"/>
      <c r="Q26" s="1484"/>
      <c r="R26" s="3" t="s">
        <v>832</v>
      </c>
      <c r="S26" s="3"/>
      <c r="T26" s="3"/>
      <c r="U26" s="3"/>
      <c r="V26" s="3"/>
      <c r="W26" s="3"/>
      <c r="X26" s="3"/>
      <c r="Y26" s="3"/>
      <c r="Z26" s="3"/>
      <c r="AF26" s="3"/>
      <c r="AG26" s="3"/>
      <c r="AH26" s="3"/>
      <c r="AI26" s="3"/>
      <c r="AJ26" s="3"/>
      <c r="AK26" s="3"/>
    </row>
    <row r="27" spans="1:52" ht="13.2" customHeight="1">
      <c r="A27" s="3"/>
      <c r="C27" s="3"/>
      <c r="D27" s="3"/>
      <c r="E27" s="3"/>
      <c r="F27" s="3"/>
      <c r="G27" s="3"/>
      <c r="H27" s="3"/>
      <c r="I27" s="3"/>
      <c r="J27" s="3"/>
      <c r="K27" s="3"/>
      <c r="L27" s="3"/>
      <c r="M27" s="1513">
        <f>'Basis &amp; Credits'!AB78</f>
        <v>16093606</v>
      </c>
      <c r="N27" s="1513"/>
      <c r="O27" s="1513"/>
      <c r="P27" s="1513"/>
      <c r="Q27" s="1513"/>
      <c r="R27" s="3" t="s">
        <v>833</v>
      </c>
      <c r="S27" s="3"/>
      <c r="T27" s="3"/>
      <c r="U27" s="3"/>
      <c r="V27" s="3"/>
      <c r="W27" s="3"/>
      <c r="X27" s="3"/>
      <c r="Y27" s="3"/>
      <c r="Z27" s="3"/>
      <c r="AF27" s="3"/>
      <c r="AG27" s="3"/>
      <c r="AH27" s="3"/>
      <c r="AI27" s="3"/>
      <c r="AJ27" s="3"/>
      <c r="AK27" s="3"/>
    </row>
    <row r="28" spans="1:52" ht="13.2"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2" customHeight="1">
      <c r="A29" s="1770" t="s">
        <v>834</v>
      </c>
      <c r="B29" s="1770"/>
      <c r="C29" s="1770"/>
      <c r="D29" s="1770"/>
      <c r="E29" s="1770"/>
      <c r="F29" s="1770"/>
      <c r="G29" s="1770"/>
      <c r="H29" s="1770"/>
      <c r="I29" s="1770"/>
      <c r="J29" s="1770"/>
      <c r="K29" s="1770"/>
      <c r="L29" s="1770"/>
      <c r="M29" s="1770"/>
      <c r="N29" s="1770"/>
      <c r="O29" s="1770"/>
      <c r="P29" s="1770"/>
      <c r="Q29" s="1770"/>
      <c r="R29" s="1770"/>
      <c r="S29" s="1770"/>
      <c r="T29" s="1770"/>
      <c r="U29" s="1770"/>
      <c r="V29" s="1770"/>
      <c r="W29" s="1770"/>
      <c r="X29" s="1770"/>
      <c r="Y29" s="1770"/>
      <c r="Z29" s="1770"/>
      <c r="AA29" s="1770"/>
      <c r="AB29" s="1770"/>
      <c r="AC29" s="1770"/>
      <c r="AD29" s="1770"/>
      <c r="AE29" s="1770"/>
      <c r="AF29" s="1770"/>
      <c r="AG29" s="1770"/>
      <c r="AH29" s="1770"/>
      <c r="AI29" s="1770"/>
      <c r="AJ29" s="1770"/>
      <c r="AK29" s="1770"/>
      <c r="AL29" s="1770"/>
      <c r="AM29" s="1770"/>
      <c r="AN29" s="1770"/>
      <c r="AO29" s="1770"/>
      <c r="AP29" s="1770"/>
      <c r="AQ29" s="1770"/>
      <c r="AR29" s="1770"/>
      <c r="AS29" s="1770"/>
      <c r="AT29" s="1770"/>
    </row>
    <row r="30" spans="1:52" ht="13.2" customHeight="1">
      <c r="A30" s="1770"/>
      <c r="B30" s="1770"/>
      <c r="C30" s="1770"/>
      <c r="D30" s="1770"/>
      <c r="E30" s="1770"/>
      <c r="F30" s="1770"/>
      <c r="G30" s="1770"/>
      <c r="H30" s="1770"/>
      <c r="I30" s="1770"/>
      <c r="J30" s="1770"/>
      <c r="K30" s="1770"/>
      <c r="L30" s="1770"/>
      <c r="M30" s="1770"/>
      <c r="N30" s="1770"/>
      <c r="O30" s="1770"/>
      <c r="P30" s="1770"/>
      <c r="Q30" s="1770"/>
      <c r="R30" s="1770"/>
      <c r="S30" s="1770"/>
      <c r="T30" s="1770"/>
      <c r="U30" s="1770"/>
      <c r="V30" s="1770"/>
      <c r="W30" s="1770"/>
      <c r="X30" s="1770"/>
      <c r="Y30" s="1770"/>
      <c r="Z30" s="1770"/>
      <c r="AA30" s="1770"/>
      <c r="AB30" s="1770"/>
      <c r="AC30" s="1770"/>
      <c r="AD30" s="1770"/>
      <c r="AE30" s="1770"/>
      <c r="AF30" s="1770"/>
      <c r="AG30" s="1770"/>
      <c r="AH30" s="1770"/>
      <c r="AI30" s="1770"/>
      <c r="AJ30" s="1770"/>
      <c r="AK30" s="1770"/>
      <c r="AL30" s="1770"/>
      <c r="AM30" s="1770"/>
      <c r="AN30" s="1770"/>
      <c r="AO30" s="1770"/>
      <c r="AP30" s="1770"/>
      <c r="AQ30" s="1770"/>
      <c r="AR30" s="1770"/>
      <c r="AS30" s="1770"/>
      <c r="AT30" s="1770"/>
      <c r="AZ30" s="18"/>
    </row>
    <row r="31" spans="1:52" ht="13.2" customHeight="1">
      <c r="A31" s="1770"/>
      <c r="B31" s="1770"/>
      <c r="C31" s="1770"/>
      <c r="D31" s="1770"/>
      <c r="E31" s="1770"/>
      <c r="F31" s="1770"/>
      <c r="G31" s="1770"/>
      <c r="H31" s="1770"/>
      <c r="I31" s="1770"/>
      <c r="J31" s="1770"/>
      <c r="K31" s="1770"/>
      <c r="L31" s="1770"/>
      <c r="M31" s="1770"/>
      <c r="N31" s="1770"/>
      <c r="O31" s="1770"/>
      <c r="P31" s="1770"/>
      <c r="Q31" s="1770"/>
      <c r="R31" s="1770"/>
      <c r="S31" s="1770"/>
      <c r="T31" s="1770"/>
      <c r="U31" s="1770"/>
      <c r="V31" s="1770"/>
      <c r="W31" s="1770"/>
      <c r="X31" s="1770"/>
      <c r="Y31" s="1770"/>
      <c r="Z31" s="1770"/>
      <c r="AA31" s="1770"/>
      <c r="AB31" s="1770"/>
      <c r="AC31" s="1770"/>
      <c r="AD31" s="1770"/>
      <c r="AE31" s="1770"/>
      <c r="AF31" s="1770"/>
      <c r="AG31" s="1770"/>
      <c r="AH31" s="1770"/>
      <c r="AI31" s="1770"/>
      <c r="AJ31" s="1770"/>
      <c r="AK31" s="1770"/>
      <c r="AL31" s="1770"/>
      <c r="AM31" s="1770"/>
      <c r="AN31" s="1770"/>
      <c r="AO31" s="1770"/>
      <c r="AP31" s="1770"/>
      <c r="AQ31" s="1770"/>
      <c r="AR31" s="1770"/>
      <c r="AS31" s="1770"/>
      <c r="AT31" s="1770"/>
      <c r="AU31" s="18"/>
      <c r="AV31" s="18"/>
      <c r="AW31" s="18"/>
      <c r="AX31" s="18"/>
      <c r="AY31" s="18"/>
      <c r="AZ31" s="18"/>
    </row>
    <row r="32" spans="1:52" ht="13.2" customHeight="1">
      <c r="A32" s="443"/>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2" customHeight="1">
      <c r="A33" s="443" t="s">
        <v>835</v>
      </c>
      <c r="C33" s="443"/>
      <c r="D33" s="443"/>
      <c r="E33" s="443"/>
      <c r="F33" s="443"/>
      <c r="G33" s="443"/>
      <c r="H33" s="443"/>
      <c r="I33" s="443"/>
      <c r="J33" s="443"/>
      <c r="K33" s="443"/>
      <c r="L33" s="443"/>
      <c r="M33" s="443"/>
      <c r="N33" s="443"/>
      <c r="O33" s="1348" t="s">
        <v>836</v>
      </c>
      <c r="P33" s="1348"/>
      <c r="Q33" s="1774" t="s">
        <v>837</v>
      </c>
      <c r="R33" s="1774"/>
      <c r="S33" s="1774"/>
      <c r="T33" s="1774"/>
      <c r="U33" s="1774"/>
      <c r="V33" s="1774"/>
      <c r="W33" s="1774"/>
      <c r="X33" s="1774"/>
      <c r="Y33" s="1774"/>
      <c r="Z33" s="1774"/>
      <c r="AA33" s="1774"/>
      <c r="AB33" s="1774"/>
      <c r="AC33" s="1774"/>
      <c r="AD33" s="1774"/>
      <c r="AE33" s="1774"/>
      <c r="AF33" s="1774"/>
      <c r="AG33" s="1774"/>
      <c r="AH33" s="1774"/>
      <c r="AI33" s="1774"/>
      <c r="AJ33" s="1774"/>
      <c r="AK33" s="1774"/>
      <c r="AL33" s="1774"/>
      <c r="AM33" s="1774"/>
      <c r="AN33" s="1774"/>
      <c r="AO33" s="1774"/>
      <c r="AP33" s="1774"/>
      <c r="AQ33" s="1774"/>
      <c r="AR33" s="1774"/>
      <c r="AS33" s="1774"/>
      <c r="AT33" s="1774"/>
      <c r="AU33" s="18"/>
      <c r="AV33" s="18"/>
      <c r="AW33" s="18"/>
      <c r="AX33" s="18"/>
      <c r="AY33" s="18"/>
    </row>
    <row r="34" spans="1:52" ht="13.2" customHeight="1">
      <c r="A34" s="1770" t="s">
        <v>838</v>
      </c>
      <c r="B34" s="1770"/>
      <c r="C34" s="1770"/>
      <c r="D34" s="1770"/>
      <c r="E34" s="1770"/>
      <c r="F34" s="1770"/>
      <c r="G34" s="1770"/>
      <c r="H34" s="1770"/>
      <c r="I34" s="1770"/>
      <c r="J34" s="1770"/>
      <c r="K34" s="1770"/>
      <c r="L34" s="1770"/>
      <c r="M34" s="1770"/>
      <c r="N34" s="1770"/>
      <c r="O34" s="1770"/>
      <c r="P34" s="1770"/>
      <c r="Q34" s="1770"/>
      <c r="R34" s="1770"/>
      <c r="S34" s="1770"/>
      <c r="T34" s="1770"/>
      <c r="U34" s="1770"/>
      <c r="V34" s="1770"/>
      <c r="W34" s="1770"/>
      <c r="X34" s="1770"/>
      <c r="Y34" s="1770"/>
      <c r="Z34" s="1770"/>
      <c r="AA34" s="1770"/>
      <c r="AB34" s="1770"/>
      <c r="AC34" s="1770"/>
      <c r="AD34" s="1770"/>
      <c r="AE34" s="1770"/>
      <c r="AF34" s="1770"/>
      <c r="AG34" s="1770"/>
      <c r="AH34" s="1770"/>
      <c r="AI34" s="1770"/>
      <c r="AJ34" s="1770"/>
      <c r="AK34" s="1770"/>
      <c r="AL34" s="1770"/>
      <c r="AM34" s="1770"/>
      <c r="AN34" s="1770"/>
      <c r="AO34" s="1770"/>
      <c r="AP34" s="1770"/>
      <c r="AQ34" s="1770"/>
      <c r="AR34" s="1770"/>
      <c r="AS34" s="1770"/>
      <c r="AT34" s="1770"/>
      <c r="AU34" s="18"/>
      <c r="AV34" s="18"/>
      <c r="AW34" s="18"/>
      <c r="AX34" s="18"/>
      <c r="AY34" s="18"/>
      <c r="AZ34" s="18"/>
    </row>
    <row r="35" spans="1:52" ht="13.2" customHeight="1">
      <c r="A35" s="1770"/>
      <c r="B35" s="1770"/>
      <c r="C35" s="1770"/>
      <c r="D35" s="1770"/>
      <c r="E35" s="1770"/>
      <c r="F35" s="1770"/>
      <c r="G35" s="1770"/>
      <c r="H35" s="1770"/>
      <c r="I35" s="1770"/>
      <c r="J35" s="1770"/>
      <c r="K35" s="1770"/>
      <c r="L35" s="1770"/>
      <c r="M35" s="1770"/>
      <c r="N35" s="1770"/>
      <c r="O35" s="1770"/>
      <c r="P35" s="1770"/>
      <c r="Q35" s="1770"/>
      <c r="R35" s="1770"/>
      <c r="S35" s="1770"/>
      <c r="T35" s="1770"/>
      <c r="U35" s="1770"/>
      <c r="V35" s="1770"/>
      <c r="W35" s="1770"/>
      <c r="X35" s="1770"/>
      <c r="Y35" s="1770"/>
      <c r="Z35" s="1770"/>
      <c r="AA35" s="1770"/>
      <c r="AB35" s="1770"/>
      <c r="AC35" s="1770"/>
      <c r="AD35" s="1770"/>
      <c r="AE35" s="1770"/>
      <c r="AF35" s="1770"/>
      <c r="AG35" s="1770"/>
      <c r="AH35" s="1770"/>
      <c r="AI35" s="1770"/>
      <c r="AJ35" s="1770"/>
      <c r="AK35" s="1770"/>
      <c r="AL35" s="1770"/>
      <c r="AM35" s="1770"/>
      <c r="AN35" s="1770"/>
      <c r="AO35" s="1770"/>
      <c r="AP35" s="1770"/>
      <c r="AQ35" s="1770"/>
      <c r="AR35" s="1770"/>
      <c r="AS35" s="1770"/>
      <c r="AT35" s="1770"/>
      <c r="AU35" s="18"/>
      <c r="AV35" s="18"/>
      <c r="AW35" s="18"/>
      <c r="AX35" s="18"/>
      <c r="AY35" s="18"/>
      <c r="AZ35" s="18"/>
    </row>
    <row r="36" spans="1:52" ht="13.2" customHeight="1">
      <c r="A36" s="1770"/>
      <c r="B36" s="1770"/>
      <c r="C36" s="1770"/>
      <c r="D36" s="1770"/>
      <c r="E36" s="1770"/>
      <c r="F36" s="1770"/>
      <c r="G36" s="1770"/>
      <c r="H36" s="1770"/>
      <c r="I36" s="1770"/>
      <c r="J36" s="1770"/>
      <c r="K36" s="1770"/>
      <c r="L36" s="1770"/>
      <c r="M36" s="1770"/>
      <c r="N36" s="1770"/>
      <c r="O36" s="1770"/>
      <c r="P36" s="1770"/>
      <c r="Q36" s="1770"/>
      <c r="R36" s="1770"/>
      <c r="S36" s="1770"/>
      <c r="T36" s="1770"/>
      <c r="U36" s="1770"/>
      <c r="V36" s="1770"/>
      <c r="W36" s="1770"/>
      <c r="X36" s="1770"/>
      <c r="Y36" s="1770"/>
      <c r="Z36" s="1770"/>
      <c r="AA36" s="1770"/>
      <c r="AB36" s="1770"/>
      <c r="AC36" s="1770"/>
      <c r="AD36" s="1770"/>
      <c r="AE36" s="1770"/>
      <c r="AF36" s="1770"/>
      <c r="AG36" s="1770"/>
      <c r="AH36" s="1770"/>
      <c r="AI36" s="1770"/>
      <c r="AJ36" s="1770"/>
      <c r="AK36" s="1770"/>
      <c r="AL36" s="1770"/>
      <c r="AM36" s="1770"/>
      <c r="AN36" s="1770"/>
      <c r="AO36" s="1770"/>
      <c r="AP36" s="1770"/>
      <c r="AQ36" s="1770"/>
      <c r="AR36" s="1770"/>
      <c r="AS36" s="1770"/>
      <c r="AT36" s="1770"/>
      <c r="AU36" s="18"/>
      <c r="AV36" s="18"/>
      <c r="AW36" s="18"/>
      <c r="AX36" s="18"/>
      <c r="AY36" s="18"/>
      <c r="AZ36" s="18"/>
    </row>
    <row r="37" spans="1:52" ht="13.2" customHeight="1">
      <c r="A37" s="1770"/>
      <c r="B37" s="1770"/>
      <c r="C37" s="1770"/>
      <c r="D37" s="1770"/>
      <c r="E37" s="1770"/>
      <c r="F37" s="1770"/>
      <c r="G37" s="1770"/>
      <c r="H37" s="1770"/>
      <c r="I37" s="1770"/>
      <c r="J37" s="1770"/>
      <c r="K37" s="1770"/>
      <c r="L37" s="1770"/>
      <c r="M37" s="1770"/>
      <c r="N37" s="1770"/>
      <c r="O37" s="1770"/>
      <c r="P37" s="1770"/>
      <c r="Q37" s="1770"/>
      <c r="R37" s="1770"/>
      <c r="S37" s="1770"/>
      <c r="T37" s="1770"/>
      <c r="U37" s="1770"/>
      <c r="V37" s="1770"/>
      <c r="W37" s="1770"/>
      <c r="X37" s="1770"/>
      <c r="Y37" s="1770"/>
      <c r="Z37" s="1770"/>
      <c r="AA37" s="1770"/>
      <c r="AB37" s="1770"/>
      <c r="AC37" s="1770"/>
      <c r="AD37" s="1770"/>
      <c r="AE37" s="1770"/>
      <c r="AF37" s="1770"/>
      <c r="AG37" s="1770"/>
      <c r="AH37" s="1770"/>
      <c r="AI37" s="1770"/>
      <c r="AJ37" s="1770"/>
      <c r="AK37" s="1770"/>
      <c r="AL37" s="1770"/>
      <c r="AM37" s="1770"/>
      <c r="AN37" s="1770"/>
      <c r="AO37" s="1770"/>
      <c r="AP37" s="1770"/>
      <c r="AQ37" s="1770"/>
      <c r="AR37" s="1770"/>
      <c r="AS37" s="1770"/>
      <c r="AT37" s="1770"/>
      <c r="AZ37" s="18"/>
    </row>
    <row r="38" spans="1:52" ht="13.2" customHeight="1">
      <c r="A38" s="3"/>
      <c r="AZ38" s="18"/>
    </row>
    <row r="39" spans="1:52" ht="13.2" customHeight="1">
      <c r="A39" s="1220" t="s">
        <v>839</v>
      </c>
      <c r="B39" s="1220"/>
      <c r="C39" s="1220"/>
      <c r="D39" s="1220"/>
      <c r="E39" s="1220"/>
      <c r="F39" s="1220"/>
      <c r="G39" s="1220"/>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C39" s="1220"/>
      <c r="AD39" s="1220"/>
      <c r="AE39" s="1220"/>
      <c r="AF39" s="1220"/>
      <c r="AG39" s="1220"/>
      <c r="AH39" s="1220"/>
      <c r="AI39" s="1220"/>
      <c r="AJ39" s="1220"/>
      <c r="AK39" s="1220"/>
      <c r="AL39" s="1220"/>
      <c r="AM39" s="1220"/>
      <c r="AN39" s="1220"/>
      <c r="AO39" s="1220"/>
      <c r="AP39" s="1220"/>
      <c r="AQ39" s="1220"/>
      <c r="AR39" s="1220"/>
      <c r="AS39" s="1220"/>
      <c r="AT39" s="1220"/>
      <c r="AZ39" s="18"/>
    </row>
    <row r="40" spans="1:52" ht="13.2" customHeight="1">
      <c r="A40" s="1220"/>
      <c r="B40" s="1220"/>
      <c r="C40" s="1220"/>
      <c r="D40" s="1220"/>
      <c r="E40" s="1220"/>
      <c r="F40" s="1220"/>
      <c r="G40" s="1220"/>
      <c r="H40" s="1220"/>
      <c r="I40" s="1220"/>
      <c r="J40" s="1220"/>
      <c r="K40" s="1220"/>
      <c r="L40" s="1220"/>
      <c r="M40" s="1220"/>
      <c r="N40" s="1220"/>
      <c r="O40" s="1220"/>
      <c r="P40" s="1220"/>
      <c r="Q40" s="1220"/>
      <c r="R40" s="1220"/>
      <c r="S40" s="1220"/>
      <c r="T40" s="1220"/>
      <c r="U40" s="1220"/>
      <c r="V40" s="1220"/>
      <c r="W40" s="1220"/>
      <c r="X40" s="1220"/>
      <c r="Y40" s="1220"/>
      <c r="Z40" s="1220"/>
      <c r="AA40" s="1220"/>
      <c r="AB40" s="1220"/>
      <c r="AC40" s="1220"/>
      <c r="AD40" s="1220"/>
      <c r="AE40" s="1220"/>
      <c r="AF40" s="1220"/>
      <c r="AG40" s="1220"/>
      <c r="AH40" s="1220"/>
      <c r="AI40" s="1220"/>
      <c r="AJ40" s="1220"/>
      <c r="AK40" s="1220"/>
      <c r="AL40" s="1220"/>
      <c r="AM40" s="1220"/>
      <c r="AN40" s="1220"/>
      <c r="AO40" s="1220"/>
      <c r="AP40" s="1220"/>
      <c r="AQ40" s="1220"/>
      <c r="AR40" s="1220"/>
      <c r="AS40" s="1220"/>
      <c r="AT40" s="1220"/>
      <c r="AU40" s="18"/>
      <c r="AV40" s="18"/>
      <c r="AW40" s="18"/>
      <c r="AX40" s="18"/>
      <c r="AY40" s="18"/>
      <c r="AZ40" s="18"/>
    </row>
    <row r="41" spans="1:52" ht="13.2" customHeight="1">
      <c r="A41" s="1220"/>
      <c r="B41" s="1220"/>
      <c r="C41" s="1220"/>
      <c r="D41" s="1220"/>
      <c r="E41" s="1220"/>
      <c r="F41" s="1220"/>
      <c r="G41" s="1220"/>
      <c r="H41" s="1220"/>
      <c r="I41" s="1220"/>
      <c r="J41" s="1220"/>
      <c r="K41" s="1220"/>
      <c r="L41" s="1220"/>
      <c r="M41" s="1220"/>
      <c r="N41" s="1220"/>
      <c r="O41" s="1220"/>
      <c r="P41" s="1220"/>
      <c r="Q41" s="1220"/>
      <c r="R41" s="1220"/>
      <c r="S41" s="1220"/>
      <c r="T41" s="1220"/>
      <c r="U41" s="1220"/>
      <c r="V41" s="1220"/>
      <c r="W41" s="1220"/>
      <c r="X41" s="1220"/>
      <c r="Y41" s="1220"/>
      <c r="Z41" s="1220"/>
      <c r="AA41" s="1220"/>
      <c r="AB41" s="1220"/>
      <c r="AC41" s="1220"/>
      <c r="AD41" s="1220"/>
      <c r="AE41" s="1220"/>
      <c r="AF41" s="1220"/>
      <c r="AG41" s="1220"/>
      <c r="AH41" s="1220"/>
      <c r="AI41" s="1220"/>
      <c r="AJ41" s="1220"/>
      <c r="AK41" s="1220"/>
      <c r="AL41" s="1220"/>
      <c r="AM41" s="1220"/>
      <c r="AN41" s="1220"/>
      <c r="AO41" s="1220"/>
      <c r="AP41" s="1220"/>
      <c r="AQ41" s="1220"/>
      <c r="AR41" s="1220"/>
      <c r="AS41" s="1220"/>
      <c r="AT41" s="1220"/>
      <c r="AU41" s="18"/>
      <c r="AV41" s="18"/>
      <c r="AW41" s="18"/>
      <c r="AX41" s="18"/>
      <c r="AY41" s="18"/>
      <c r="AZ41" s="18"/>
    </row>
    <row r="42" spans="1:52" ht="13.2" customHeight="1">
      <c r="A42" s="1220"/>
      <c r="B42" s="1220"/>
      <c r="C42" s="1220"/>
      <c r="D42" s="1220"/>
      <c r="E42" s="1220"/>
      <c r="F42" s="1220"/>
      <c r="G42" s="1220"/>
      <c r="H42" s="1220"/>
      <c r="I42" s="1220"/>
      <c r="J42" s="1220"/>
      <c r="K42" s="1220"/>
      <c r="L42" s="1220"/>
      <c r="M42" s="1220"/>
      <c r="N42" s="1220"/>
      <c r="O42" s="1220"/>
      <c r="P42" s="1220"/>
      <c r="Q42" s="1220"/>
      <c r="R42" s="1220"/>
      <c r="S42" s="1220"/>
      <c r="T42" s="1220"/>
      <c r="U42" s="1220"/>
      <c r="V42" s="1220"/>
      <c r="W42" s="1220"/>
      <c r="X42" s="1220"/>
      <c r="Y42" s="1220"/>
      <c r="Z42" s="1220"/>
      <c r="AA42" s="1220"/>
      <c r="AB42" s="1220"/>
      <c r="AC42" s="1220"/>
      <c r="AD42" s="1220"/>
      <c r="AE42" s="1220"/>
      <c r="AF42" s="1220"/>
      <c r="AG42" s="1220"/>
      <c r="AH42" s="1220"/>
      <c r="AI42" s="1220"/>
      <c r="AJ42" s="1220"/>
      <c r="AK42" s="1220"/>
      <c r="AL42" s="1220"/>
      <c r="AM42" s="1220"/>
      <c r="AN42" s="1220"/>
      <c r="AO42" s="1220"/>
      <c r="AP42" s="1220"/>
      <c r="AQ42" s="1220"/>
      <c r="AR42" s="1220"/>
      <c r="AS42" s="1220"/>
      <c r="AT42" s="1220"/>
      <c r="AZ42" s="18"/>
    </row>
    <row r="43" spans="1:52" ht="13.2" customHeight="1">
      <c r="A43" s="1220"/>
      <c r="B43" s="1220"/>
      <c r="C43" s="1220"/>
      <c r="D43" s="1220"/>
      <c r="E43" s="1220"/>
      <c r="F43" s="1220"/>
      <c r="G43" s="1220"/>
      <c r="H43" s="1220"/>
      <c r="I43" s="1220"/>
      <c r="J43" s="1220"/>
      <c r="K43" s="1220"/>
      <c r="L43" s="1220"/>
      <c r="M43" s="1220"/>
      <c r="N43" s="1220"/>
      <c r="O43" s="1220"/>
      <c r="P43" s="1220"/>
      <c r="Q43" s="1220"/>
      <c r="R43" s="1220"/>
      <c r="S43" s="1220"/>
      <c r="T43" s="1220"/>
      <c r="U43" s="1220"/>
      <c r="V43" s="1220"/>
      <c r="W43" s="1220"/>
      <c r="X43" s="1220"/>
      <c r="Y43" s="1220"/>
      <c r="Z43" s="1220"/>
      <c r="AA43" s="1220"/>
      <c r="AB43" s="1220"/>
      <c r="AC43" s="1220"/>
      <c r="AD43" s="1220"/>
      <c r="AE43" s="1220"/>
      <c r="AF43" s="1220"/>
      <c r="AG43" s="1220"/>
      <c r="AH43" s="1220"/>
      <c r="AI43" s="1220"/>
      <c r="AJ43" s="1220"/>
      <c r="AK43" s="1220"/>
      <c r="AL43" s="1220"/>
      <c r="AM43" s="1220"/>
      <c r="AN43" s="1220"/>
      <c r="AO43" s="1220"/>
      <c r="AP43" s="1220"/>
      <c r="AQ43" s="1220"/>
      <c r="AR43" s="1220"/>
      <c r="AS43" s="1220"/>
      <c r="AT43" s="1220"/>
      <c r="AU43" s="18"/>
      <c r="AV43" s="18"/>
      <c r="AW43" s="18"/>
      <c r="AX43" s="18"/>
      <c r="AY43" s="18"/>
      <c r="AZ43" s="18"/>
    </row>
    <row r="44" spans="1:52" ht="13.2" customHeight="1">
      <c r="A44" s="1220"/>
      <c r="B44" s="1220"/>
      <c r="C44" s="1220"/>
      <c r="D44" s="1220"/>
      <c r="E44" s="1220"/>
      <c r="F44" s="1220"/>
      <c r="G44" s="1220"/>
      <c r="H44" s="1220"/>
      <c r="I44" s="1220"/>
      <c r="J44" s="1220"/>
      <c r="K44" s="1220"/>
      <c r="L44" s="1220"/>
      <c r="M44" s="1220"/>
      <c r="N44" s="1220"/>
      <c r="O44" s="1220"/>
      <c r="P44" s="1220"/>
      <c r="Q44" s="1220"/>
      <c r="R44" s="1220"/>
      <c r="S44" s="1220"/>
      <c r="T44" s="1220"/>
      <c r="U44" s="1220"/>
      <c r="V44" s="1220"/>
      <c r="W44" s="1220"/>
      <c r="X44" s="1220"/>
      <c r="Y44" s="1220"/>
      <c r="Z44" s="1220"/>
      <c r="AA44" s="1220"/>
      <c r="AB44" s="1220"/>
      <c r="AC44" s="1220"/>
      <c r="AD44" s="1220"/>
      <c r="AE44" s="1220"/>
      <c r="AF44" s="1220"/>
      <c r="AG44" s="1220"/>
      <c r="AH44" s="1220"/>
      <c r="AI44" s="1220"/>
      <c r="AJ44" s="1220"/>
      <c r="AK44" s="1220"/>
      <c r="AL44" s="1220"/>
      <c r="AM44" s="1220"/>
      <c r="AN44" s="1220"/>
      <c r="AO44" s="1220"/>
      <c r="AP44" s="1220"/>
      <c r="AQ44" s="1220"/>
      <c r="AR44" s="1220"/>
      <c r="AS44" s="1220"/>
      <c r="AT44" s="1220"/>
      <c r="AU44" s="18"/>
      <c r="AV44" s="18"/>
      <c r="AW44" s="18"/>
      <c r="AX44" s="18"/>
      <c r="AY44" s="18"/>
      <c r="AZ44" s="18"/>
    </row>
    <row r="45" spans="1:52" ht="13.2" customHeight="1">
      <c r="A45" s="443"/>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2" customHeight="1">
      <c r="A46" s="1304" t="s">
        <v>840</v>
      </c>
      <c r="B46" s="1304"/>
      <c r="C46" s="1304"/>
      <c r="D46" s="1304"/>
      <c r="E46" s="1304"/>
      <c r="F46" s="1304"/>
      <c r="G46" s="1304"/>
      <c r="H46" s="1304"/>
      <c r="I46" s="1304"/>
      <c r="J46" s="1304"/>
      <c r="K46" s="1304"/>
      <c r="L46" s="1304"/>
      <c r="M46" s="1304"/>
      <c r="N46" s="1304"/>
      <c r="O46" s="1304"/>
      <c r="P46" s="1304"/>
      <c r="Q46" s="1304"/>
      <c r="R46" s="1304"/>
      <c r="S46" s="1304"/>
      <c r="T46" s="1304"/>
      <c r="U46" s="1304"/>
      <c r="V46" s="1304"/>
      <c r="W46" s="1304"/>
      <c r="X46" s="1304"/>
      <c r="Y46" s="1304"/>
      <c r="Z46" s="1304"/>
      <c r="AA46" s="1304"/>
      <c r="AB46" s="1304"/>
      <c r="AC46" s="1304"/>
      <c r="AD46" s="1304"/>
      <c r="AE46" s="1304"/>
      <c r="AF46" s="1304"/>
      <c r="AG46" s="1304"/>
      <c r="AH46" s="1304"/>
      <c r="AI46" s="1304"/>
      <c r="AJ46" s="1304"/>
      <c r="AK46" s="1304"/>
      <c r="AL46" s="1304"/>
      <c r="AM46" s="1304"/>
      <c r="AN46" s="1304"/>
      <c r="AO46" s="1304"/>
      <c r="AP46" s="1304"/>
      <c r="AQ46" s="1304"/>
      <c r="AR46" s="1304"/>
      <c r="AS46" s="1304"/>
      <c r="AT46" s="1304"/>
      <c r="AU46" s="18"/>
      <c r="AV46" s="18"/>
      <c r="AW46" s="18"/>
      <c r="AX46" s="18"/>
      <c r="AY46" s="18"/>
      <c r="AZ46" s="18"/>
    </row>
    <row r="47" spans="1:52" ht="13.2" customHeight="1">
      <c r="A47" s="1304"/>
      <c r="B47" s="1304"/>
      <c r="C47" s="1304"/>
      <c r="D47" s="1304"/>
      <c r="E47" s="1304"/>
      <c r="F47" s="1304"/>
      <c r="G47" s="1304"/>
      <c r="H47" s="1304"/>
      <c r="I47" s="1304"/>
      <c r="J47" s="1304"/>
      <c r="K47" s="1304"/>
      <c r="L47" s="1304"/>
      <c r="M47" s="1304"/>
      <c r="N47" s="1304"/>
      <c r="O47" s="1304"/>
      <c r="P47" s="1304"/>
      <c r="Q47" s="1304"/>
      <c r="R47" s="1304"/>
      <c r="S47" s="1304"/>
      <c r="T47" s="1304"/>
      <c r="U47" s="1304"/>
      <c r="V47" s="1304"/>
      <c r="W47" s="1304"/>
      <c r="X47" s="1304"/>
      <c r="Y47" s="1304"/>
      <c r="Z47" s="1304"/>
      <c r="AA47" s="1304"/>
      <c r="AB47" s="1304"/>
      <c r="AC47" s="1304"/>
      <c r="AD47" s="1304"/>
      <c r="AE47" s="1304"/>
      <c r="AF47" s="1304"/>
      <c r="AG47" s="1304"/>
      <c r="AH47" s="1304"/>
      <c r="AI47" s="1304"/>
      <c r="AJ47" s="1304"/>
      <c r="AK47" s="1304"/>
      <c r="AL47" s="1304"/>
      <c r="AM47" s="1304"/>
      <c r="AN47" s="1304"/>
      <c r="AO47" s="1304"/>
      <c r="AP47" s="1304"/>
      <c r="AQ47" s="1304"/>
      <c r="AR47" s="1304"/>
      <c r="AS47" s="1304"/>
      <c r="AT47" s="1304"/>
      <c r="AU47" s="18"/>
      <c r="AV47" s="18"/>
      <c r="AW47" s="18"/>
      <c r="AX47" s="18"/>
      <c r="AY47" s="18"/>
      <c r="AZ47" s="18"/>
    </row>
    <row r="48" spans="1:52" ht="13.2" customHeight="1">
      <c r="A48" s="1304"/>
      <c r="B48" s="1304"/>
      <c r="C48" s="1304"/>
      <c r="D48" s="1304"/>
      <c r="E48" s="1304"/>
      <c r="F48" s="1304"/>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c r="AD48" s="1304"/>
      <c r="AE48" s="1304"/>
      <c r="AF48" s="1304"/>
      <c r="AG48" s="1304"/>
      <c r="AH48" s="1304"/>
      <c r="AI48" s="1304"/>
      <c r="AJ48" s="1304"/>
      <c r="AK48" s="1304"/>
      <c r="AL48" s="1304"/>
      <c r="AM48" s="1304"/>
      <c r="AN48" s="1304"/>
      <c r="AO48" s="1304"/>
      <c r="AP48" s="1304"/>
      <c r="AQ48" s="1304"/>
      <c r="AR48" s="1304"/>
      <c r="AS48" s="1304"/>
      <c r="AT48" s="1304"/>
      <c r="AU48" s="18"/>
      <c r="AV48" s="18"/>
      <c r="AW48" s="18"/>
      <c r="AX48" s="18"/>
      <c r="AY48" s="18"/>
      <c r="AZ48" s="18"/>
    </row>
    <row r="49" spans="1:52" ht="13.2" customHeight="1">
      <c r="A49" s="1304"/>
      <c r="B49" s="1304"/>
      <c r="C49" s="1304"/>
      <c r="D49" s="1304"/>
      <c r="E49" s="1304"/>
      <c r="F49" s="1304"/>
      <c r="G49" s="1304"/>
      <c r="H49" s="1304"/>
      <c r="I49" s="1304"/>
      <c r="J49" s="1304"/>
      <c r="K49" s="1304"/>
      <c r="L49" s="1304"/>
      <c r="M49" s="1304"/>
      <c r="N49" s="1304"/>
      <c r="O49" s="1304"/>
      <c r="P49" s="1304"/>
      <c r="Q49" s="1304"/>
      <c r="R49" s="1304"/>
      <c r="S49" s="1304"/>
      <c r="T49" s="1304"/>
      <c r="U49" s="1304"/>
      <c r="V49" s="1304"/>
      <c r="W49" s="1304"/>
      <c r="X49" s="1304"/>
      <c r="Y49" s="1304"/>
      <c r="Z49" s="1304"/>
      <c r="AA49" s="1304"/>
      <c r="AB49" s="1304"/>
      <c r="AC49" s="1304"/>
      <c r="AD49" s="1304"/>
      <c r="AE49" s="1304"/>
      <c r="AF49" s="1304"/>
      <c r="AG49" s="1304"/>
      <c r="AH49" s="1304"/>
      <c r="AI49" s="1304"/>
      <c r="AJ49" s="1304"/>
      <c r="AK49" s="1304"/>
      <c r="AL49" s="1304"/>
      <c r="AM49" s="1304"/>
      <c r="AN49" s="1304"/>
      <c r="AO49" s="1304"/>
      <c r="AP49" s="1304"/>
      <c r="AQ49" s="1304"/>
      <c r="AR49" s="1304"/>
      <c r="AS49" s="1304"/>
      <c r="AT49" s="1304"/>
      <c r="AU49" s="18"/>
      <c r="AV49" s="18"/>
      <c r="AW49" s="18"/>
      <c r="AX49" s="18"/>
      <c r="AY49" s="18"/>
      <c r="AZ49" s="18"/>
    </row>
    <row r="50" spans="1:52" ht="13.2" customHeight="1">
      <c r="A50" s="381"/>
      <c r="B50" s="381"/>
      <c r="C50" s="381"/>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M50" s="381"/>
      <c r="AN50" s="381"/>
      <c r="AO50" s="381"/>
      <c r="AP50" s="381"/>
      <c r="AQ50" s="381"/>
      <c r="AR50" s="381"/>
      <c r="AS50" s="381"/>
      <c r="AT50" s="381"/>
      <c r="AU50" s="18"/>
      <c r="AV50" s="18"/>
      <c r="AW50" s="18"/>
      <c r="AX50" s="18"/>
      <c r="AY50" s="18"/>
      <c r="AZ50" s="18"/>
    </row>
    <row r="51" spans="1:52" ht="13.2" customHeight="1">
      <c r="A51" s="1220" t="s">
        <v>841</v>
      </c>
      <c r="B51" s="1220"/>
      <c r="C51" s="1220"/>
      <c r="D51" s="1220"/>
      <c r="E51" s="1220"/>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c r="AL51" s="1220"/>
      <c r="AM51" s="1220"/>
      <c r="AN51" s="1220"/>
      <c r="AO51" s="1220"/>
      <c r="AP51" s="1220"/>
      <c r="AQ51" s="1220"/>
      <c r="AR51" s="1220"/>
      <c r="AS51" s="1220"/>
      <c r="AT51" s="1220"/>
      <c r="AU51" s="18"/>
      <c r="AV51" s="18"/>
      <c r="AW51" s="18"/>
      <c r="AX51" s="18"/>
      <c r="AY51" s="18"/>
      <c r="AZ51" s="18"/>
    </row>
    <row r="52" spans="1:52" ht="13.2" customHeight="1">
      <c r="A52" s="1220"/>
      <c r="B52" s="1220"/>
      <c r="C52" s="1220"/>
      <c r="D52" s="1220"/>
      <c r="E52" s="1220"/>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c r="AL52" s="1220"/>
      <c r="AM52" s="1220"/>
      <c r="AN52" s="1220"/>
      <c r="AO52" s="1220"/>
      <c r="AP52" s="1220"/>
      <c r="AQ52" s="1220"/>
      <c r="AR52" s="1220"/>
      <c r="AS52" s="1220"/>
      <c r="AT52" s="1220"/>
      <c r="AU52" s="18"/>
      <c r="AV52" s="18"/>
      <c r="AW52" s="18"/>
      <c r="AX52" s="18"/>
      <c r="AY52" s="18"/>
      <c r="AZ52" s="18"/>
    </row>
    <row r="53" spans="1:52" ht="13.2" customHeight="1">
      <c r="C53" s="443"/>
      <c r="D53" s="443"/>
      <c r="E53" s="443"/>
      <c r="F53" s="443"/>
      <c r="G53" s="443"/>
      <c r="H53" s="443"/>
      <c r="I53" s="443"/>
      <c r="J53" s="443"/>
      <c r="K53" s="443"/>
      <c r="L53" s="443"/>
      <c r="M53" s="443"/>
      <c r="N53" s="443"/>
      <c r="O53" s="443"/>
      <c r="P53" s="443"/>
      <c r="Q53" s="443"/>
      <c r="R53" s="443"/>
      <c r="S53" s="443"/>
      <c r="T53" s="443"/>
      <c r="U53" s="443"/>
      <c r="V53" s="443"/>
      <c r="W53" s="443"/>
      <c r="X53" s="443"/>
      <c r="Y53" s="443"/>
      <c r="Z53" s="443"/>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2" customHeight="1">
      <c r="A54" s="1220" t="s">
        <v>842</v>
      </c>
      <c r="B54" s="1220"/>
      <c r="C54" s="1220"/>
      <c r="D54" s="1220"/>
      <c r="E54" s="1220"/>
      <c r="F54" s="1220"/>
      <c r="G54" s="1220"/>
      <c r="H54" s="1220"/>
      <c r="I54" s="1220"/>
      <c r="J54" s="1220"/>
      <c r="K54" s="1220"/>
      <c r="L54" s="1220"/>
      <c r="M54" s="1220"/>
      <c r="N54" s="1220"/>
      <c r="O54" s="1220"/>
      <c r="P54" s="1220"/>
      <c r="Q54" s="1220"/>
      <c r="R54" s="1220"/>
      <c r="S54" s="1220"/>
      <c r="T54" s="1220"/>
      <c r="U54" s="1220"/>
      <c r="V54" s="1220"/>
      <c r="W54" s="1220"/>
      <c r="X54" s="1220"/>
      <c r="Y54" s="1220"/>
      <c r="Z54" s="1220"/>
      <c r="AA54" s="1220"/>
      <c r="AB54" s="1220"/>
      <c r="AC54" s="1220"/>
      <c r="AD54" s="1220"/>
      <c r="AE54" s="1220"/>
      <c r="AF54" s="1220"/>
      <c r="AG54" s="1220"/>
      <c r="AH54" s="1220"/>
      <c r="AI54" s="1220"/>
      <c r="AJ54" s="1220"/>
      <c r="AK54" s="1220"/>
      <c r="AL54" s="1220"/>
      <c r="AM54" s="1220"/>
      <c r="AN54" s="1220"/>
      <c r="AO54" s="1220"/>
      <c r="AP54" s="1220"/>
      <c r="AQ54" s="1220"/>
      <c r="AR54" s="1220"/>
      <c r="AS54" s="1220"/>
      <c r="AT54" s="1220"/>
      <c r="AU54" s="18"/>
      <c r="AV54" s="18"/>
      <c r="AW54" s="18"/>
      <c r="AX54" s="18"/>
      <c r="AY54" s="18"/>
      <c r="AZ54" s="19"/>
    </row>
    <row r="55" spans="1:52" ht="13.2" customHeight="1">
      <c r="A55" s="1220"/>
      <c r="B55" s="1220"/>
      <c r="C55" s="1220"/>
      <c r="D55" s="1220"/>
      <c r="E55" s="1220"/>
      <c r="F55" s="1220"/>
      <c r="G55" s="1220"/>
      <c r="H55" s="1220"/>
      <c r="I55" s="1220"/>
      <c r="J55" s="1220"/>
      <c r="K55" s="1220"/>
      <c r="L55" s="1220"/>
      <c r="M55" s="1220"/>
      <c r="N55" s="1220"/>
      <c r="O55" s="1220"/>
      <c r="P55" s="1220"/>
      <c r="Q55" s="1220"/>
      <c r="R55" s="1220"/>
      <c r="S55" s="1220"/>
      <c r="T55" s="1220"/>
      <c r="U55" s="1220"/>
      <c r="V55" s="1220"/>
      <c r="W55" s="1220"/>
      <c r="X55" s="1220"/>
      <c r="Y55" s="1220"/>
      <c r="Z55" s="1220"/>
      <c r="AA55" s="1220"/>
      <c r="AB55" s="1220"/>
      <c r="AC55" s="1220"/>
      <c r="AD55" s="1220"/>
      <c r="AE55" s="1220"/>
      <c r="AF55" s="1220"/>
      <c r="AG55" s="1220"/>
      <c r="AH55" s="1220"/>
      <c r="AI55" s="1220"/>
      <c r="AJ55" s="1220"/>
      <c r="AK55" s="1220"/>
      <c r="AL55" s="1220"/>
      <c r="AM55" s="1220"/>
      <c r="AN55" s="1220"/>
      <c r="AO55" s="1220"/>
      <c r="AP55" s="1220"/>
      <c r="AQ55" s="1220"/>
      <c r="AR55" s="1220"/>
      <c r="AS55" s="1220"/>
      <c r="AT55" s="1220"/>
      <c r="AZ55" s="19"/>
    </row>
    <row r="56" spans="1:52" ht="13.2" customHeight="1">
      <c r="A56" s="1220"/>
      <c r="B56" s="1220"/>
      <c r="C56" s="1220"/>
      <c r="D56" s="1220"/>
      <c r="E56" s="1220"/>
      <c r="F56" s="1220"/>
      <c r="G56" s="1220"/>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220"/>
      <c r="AM56" s="1220"/>
      <c r="AN56" s="1220"/>
      <c r="AO56" s="1220"/>
      <c r="AP56" s="1220"/>
      <c r="AQ56" s="1220"/>
      <c r="AR56" s="1220"/>
      <c r="AS56" s="1220"/>
      <c r="AT56" s="1220"/>
    </row>
    <row r="57" spans="1:52" ht="13.2" customHeight="1">
      <c r="A57" s="1220"/>
      <c r="B57" s="1220"/>
      <c r="C57" s="1220"/>
      <c r="D57" s="1220"/>
      <c r="E57" s="1220"/>
      <c r="F57" s="1220"/>
      <c r="G57" s="1220"/>
      <c r="H57" s="1220"/>
      <c r="I57" s="1220"/>
      <c r="J57" s="1220"/>
      <c r="K57" s="1220"/>
      <c r="L57" s="1220"/>
      <c r="M57" s="1220"/>
      <c r="N57" s="1220"/>
      <c r="O57" s="1220"/>
      <c r="P57" s="1220"/>
      <c r="Q57" s="1220"/>
      <c r="R57" s="1220"/>
      <c r="S57" s="1220"/>
      <c r="T57" s="1220"/>
      <c r="U57" s="1220"/>
      <c r="V57" s="1220"/>
      <c r="W57" s="1220"/>
      <c r="X57" s="1220"/>
      <c r="Y57" s="1220"/>
      <c r="Z57" s="1220"/>
      <c r="AA57" s="1220"/>
      <c r="AB57" s="1220"/>
      <c r="AC57" s="1220"/>
      <c r="AD57" s="1220"/>
      <c r="AE57" s="1220"/>
      <c r="AF57" s="1220"/>
      <c r="AG57" s="1220"/>
      <c r="AH57" s="1220"/>
      <c r="AI57" s="1220"/>
      <c r="AJ57" s="1220"/>
      <c r="AK57" s="1220"/>
      <c r="AL57" s="1220"/>
      <c r="AM57" s="1220"/>
      <c r="AN57" s="1220"/>
      <c r="AO57" s="1220"/>
      <c r="AP57" s="1220"/>
      <c r="AQ57" s="1220"/>
      <c r="AR57" s="1220"/>
      <c r="AS57" s="1220"/>
      <c r="AT57" s="1220"/>
    </row>
    <row r="58" spans="1:52" ht="13.2" customHeight="1">
      <c r="A58" s="1220"/>
      <c r="B58" s="1220"/>
      <c r="C58" s="1220"/>
      <c r="D58" s="1220"/>
      <c r="E58" s="1220"/>
      <c r="F58" s="1220"/>
      <c r="G58" s="1220"/>
      <c r="H58" s="1220"/>
      <c r="I58" s="1220"/>
      <c r="J58" s="1220"/>
      <c r="K58" s="1220"/>
      <c r="L58" s="1220"/>
      <c r="M58" s="1220"/>
      <c r="N58" s="1220"/>
      <c r="O58" s="1220"/>
      <c r="P58" s="1220"/>
      <c r="Q58" s="1220"/>
      <c r="R58" s="1220"/>
      <c r="S58" s="1220"/>
      <c r="T58" s="1220"/>
      <c r="U58" s="1220"/>
      <c r="V58" s="1220"/>
      <c r="W58" s="1220"/>
      <c r="X58" s="1220"/>
      <c r="Y58" s="1220"/>
      <c r="Z58" s="1220"/>
      <c r="AA58" s="1220"/>
      <c r="AB58" s="1220"/>
      <c r="AC58" s="1220"/>
      <c r="AD58" s="1220"/>
      <c r="AE58" s="1220"/>
      <c r="AF58" s="1220"/>
      <c r="AG58" s="1220"/>
      <c r="AH58" s="1220"/>
      <c r="AI58" s="1220"/>
      <c r="AJ58" s="1220"/>
      <c r="AK58" s="1220"/>
      <c r="AL58" s="1220"/>
      <c r="AM58" s="1220"/>
      <c r="AN58" s="1220"/>
      <c r="AO58" s="1220"/>
      <c r="AP58" s="1220"/>
      <c r="AQ58" s="1220"/>
      <c r="AR58" s="1220"/>
      <c r="AS58" s="1220"/>
      <c r="AT58" s="1220"/>
    </row>
    <row r="59" spans="1:52" ht="13.2" customHeight="1">
      <c r="A59" s="443"/>
      <c r="C59" s="443"/>
      <c r="D59" s="443"/>
      <c r="E59" s="443"/>
      <c r="F59" s="443"/>
      <c r="G59" s="443"/>
      <c r="H59" s="443"/>
      <c r="I59" s="443"/>
      <c r="J59" s="443"/>
      <c r="K59" s="443"/>
      <c r="L59" s="443"/>
      <c r="M59" s="443"/>
      <c r="N59" s="443"/>
      <c r="O59" s="443"/>
      <c r="P59" s="443"/>
      <c r="Q59" s="443"/>
      <c r="R59" s="443"/>
      <c r="S59" s="443"/>
      <c r="T59" s="443"/>
      <c r="U59" s="443"/>
      <c r="V59" s="443"/>
      <c r="W59" s="443"/>
      <c r="X59" s="443"/>
      <c r="Y59" s="443"/>
      <c r="Z59" s="443"/>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2" customHeight="1">
      <c r="A60" s="1220" t="s">
        <v>843</v>
      </c>
      <c r="B60" s="1220"/>
      <c r="C60" s="1220"/>
      <c r="D60" s="1220"/>
      <c r="E60" s="1220"/>
      <c r="F60" s="1220"/>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c r="AM60" s="1220"/>
      <c r="AN60" s="1220"/>
      <c r="AO60" s="1220"/>
      <c r="AP60" s="1220"/>
      <c r="AQ60" s="1220"/>
      <c r="AR60" s="1220"/>
      <c r="AS60" s="1220"/>
      <c r="AT60" s="1220"/>
      <c r="AU60" s="18"/>
      <c r="AV60" s="18"/>
      <c r="AW60" s="18"/>
      <c r="AX60" s="18"/>
      <c r="AY60" s="18"/>
      <c r="AZ60" s="18"/>
    </row>
    <row r="61" spans="1:52" ht="13.2" customHeight="1">
      <c r="A61" s="1220"/>
      <c r="B61" s="1220"/>
      <c r="C61" s="1220"/>
      <c r="D61" s="1220"/>
      <c r="E61" s="1220"/>
      <c r="F61" s="1220"/>
      <c r="G61" s="1220"/>
      <c r="H61" s="1220"/>
      <c r="I61" s="1220"/>
      <c r="J61" s="1220"/>
      <c r="K61" s="1220"/>
      <c r="L61" s="1220"/>
      <c r="M61" s="1220"/>
      <c r="N61" s="1220"/>
      <c r="O61" s="1220"/>
      <c r="P61" s="1220"/>
      <c r="Q61" s="1220"/>
      <c r="R61" s="1220"/>
      <c r="S61" s="1220"/>
      <c r="T61" s="1220"/>
      <c r="U61" s="1220"/>
      <c r="V61" s="1220"/>
      <c r="W61" s="1220"/>
      <c r="X61" s="1220"/>
      <c r="Y61" s="1220"/>
      <c r="Z61" s="1220"/>
      <c r="AA61" s="1220"/>
      <c r="AB61" s="1220"/>
      <c r="AC61" s="1220"/>
      <c r="AD61" s="1220"/>
      <c r="AE61" s="1220"/>
      <c r="AF61" s="1220"/>
      <c r="AG61" s="1220"/>
      <c r="AH61" s="1220"/>
      <c r="AI61" s="1220"/>
      <c r="AJ61" s="1220"/>
      <c r="AK61" s="1220"/>
      <c r="AL61" s="1220"/>
      <c r="AM61" s="1220"/>
      <c r="AN61" s="1220"/>
      <c r="AO61" s="1220"/>
      <c r="AP61" s="1220"/>
      <c r="AQ61" s="1220"/>
      <c r="AR61" s="1220"/>
      <c r="AS61" s="1220"/>
      <c r="AT61" s="1220"/>
      <c r="AU61" s="18"/>
      <c r="AV61" s="18"/>
      <c r="AW61" s="18"/>
      <c r="AX61" s="18"/>
      <c r="AY61" s="18"/>
      <c r="AZ61" s="18"/>
    </row>
    <row r="62" spans="1:52" ht="13.2" customHeight="1">
      <c r="A62" s="443"/>
      <c r="C62" s="443"/>
      <c r="D62" s="443"/>
      <c r="E62" s="443"/>
      <c r="F62" s="443"/>
      <c r="G62" s="443"/>
      <c r="H62" s="443"/>
      <c r="I62" s="443"/>
      <c r="J62" s="443"/>
      <c r="K62" s="443"/>
      <c r="L62" s="443"/>
      <c r="M62" s="443"/>
      <c r="N62" s="443"/>
      <c r="O62" s="443"/>
      <c r="P62" s="443"/>
      <c r="Q62" s="443"/>
      <c r="R62" s="443"/>
      <c r="S62" s="443"/>
      <c r="T62" s="443"/>
      <c r="U62" s="443"/>
      <c r="V62" s="443"/>
      <c r="W62" s="443"/>
      <c r="X62" s="443"/>
      <c r="Y62" s="443"/>
      <c r="Z62" s="443"/>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2" customHeight="1">
      <c r="A63" s="443" t="s">
        <v>844</v>
      </c>
      <c r="C63" s="443"/>
      <c r="D63" s="443"/>
      <c r="E63" s="443"/>
      <c r="F63" s="443"/>
      <c r="G63" s="443"/>
      <c r="H63" s="443"/>
      <c r="I63" s="443"/>
      <c r="J63" s="443"/>
      <c r="K63" s="443"/>
      <c r="L63" s="443"/>
      <c r="M63" s="443"/>
      <c r="N63" s="443"/>
      <c r="O63" s="443"/>
      <c r="P63" s="443"/>
      <c r="Q63" s="443"/>
      <c r="R63" s="443"/>
      <c r="S63" s="443"/>
      <c r="T63" s="443"/>
      <c r="U63" s="443"/>
      <c r="V63" s="443"/>
      <c r="W63" s="443"/>
      <c r="X63" s="443"/>
      <c r="Y63" s="443"/>
      <c r="Z63" s="443"/>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2" customHeight="1">
      <c r="C64" s="443"/>
      <c r="D64" s="443"/>
      <c r="E64" s="443"/>
      <c r="F64" s="443"/>
      <c r="G64" s="443"/>
      <c r="H64" s="443"/>
      <c r="I64" s="443"/>
      <c r="J64" s="443"/>
      <c r="K64" s="443"/>
      <c r="L64" s="443"/>
      <c r="M64" s="443"/>
      <c r="N64" s="443"/>
      <c r="O64" s="443"/>
      <c r="P64" s="443"/>
      <c r="Q64" s="443"/>
      <c r="R64" s="443"/>
      <c r="S64" s="443"/>
      <c r="T64" s="443"/>
      <c r="U64" s="443"/>
      <c r="V64" s="443"/>
      <c r="W64" s="443"/>
      <c r="X64" s="443"/>
      <c r="Y64" s="443"/>
      <c r="Z64" s="443"/>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2" customHeight="1">
      <c r="A65" s="1220" t="s">
        <v>845</v>
      </c>
      <c r="B65" s="1220"/>
      <c r="C65" s="1220"/>
      <c r="D65" s="1220"/>
      <c r="E65" s="1220"/>
      <c r="F65" s="1220"/>
      <c r="G65" s="1220"/>
      <c r="H65" s="1220"/>
      <c r="I65" s="1220"/>
      <c r="J65" s="1220"/>
      <c r="K65" s="1220"/>
      <c r="L65" s="1220"/>
      <c r="M65" s="1220"/>
      <c r="N65" s="1220"/>
      <c r="O65" s="1220"/>
      <c r="P65" s="1220"/>
      <c r="Q65" s="1220"/>
      <c r="R65" s="1220"/>
      <c r="S65" s="1220"/>
      <c r="T65" s="1220"/>
      <c r="U65" s="1220"/>
      <c r="V65" s="1220"/>
      <c r="W65" s="1220"/>
      <c r="X65" s="1220"/>
      <c r="Y65" s="1220"/>
      <c r="Z65" s="1220"/>
      <c r="AA65" s="1220"/>
      <c r="AB65" s="1220"/>
      <c r="AC65" s="1220"/>
      <c r="AD65" s="1220"/>
      <c r="AE65" s="1220"/>
      <c r="AF65" s="1220"/>
      <c r="AG65" s="1220"/>
      <c r="AH65" s="1220"/>
      <c r="AI65" s="1220"/>
      <c r="AJ65" s="1220"/>
      <c r="AK65" s="1220"/>
      <c r="AL65" s="1220"/>
      <c r="AM65" s="1220"/>
      <c r="AN65" s="1220"/>
      <c r="AO65" s="1220"/>
      <c r="AP65" s="1220"/>
      <c r="AQ65" s="1220"/>
      <c r="AR65" s="1220"/>
      <c r="AS65" s="1220"/>
      <c r="AT65" s="1220"/>
      <c r="AU65" s="19"/>
      <c r="AV65" s="19"/>
      <c r="AW65" s="19"/>
      <c r="AX65" s="19"/>
      <c r="AY65" s="19"/>
      <c r="AZ65" s="18"/>
    </row>
    <row r="66" spans="1:52" ht="13.2" customHeight="1">
      <c r="A66" s="1220"/>
      <c r="B66" s="1220"/>
      <c r="C66" s="1220"/>
      <c r="D66" s="1220"/>
      <c r="E66" s="1220"/>
      <c r="F66" s="1220"/>
      <c r="G66" s="1220"/>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c r="AL66" s="1220"/>
      <c r="AM66" s="1220"/>
      <c r="AN66" s="1220"/>
      <c r="AO66" s="1220"/>
      <c r="AP66" s="1220"/>
      <c r="AQ66" s="1220"/>
      <c r="AR66" s="1220"/>
      <c r="AS66" s="1220"/>
      <c r="AT66" s="1220"/>
      <c r="AU66" s="19"/>
      <c r="AV66" s="19"/>
      <c r="AW66" s="19"/>
      <c r="AX66" s="19"/>
      <c r="AY66" s="19"/>
      <c r="AZ66" s="18"/>
    </row>
    <row r="67" spans="1:52" ht="13.2" customHeight="1">
      <c r="A67" s="1220"/>
      <c r="B67" s="1220"/>
      <c r="C67" s="1220"/>
      <c r="D67" s="1220"/>
      <c r="E67" s="1220"/>
      <c r="F67" s="1220"/>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c r="AL67" s="1220"/>
      <c r="AM67" s="1220"/>
      <c r="AN67" s="1220"/>
      <c r="AO67" s="1220"/>
      <c r="AP67" s="1220"/>
      <c r="AQ67" s="1220"/>
      <c r="AR67" s="1220"/>
      <c r="AS67" s="1220"/>
      <c r="AT67" s="1220"/>
      <c r="AZ67" s="18"/>
    </row>
    <row r="68" spans="1:52" ht="13.2"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2" customHeight="1">
      <c r="A69" s="1220" t="s">
        <v>846</v>
      </c>
      <c r="B69" s="1220"/>
      <c r="C69" s="1220"/>
      <c r="D69" s="1220"/>
      <c r="E69" s="1220"/>
      <c r="F69" s="1220"/>
      <c r="G69" s="1220"/>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c r="AL69" s="1220"/>
      <c r="AM69" s="1220"/>
      <c r="AN69" s="1220"/>
      <c r="AO69" s="1220"/>
      <c r="AP69" s="1220"/>
      <c r="AQ69" s="1220"/>
      <c r="AR69" s="1220"/>
      <c r="AS69" s="1220"/>
      <c r="AT69" s="1220"/>
      <c r="AZ69" s="18"/>
    </row>
    <row r="70" spans="1:52" ht="13.2" customHeight="1">
      <c r="A70" s="1220"/>
      <c r="B70" s="1220"/>
      <c r="C70" s="1220"/>
      <c r="D70" s="1220"/>
      <c r="E70" s="1220"/>
      <c r="F70" s="1220"/>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c r="AL70" s="1220"/>
      <c r="AM70" s="1220"/>
      <c r="AN70" s="1220"/>
      <c r="AO70" s="1220"/>
      <c r="AP70" s="1220"/>
      <c r="AQ70" s="1220"/>
      <c r="AR70" s="1220"/>
      <c r="AS70" s="1220"/>
      <c r="AT70" s="1220"/>
      <c r="AU70" s="18"/>
      <c r="AV70" s="18"/>
      <c r="AW70" s="18"/>
      <c r="AX70" s="18"/>
      <c r="AY70" s="18"/>
      <c r="AZ70" s="18"/>
    </row>
    <row r="71" spans="1:52" ht="13.2" customHeight="1">
      <c r="A71" s="443"/>
      <c r="C71" s="443"/>
      <c r="D71" s="443"/>
      <c r="E71" s="443"/>
      <c r="F71" s="443"/>
      <c r="G71" s="443"/>
      <c r="H71" s="443"/>
      <c r="I71" s="443"/>
      <c r="J71" s="443"/>
      <c r="K71" s="443"/>
      <c r="L71" s="443"/>
      <c r="M71" s="443"/>
      <c r="N71" s="443"/>
      <c r="O71" s="443"/>
      <c r="P71" s="443"/>
      <c r="Q71" s="443"/>
      <c r="R71" s="443"/>
      <c r="S71" s="443"/>
      <c r="T71" s="443"/>
      <c r="U71" s="443"/>
      <c r="V71" s="443"/>
      <c r="W71" s="443"/>
      <c r="X71" s="443"/>
      <c r="Y71" s="443"/>
      <c r="Z71" s="443"/>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2" customHeight="1">
      <c r="A72" s="1770" t="s">
        <v>847</v>
      </c>
      <c r="B72" s="1770"/>
      <c r="C72" s="1770"/>
      <c r="D72" s="1770"/>
      <c r="E72" s="1770"/>
      <c r="F72" s="1770"/>
      <c r="G72" s="1770"/>
      <c r="H72" s="1770"/>
      <c r="I72" s="1770"/>
      <c r="J72" s="1770"/>
      <c r="K72" s="1770"/>
      <c r="L72" s="1770"/>
      <c r="M72" s="1770"/>
      <c r="N72" s="1770"/>
      <c r="O72" s="1770"/>
      <c r="P72" s="1770"/>
      <c r="Q72" s="1770"/>
      <c r="R72" s="1770"/>
      <c r="S72" s="1770"/>
      <c r="T72" s="1770"/>
      <c r="U72" s="1770"/>
      <c r="V72" s="1770"/>
      <c r="W72" s="1770"/>
      <c r="X72" s="1770"/>
      <c r="Y72" s="1770"/>
      <c r="Z72" s="1770"/>
      <c r="AA72" s="1770"/>
      <c r="AB72" s="1770"/>
      <c r="AC72" s="1770"/>
      <c r="AD72" s="1770"/>
      <c r="AE72" s="1770"/>
      <c r="AF72" s="1770"/>
      <c r="AG72" s="1770"/>
      <c r="AH72" s="1770"/>
      <c r="AI72" s="1770"/>
      <c r="AJ72" s="1770"/>
      <c r="AK72" s="1770"/>
      <c r="AL72" s="1770"/>
      <c r="AM72" s="1770"/>
      <c r="AN72" s="1770"/>
      <c r="AO72" s="1770"/>
      <c r="AP72" s="1770"/>
      <c r="AQ72" s="1770"/>
      <c r="AR72" s="1770"/>
      <c r="AS72" s="1770"/>
      <c r="AT72" s="1770"/>
      <c r="AU72" s="18"/>
      <c r="AV72" s="18"/>
      <c r="AW72" s="18"/>
      <c r="AX72" s="18"/>
      <c r="AY72" s="18"/>
      <c r="AZ72" s="18"/>
    </row>
    <row r="73" spans="1:52" ht="13.2" customHeight="1">
      <c r="A73" s="1770"/>
      <c r="B73" s="1770"/>
      <c r="C73" s="1770"/>
      <c r="D73" s="1770"/>
      <c r="E73" s="1770"/>
      <c r="F73" s="1770"/>
      <c r="G73" s="1770"/>
      <c r="H73" s="1770"/>
      <c r="I73" s="1770"/>
      <c r="J73" s="1770"/>
      <c r="K73" s="1770"/>
      <c r="L73" s="1770"/>
      <c r="M73" s="1770"/>
      <c r="N73" s="1770"/>
      <c r="O73" s="1770"/>
      <c r="P73" s="1770"/>
      <c r="Q73" s="1770"/>
      <c r="R73" s="1770"/>
      <c r="S73" s="1770"/>
      <c r="T73" s="1770"/>
      <c r="U73" s="1770"/>
      <c r="V73" s="1770"/>
      <c r="W73" s="1770"/>
      <c r="X73" s="1770"/>
      <c r="Y73" s="1770"/>
      <c r="Z73" s="1770"/>
      <c r="AA73" s="1770"/>
      <c r="AB73" s="1770"/>
      <c r="AC73" s="1770"/>
      <c r="AD73" s="1770"/>
      <c r="AE73" s="1770"/>
      <c r="AF73" s="1770"/>
      <c r="AG73" s="1770"/>
      <c r="AH73" s="1770"/>
      <c r="AI73" s="1770"/>
      <c r="AJ73" s="1770"/>
      <c r="AK73" s="1770"/>
      <c r="AL73" s="1770"/>
      <c r="AM73" s="1770"/>
      <c r="AN73" s="1770"/>
      <c r="AO73" s="1770"/>
      <c r="AP73" s="1770"/>
      <c r="AQ73" s="1770"/>
      <c r="AR73" s="1770"/>
      <c r="AS73" s="1770"/>
      <c r="AT73" s="1770"/>
      <c r="AU73" s="18"/>
      <c r="AV73" s="18"/>
      <c r="AW73" s="18"/>
      <c r="AX73" s="18"/>
      <c r="AY73" s="18"/>
      <c r="AZ73" s="18"/>
    </row>
    <row r="74" spans="1:52" ht="13.2" customHeight="1">
      <c r="A74" s="443"/>
      <c r="C74" s="443"/>
      <c r="D74" s="443"/>
      <c r="E74" s="443"/>
      <c r="F74" s="443"/>
      <c r="G74" s="443"/>
      <c r="H74" s="443"/>
      <c r="I74" s="443"/>
      <c r="J74" s="443"/>
      <c r="K74" s="443"/>
      <c r="L74" s="443"/>
      <c r="M74" s="443"/>
      <c r="N74" s="443"/>
      <c r="O74" s="443"/>
      <c r="P74" s="443"/>
      <c r="Q74" s="443"/>
      <c r="R74" s="443"/>
      <c r="S74" s="443"/>
      <c r="T74" s="443"/>
      <c r="U74" s="443"/>
      <c r="V74" s="443"/>
      <c r="W74" s="443"/>
      <c r="X74" s="443"/>
      <c r="Y74" s="443"/>
      <c r="Z74" s="443"/>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2" customHeight="1">
      <c r="A75" s="1479" t="s">
        <v>848</v>
      </c>
      <c r="B75" s="1479"/>
      <c r="C75" s="1479"/>
      <c r="D75" s="1479"/>
      <c r="E75" s="1479"/>
      <c r="F75" s="1479"/>
      <c r="G75" s="1479"/>
      <c r="H75" s="1479"/>
      <c r="I75" s="1479"/>
      <c r="J75" s="1479"/>
      <c r="K75" s="1479"/>
      <c r="L75" s="1479"/>
      <c r="M75" s="1479"/>
      <c r="N75" s="1479"/>
      <c r="O75" s="1479"/>
      <c r="P75" s="1479"/>
      <c r="Q75" s="1479"/>
      <c r="R75" s="1479"/>
      <c r="S75" s="1479"/>
      <c r="T75" s="1479"/>
      <c r="U75" s="1479"/>
      <c r="V75" s="1479"/>
      <c r="W75" s="1479"/>
      <c r="X75" s="1479"/>
      <c r="Y75" s="1479"/>
      <c r="Z75" s="1479"/>
      <c r="AA75" s="1479"/>
      <c r="AB75" s="1479"/>
      <c r="AC75" s="1479"/>
      <c r="AD75" s="1479"/>
      <c r="AE75" s="1479"/>
      <c r="AF75" s="1479"/>
      <c r="AG75" s="1479"/>
      <c r="AH75" s="1479"/>
      <c r="AI75" s="1479"/>
      <c r="AJ75" s="1479"/>
      <c r="AK75" s="1479"/>
      <c r="AL75" s="1479"/>
      <c r="AM75" s="1479"/>
      <c r="AN75" s="1479"/>
      <c r="AO75" s="1479"/>
      <c r="AP75" s="1479"/>
      <c r="AQ75" s="1479"/>
      <c r="AR75" s="1479"/>
      <c r="AS75" s="1479"/>
      <c r="AT75" s="1479"/>
      <c r="AU75" s="18"/>
      <c r="AV75" s="18"/>
      <c r="AW75" s="18"/>
      <c r="AX75" s="18"/>
      <c r="AY75" s="18"/>
      <c r="AZ75" s="18"/>
    </row>
    <row r="76" spans="1:52" ht="13.2" customHeight="1">
      <c r="A76" s="1479"/>
      <c r="B76" s="1479"/>
      <c r="C76" s="1479"/>
      <c r="D76" s="1479"/>
      <c r="E76" s="1479"/>
      <c r="F76" s="1479"/>
      <c r="G76" s="1479"/>
      <c r="H76" s="1479"/>
      <c r="I76" s="1479"/>
      <c r="J76" s="1479"/>
      <c r="K76" s="1479"/>
      <c r="L76" s="1479"/>
      <c r="M76" s="1479"/>
      <c r="N76" s="1479"/>
      <c r="O76" s="1479"/>
      <c r="P76" s="1479"/>
      <c r="Q76" s="1479"/>
      <c r="R76" s="1479"/>
      <c r="S76" s="1479"/>
      <c r="T76" s="1479"/>
      <c r="U76" s="1479"/>
      <c r="V76" s="1479"/>
      <c r="W76" s="1479"/>
      <c r="X76" s="1479"/>
      <c r="Y76" s="1479"/>
      <c r="Z76" s="1479"/>
      <c r="AA76" s="1479"/>
      <c r="AB76" s="1479"/>
      <c r="AC76" s="1479"/>
      <c r="AD76" s="1479"/>
      <c r="AE76" s="1479"/>
      <c r="AF76" s="1479"/>
      <c r="AG76" s="1479"/>
      <c r="AH76" s="1479"/>
      <c r="AI76" s="1479"/>
      <c r="AJ76" s="1479"/>
      <c r="AK76" s="1479"/>
      <c r="AL76" s="1479"/>
      <c r="AM76" s="1479"/>
      <c r="AN76" s="1479"/>
      <c r="AO76" s="1479"/>
      <c r="AP76" s="1479"/>
      <c r="AQ76" s="1479"/>
      <c r="AR76" s="1479"/>
      <c r="AS76" s="1479"/>
      <c r="AT76" s="1479"/>
      <c r="AU76" s="18"/>
      <c r="AV76" s="18"/>
      <c r="AW76" s="18"/>
      <c r="AX76" s="18"/>
      <c r="AY76" s="18"/>
      <c r="AZ76" s="16"/>
    </row>
    <row r="77" spans="1:52" ht="13.2" customHeight="1">
      <c r="A77" s="1479"/>
      <c r="B77" s="1479"/>
      <c r="C77" s="1479"/>
      <c r="D77" s="1479"/>
      <c r="E77" s="1479"/>
      <c r="F77" s="1479"/>
      <c r="G77" s="1479"/>
      <c r="H77" s="1479"/>
      <c r="I77" s="1479"/>
      <c r="J77" s="1479"/>
      <c r="K77" s="1479"/>
      <c r="L77" s="1479"/>
      <c r="M77" s="1479"/>
      <c r="N77" s="1479"/>
      <c r="O77" s="1479"/>
      <c r="P77" s="1479"/>
      <c r="Q77" s="1479"/>
      <c r="R77" s="1479"/>
      <c r="S77" s="1479"/>
      <c r="T77" s="1479"/>
      <c r="U77" s="1479"/>
      <c r="V77" s="1479"/>
      <c r="W77" s="1479"/>
      <c r="X77" s="1479"/>
      <c r="Y77" s="1479"/>
      <c r="Z77" s="1479"/>
      <c r="AA77" s="1479"/>
      <c r="AB77" s="1479"/>
      <c r="AC77" s="1479"/>
      <c r="AD77" s="1479"/>
      <c r="AE77" s="1479"/>
      <c r="AF77" s="1479"/>
      <c r="AG77" s="1479"/>
      <c r="AH77" s="1479"/>
      <c r="AI77" s="1479"/>
      <c r="AJ77" s="1479"/>
      <c r="AK77" s="1479"/>
      <c r="AL77" s="1479"/>
      <c r="AM77" s="1479"/>
      <c r="AN77" s="1479"/>
      <c r="AO77" s="1479"/>
      <c r="AP77" s="1479"/>
      <c r="AQ77" s="1479"/>
      <c r="AR77" s="1479"/>
      <c r="AS77" s="1479"/>
      <c r="AT77" s="1479"/>
      <c r="AU77" s="18"/>
      <c r="AV77" s="18"/>
      <c r="AW77" s="18"/>
      <c r="AX77" s="18"/>
      <c r="AY77" s="18"/>
      <c r="AZ77" s="16"/>
    </row>
    <row r="78" spans="1:52" ht="13.2" customHeight="1">
      <c r="C78" s="443"/>
      <c r="D78" s="443"/>
      <c r="E78" s="443"/>
      <c r="F78" s="443"/>
      <c r="G78" s="443"/>
      <c r="H78" s="443"/>
      <c r="I78" s="443"/>
      <c r="J78" s="443"/>
      <c r="K78" s="443"/>
      <c r="L78" s="443"/>
      <c r="M78" s="443"/>
      <c r="N78" s="443"/>
      <c r="O78" s="443"/>
      <c r="P78" s="443"/>
      <c r="Q78" s="443"/>
      <c r="R78" s="443"/>
      <c r="S78" s="443"/>
      <c r="T78" s="443"/>
      <c r="U78" s="443"/>
      <c r="V78" s="443"/>
      <c r="W78" s="443"/>
      <c r="X78" s="443"/>
      <c r="Y78" s="443"/>
      <c r="Z78" s="443"/>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2" customHeight="1">
      <c r="A79" s="1220" t="s">
        <v>849</v>
      </c>
      <c r="B79" s="1220"/>
      <c r="C79" s="1220"/>
      <c r="D79" s="1220"/>
      <c r="E79" s="1220"/>
      <c r="F79" s="1220"/>
      <c r="G79" s="1220"/>
      <c r="H79" s="1220"/>
      <c r="I79" s="1220"/>
      <c r="J79" s="1220"/>
      <c r="K79" s="1220"/>
      <c r="L79" s="1220"/>
      <c r="M79" s="1220"/>
      <c r="N79" s="1220"/>
      <c r="O79" s="1220"/>
      <c r="P79" s="1220"/>
      <c r="Q79" s="1220"/>
      <c r="R79" s="1220"/>
      <c r="S79" s="1220"/>
      <c r="T79" s="1220"/>
      <c r="U79" s="1220"/>
      <c r="V79" s="1220"/>
      <c r="W79" s="1220"/>
      <c r="X79" s="1220"/>
      <c r="Y79" s="1220"/>
      <c r="Z79" s="1220"/>
      <c r="AA79" s="1220"/>
      <c r="AB79" s="1220"/>
      <c r="AC79" s="1220"/>
      <c r="AD79" s="1220"/>
      <c r="AE79" s="1220"/>
      <c r="AF79" s="1220"/>
      <c r="AG79" s="1220"/>
      <c r="AH79" s="1220"/>
      <c r="AI79" s="1220"/>
      <c r="AJ79" s="1220"/>
      <c r="AK79" s="1220"/>
      <c r="AL79" s="1220"/>
      <c r="AM79" s="1220"/>
      <c r="AN79" s="1220"/>
      <c r="AO79" s="1220"/>
      <c r="AP79" s="1220"/>
      <c r="AQ79" s="1220"/>
      <c r="AR79" s="1220"/>
      <c r="AS79" s="1220"/>
      <c r="AT79" s="1220"/>
      <c r="AU79" s="18"/>
      <c r="AV79" s="18"/>
      <c r="AW79" s="18"/>
      <c r="AX79" s="18"/>
      <c r="AY79" s="18"/>
      <c r="AZ79" s="18"/>
    </row>
    <row r="80" spans="1:52" ht="13.2" customHeight="1">
      <c r="A80" s="1220"/>
      <c r="B80" s="1220"/>
      <c r="C80" s="1220"/>
      <c r="D80" s="1220"/>
      <c r="E80" s="1220"/>
      <c r="F80" s="1220"/>
      <c r="G80" s="1220"/>
      <c r="H80" s="1220"/>
      <c r="I80" s="1220"/>
      <c r="J80" s="1220"/>
      <c r="K80" s="1220"/>
      <c r="L80" s="1220"/>
      <c r="M80" s="1220"/>
      <c r="N80" s="1220"/>
      <c r="O80" s="1220"/>
      <c r="P80" s="1220"/>
      <c r="Q80" s="1220"/>
      <c r="R80" s="1220"/>
      <c r="S80" s="1220"/>
      <c r="T80" s="1220"/>
      <c r="U80" s="1220"/>
      <c r="V80" s="1220"/>
      <c r="W80" s="1220"/>
      <c r="X80" s="1220"/>
      <c r="Y80" s="1220"/>
      <c r="Z80" s="1220"/>
      <c r="AA80" s="1220"/>
      <c r="AB80" s="1220"/>
      <c r="AC80" s="1220"/>
      <c r="AD80" s="1220"/>
      <c r="AE80" s="1220"/>
      <c r="AF80" s="1220"/>
      <c r="AG80" s="1220"/>
      <c r="AH80" s="1220"/>
      <c r="AI80" s="1220"/>
      <c r="AJ80" s="1220"/>
      <c r="AK80" s="1220"/>
      <c r="AL80" s="1220"/>
      <c r="AM80" s="1220"/>
      <c r="AN80" s="1220"/>
      <c r="AO80" s="1220"/>
      <c r="AP80" s="1220"/>
      <c r="AQ80" s="1220"/>
      <c r="AR80" s="1220"/>
      <c r="AS80" s="1220"/>
      <c r="AT80" s="1220"/>
      <c r="AU80" s="18"/>
      <c r="AV80" s="18"/>
      <c r="AW80" s="18"/>
      <c r="AX80" s="18"/>
      <c r="AY80" s="18"/>
      <c r="AZ80" s="18"/>
    </row>
    <row r="81" spans="1:52" ht="13.2" customHeight="1">
      <c r="A81" s="1220"/>
      <c r="B81" s="1220"/>
      <c r="C81" s="1220"/>
      <c r="D81" s="1220"/>
      <c r="E81" s="1220"/>
      <c r="F81" s="1220"/>
      <c r="G81" s="1220"/>
      <c r="H81" s="1220"/>
      <c r="I81" s="1220"/>
      <c r="J81" s="1220"/>
      <c r="K81" s="1220"/>
      <c r="L81" s="1220"/>
      <c r="M81" s="1220"/>
      <c r="N81" s="1220"/>
      <c r="O81" s="1220"/>
      <c r="P81" s="1220"/>
      <c r="Q81" s="1220"/>
      <c r="R81" s="1220"/>
      <c r="S81" s="1220"/>
      <c r="T81" s="1220"/>
      <c r="U81" s="1220"/>
      <c r="V81" s="1220"/>
      <c r="W81" s="1220"/>
      <c r="X81" s="1220"/>
      <c r="Y81" s="1220"/>
      <c r="Z81" s="1220"/>
      <c r="AA81" s="1220"/>
      <c r="AB81" s="1220"/>
      <c r="AC81" s="1220"/>
      <c r="AD81" s="1220"/>
      <c r="AE81" s="1220"/>
      <c r="AF81" s="1220"/>
      <c r="AG81" s="1220"/>
      <c r="AH81" s="1220"/>
      <c r="AI81" s="1220"/>
      <c r="AJ81" s="1220"/>
      <c r="AK81" s="1220"/>
      <c r="AL81" s="1220"/>
      <c r="AM81" s="1220"/>
      <c r="AN81" s="1220"/>
      <c r="AO81" s="1220"/>
      <c r="AP81" s="1220"/>
      <c r="AQ81" s="1220"/>
      <c r="AR81" s="1220"/>
      <c r="AS81" s="1220"/>
      <c r="AT81" s="1220"/>
      <c r="AU81" s="18"/>
      <c r="AV81" s="18"/>
      <c r="AW81" s="18"/>
      <c r="AX81" s="18"/>
      <c r="AY81" s="18"/>
      <c r="AZ81" s="18"/>
    </row>
    <row r="82" spans="1:52" ht="13.2" customHeight="1">
      <c r="A82" s="443"/>
      <c r="C82" s="443"/>
      <c r="D82" s="443"/>
      <c r="E82" s="443"/>
      <c r="F82" s="443"/>
      <c r="G82" s="443"/>
      <c r="H82" s="443"/>
      <c r="I82" s="443"/>
      <c r="J82" s="443"/>
      <c r="K82" s="443"/>
      <c r="L82" s="443"/>
      <c r="M82" s="443"/>
      <c r="N82" s="443"/>
      <c r="O82" s="443"/>
      <c r="P82" s="443"/>
      <c r="Q82" s="443"/>
      <c r="R82" s="443"/>
      <c r="S82" s="443"/>
      <c r="T82" s="443"/>
      <c r="U82" s="443"/>
      <c r="V82" s="443"/>
      <c r="W82" s="443"/>
      <c r="X82" s="443"/>
      <c r="Y82" s="443"/>
      <c r="Z82" s="443"/>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2" customHeight="1">
      <c r="A83" s="1220" t="s">
        <v>850</v>
      </c>
      <c r="B83" s="1220"/>
      <c r="C83" s="1220"/>
      <c r="D83" s="1220"/>
      <c r="E83" s="1220"/>
      <c r="F83" s="1220"/>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c r="AL83" s="1220"/>
      <c r="AM83" s="1220"/>
      <c r="AN83" s="1220"/>
      <c r="AO83" s="1220"/>
      <c r="AP83" s="1220"/>
      <c r="AQ83" s="1220"/>
      <c r="AR83" s="1220"/>
      <c r="AS83" s="1220"/>
      <c r="AT83" s="1220"/>
      <c r="AU83" s="18"/>
      <c r="AV83" s="18"/>
      <c r="AW83" s="18"/>
      <c r="AX83" s="18"/>
      <c r="AY83" s="18"/>
      <c r="AZ83" s="18"/>
    </row>
    <row r="84" spans="1:52" ht="13.2" customHeight="1">
      <c r="A84" s="1220"/>
      <c r="B84" s="1220"/>
      <c r="C84" s="1220"/>
      <c r="D84" s="1220"/>
      <c r="E84" s="1220"/>
      <c r="F84" s="1220"/>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c r="AL84" s="1220"/>
      <c r="AM84" s="1220"/>
      <c r="AN84" s="1220"/>
      <c r="AO84" s="1220"/>
      <c r="AP84" s="1220"/>
      <c r="AQ84" s="1220"/>
      <c r="AR84" s="1220"/>
      <c r="AS84" s="1220"/>
      <c r="AT84" s="1220"/>
      <c r="AU84" s="18"/>
      <c r="AV84" s="18"/>
      <c r="AW84" s="18"/>
      <c r="AX84" s="18"/>
      <c r="AY84" s="18"/>
      <c r="AZ84" s="18"/>
    </row>
    <row r="85" spans="1:52" ht="13.2" customHeight="1">
      <c r="C85" s="443"/>
      <c r="D85" s="443"/>
      <c r="E85" s="443"/>
      <c r="F85" s="443"/>
      <c r="G85" s="443"/>
      <c r="H85" s="443"/>
      <c r="I85" s="443"/>
      <c r="J85" s="443"/>
      <c r="K85" s="443"/>
      <c r="L85" s="443"/>
      <c r="M85" s="443"/>
      <c r="N85" s="443"/>
      <c r="O85" s="443"/>
      <c r="P85" s="443"/>
      <c r="Q85" s="443"/>
      <c r="R85" s="443"/>
      <c r="S85" s="443"/>
      <c r="T85" s="443"/>
      <c r="U85" s="443"/>
      <c r="V85" s="443"/>
      <c r="W85" s="443"/>
      <c r="X85" s="443"/>
      <c r="Y85" s="443"/>
      <c r="Z85" s="443"/>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2" customHeight="1">
      <c r="A86" s="1220" t="s">
        <v>851</v>
      </c>
      <c r="B86" s="1220"/>
      <c r="C86" s="1220"/>
      <c r="D86" s="1220"/>
      <c r="E86" s="1220"/>
      <c r="F86" s="1220"/>
      <c r="G86" s="1220"/>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c r="AL86" s="1220"/>
      <c r="AM86" s="1220"/>
      <c r="AN86" s="1220"/>
      <c r="AO86" s="1220"/>
      <c r="AP86" s="1220"/>
      <c r="AQ86" s="1220"/>
      <c r="AR86" s="1220"/>
      <c r="AS86" s="1220"/>
      <c r="AT86" s="1220"/>
      <c r="AU86" s="18"/>
      <c r="AV86" s="18"/>
      <c r="AW86" s="18"/>
      <c r="AX86" s="18"/>
      <c r="AY86" s="18"/>
      <c r="AZ86" s="18"/>
    </row>
    <row r="87" spans="1:52" ht="13.2" customHeight="1">
      <c r="A87" s="1220"/>
      <c r="B87" s="1220"/>
      <c r="C87" s="1220"/>
      <c r="D87" s="1220"/>
      <c r="E87" s="1220"/>
      <c r="F87" s="1220"/>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c r="AL87" s="1220"/>
      <c r="AM87" s="1220"/>
      <c r="AN87" s="1220"/>
      <c r="AO87" s="1220"/>
      <c r="AP87" s="1220"/>
      <c r="AQ87" s="1220"/>
      <c r="AR87" s="1220"/>
      <c r="AS87" s="1220"/>
      <c r="AT87" s="1220"/>
      <c r="AU87" s="18"/>
      <c r="AV87" s="18"/>
      <c r="AW87" s="18"/>
      <c r="AX87" s="18"/>
      <c r="AY87" s="18"/>
      <c r="AZ87" s="18"/>
    </row>
    <row r="88" spans="1:52" ht="13.2" customHeight="1">
      <c r="A88" s="443"/>
      <c r="C88" s="443"/>
      <c r="D88" s="443"/>
      <c r="E88" s="443"/>
      <c r="F88" s="443"/>
      <c r="G88" s="443"/>
      <c r="H88" s="443"/>
      <c r="I88" s="443"/>
      <c r="J88" s="443"/>
      <c r="K88" s="443"/>
      <c r="L88" s="443"/>
      <c r="M88" s="443"/>
      <c r="N88" s="443"/>
      <c r="O88" s="443"/>
      <c r="P88" s="443"/>
      <c r="Q88" s="443"/>
      <c r="R88" s="443"/>
      <c r="S88" s="443"/>
      <c r="T88" s="443"/>
      <c r="U88" s="443"/>
      <c r="V88" s="443"/>
      <c r="W88" s="443"/>
      <c r="X88" s="443"/>
      <c r="Y88" s="443"/>
      <c r="Z88" s="443"/>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2" customHeight="1">
      <c r="A89" s="1495" t="s">
        <v>852</v>
      </c>
      <c r="B89" s="1495"/>
      <c r="C89" s="1495"/>
      <c r="D89" s="1495"/>
      <c r="E89" s="1495"/>
      <c r="F89" s="1495"/>
      <c r="G89" s="1495"/>
      <c r="H89" s="1495"/>
      <c r="I89" s="1495"/>
      <c r="J89" s="1495"/>
      <c r="K89" s="1495"/>
      <c r="L89" s="1495"/>
      <c r="M89" s="1495"/>
      <c r="N89" s="1495"/>
      <c r="O89" s="1495"/>
      <c r="P89" s="1495"/>
      <c r="Q89" s="1495"/>
      <c r="R89" s="1495"/>
      <c r="S89" s="1495"/>
      <c r="T89" s="1495"/>
      <c r="U89" s="1495"/>
      <c r="V89" s="1495"/>
      <c r="W89" s="1495"/>
      <c r="X89" s="1495"/>
      <c r="Y89" s="1495"/>
      <c r="Z89" s="1495"/>
      <c r="AA89" s="1495"/>
      <c r="AB89" s="1495"/>
      <c r="AC89" s="1495"/>
      <c r="AD89" s="1495"/>
      <c r="AE89" s="1495"/>
      <c r="AF89" s="1495"/>
      <c r="AG89" s="1495"/>
      <c r="AH89" s="1495"/>
      <c r="AI89" s="1495"/>
      <c r="AJ89" s="1495"/>
      <c r="AK89" s="1495"/>
      <c r="AL89" s="1495"/>
      <c r="AM89" s="1495"/>
      <c r="AN89" s="1495"/>
      <c r="AO89" s="1495"/>
      <c r="AP89" s="1495"/>
      <c r="AQ89" s="1495"/>
      <c r="AR89" s="1495"/>
      <c r="AS89" s="1495"/>
      <c r="AT89" s="1495"/>
      <c r="AU89" s="16"/>
      <c r="AV89" s="16"/>
      <c r="AW89" s="16"/>
      <c r="AX89" s="16"/>
      <c r="AY89" s="16"/>
      <c r="AZ89" s="18"/>
    </row>
    <row r="90" spans="1:52" ht="13.2" customHeight="1">
      <c r="A90" s="1495"/>
      <c r="B90" s="1495"/>
      <c r="C90" s="1495"/>
      <c r="D90" s="1495"/>
      <c r="E90" s="1495"/>
      <c r="F90" s="1495"/>
      <c r="G90" s="1495"/>
      <c r="H90" s="1495"/>
      <c r="I90" s="1495"/>
      <c r="J90" s="1495"/>
      <c r="K90" s="1495"/>
      <c r="L90" s="1495"/>
      <c r="M90" s="1495"/>
      <c r="N90" s="1495"/>
      <c r="O90" s="1495"/>
      <c r="P90" s="1495"/>
      <c r="Q90" s="1495"/>
      <c r="R90" s="1495"/>
      <c r="S90" s="1495"/>
      <c r="T90" s="1495"/>
      <c r="U90" s="1495"/>
      <c r="V90" s="1495"/>
      <c r="W90" s="1495"/>
      <c r="X90" s="1495"/>
      <c r="Y90" s="1495"/>
      <c r="Z90" s="1495"/>
      <c r="AA90" s="1495"/>
      <c r="AB90" s="1495"/>
      <c r="AC90" s="1495"/>
      <c r="AD90" s="1495"/>
      <c r="AE90" s="1495"/>
      <c r="AF90" s="1495"/>
      <c r="AG90" s="1495"/>
      <c r="AH90" s="1495"/>
      <c r="AI90" s="1495"/>
      <c r="AJ90" s="1495"/>
      <c r="AK90" s="1495"/>
      <c r="AL90" s="1495"/>
      <c r="AM90" s="1495"/>
      <c r="AN90" s="1495"/>
      <c r="AO90" s="1495"/>
      <c r="AP90" s="1495"/>
      <c r="AQ90" s="1495"/>
      <c r="AR90" s="1495"/>
      <c r="AS90" s="1495"/>
      <c r="AT90" s="1495"/>
      <c r="AU90" s="16"/>
      <c r="AV90" s="16"/>
      <c r="AW90" s="16"/>
      <c r="AX90" s="16"/>
      <c r="AY90" s="16"/>
      <c r="AZ90" s="18"/>
    </row>
    <row r="91" spans="1:52" ht="13.2" customHeight="1">
      <c r="A91" s="443"/>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2" customHeight="1">
      <c r="A92" s="1479" t="s">
        <v>853</v>
      </c>
      <c r="B92" s="1479"/>
      <c r="C92" s="1479"/>
      <c r="D92" s="1479"/>
      <c r="E92" s="1479"/>
      <c r="F92" s="1479"/>
      <c r="G92" s="1479"/>
      <c r="H92" s="1479"/>
      <c r="I92" s="1479"/>
      <c r="J92" s="1479"/>
      <c r="K92" s="1479"/>
      <c r="L92" s="1479"/>
      <c r="M92" s="1479"/>
      <c r="N92" s="1479"/>
      <c r="O92" s="1479"/>
      <c r="P92" s="1479"/>
      <c r="Q92" s="1479"/>
      <c r="R92" s="1479"/>
      <c r="S92" s="1479"/>
      <c r="T92" s="1479"/>
      <c r="U92" s="1479"/>
      <c r="V92" s="1479"/>
      <c r="W92" s="1479"/>
      <c r="X92" s="1479"/>
      <c r="Y92" s="1479"/>
      <c r="Z92" s="1479"/>
      <c r="AA92" s="1479"/>
      <c r="AB92" s="1479"/>
      <c r="AC92" s="1479"/>
      <c r="AD92" s="1479"/>
      <c r="AE92" s="1479"/>
      <c r="AF92" s="1479"/>
      <c r="AG92" s="1479"/>
      <c r="AH92" s="1479"/>
      <c r="AI92" s="1479"/>
      <c r="AJ92" s="1479"/>
      <c r="AK92" s="1479"/>
      <c r="AL92" s="1479"/>
      <c r="AM92" s="1479"/>
      <c r="AN92" s="1479"/>
      <c r="AO92" s="1479"/>
      <c r="AP92" s="1479"/>
      <c r="AQ92" s="1479"/>
      <c r="AR92" s="1479"/>
      <c r="AS92" s="1479"/>
      <c r="AT92" s="1479"/>
      <c r="AU92" s="18"/>
      <c r="AV92" s="18"/>
      <c r="AW92" s="18"/>
      <c r="AX92" s="18"/>
      <c r="AY92" s="18"/>
      <c r="AZ92" s="18"/>
    </row>
    <row r="93" spans="1:52" ht="13.2" customHeight="1">
      <c r="A93" s="1479"/>
      <c r="B93" s="1479"/>
      <c r="C93" s="1479"/>
      <c r="D93" s="1479"/>
      <c r="E93" s="1479"/>
      <c r="F93" s="1479"/>
      <c r="G93" s="1479"/>
      <c r="H93" s="1479"/>
      <c r="I93" s="1479"/>
      <c r="J93" s="1479"/>
      <c r="K93" s="1479"/>
      <c r="L93" s="1479"/>
      <c r="M93" s="1479"/>
      <c r="N93" s="1479"/>
      <c r="O93" s="1479"/>
      <c r="P93" s="1479"/>
      <c r="Q93" s="1479"/>
      <c r="R93" s="1479"/>
      <c r="S93" s="1479"/>
      <c r="T93" s="1479"/>
      <c r="U93" s="1479"/>
      <c r="V93" s="1479"/>
      <c r="W93" s="1479"/>
      <c r="X93" s="1479"/>
      <c r="Y93" s="1479"/>
      <c r="Z93" s="1479"/>
      <c r="AA93" s="1479"/>
      <c r="AB93" s="1479"/>
      <c r="AC93" s="1479"/>
      <c r="AD93" s="1479"/>
      <c r="AE93" s="1479"/>
      <c r="AF93" s="1479"/>
      <c r="AG93" s="1479"/>
      <c r="AH93" s="1479"/>
      <c r="AI93" s="1479"/>
      <c r="AJ93" s="1479"/>
      <c r="AK93" s="1479"/>
      <c r="AL93" s="1479"/>
      <c r="AM93" s="1479"/>
      <c r="AN93" s="1479"/>
      <c r="AO93" s="1479"/>
      <c r="AP93" s="1479"/>
      <c r="AQ93" s="1479"/>
      <c r="AR93" s="1479"/>
      <c r="AS93" s="1479"/>
      <c r="AT93" s="1479"/>
      <c r="AU93" s="18"/>
      <c r="AV93" s="18"/>
      <c r="AW93" s="18"/>
      <c r="AX93" s="18"/>
      <c r="AY93" s="18"/>
      <c r="AZ93" s="18"/>
    </row>
    <row r="94" spans="1:52" ht="13.2" customHeight="1">
      <c r="A94" s="1479"/>
      <c r="B94" s="1479"/>
      <c r="C94" s="1479"/>
      <c r="D94" s="1479"/>
      <c r="E94" s="1479"/>
      <c r="F94" s="1479"/>
      <c r="G94" s="1479"/>
      <c r="H94" s="1479"/>
      <c r="I94" s="1479"/>
      <c r="J94" s="1479"/>
      <c r="K94" s="1479"/>
      <c r="L94" s="1479"/>
      <c r="M94" s="1479"/>
      <c r="N94" s="1479"/>
      <c r="O94" s="1479"/>
      <c r="P94" s="1479"/>
      <c r="Q94" s="1479"/>
      <c r="R94" s="1479"/>
      <c r="S94" s="1479"/>
      <c r="T94" s="1479"/>
      <c r="U94" s="1479"/>
      <c r="V94" s="1479"/>
      <c r="W94" s="1479"/>
      <c r="X94" s="1479"/>
      <c r="Y94" s="1479"/>
      <c r="Z94" s="1479"/>
      <c r="AA94" s="1479"/>
      <c r="AB94" s="1479"/>
      <c r="AC94" s="1479"/>
      <c r="AD94" s="1479"/>
      <c r="AE94" s="1479"/>
      <c r="AF94" s="1479"/>
      <c r="AG94" s="1479"/>
      <c r="AH94" s="1479"/>
      <c r="AI94" s="1479"/>
      <c r="AJ94" s="1479"/>
      <c r="AK94" s="1479"/>
      <c r="AL94" s="1479"/>
      <c r="AM94" s="1479"/>
      <c r="AN94" s="1479"/>
      <c r="AO94" s="1479"/>
      <c r="AP94" s="1479"/>
      <c r="AQ94" s="1479"/>
      <c r="AR94" s="1479"/>
      <c r="AS94" s="1479"/>
      <c r="AT94" s="1479"/>
      <c r="AU94" s="18"/>
      <c r="AV94" s="18"/>
      <c r="AW94" s="18"/>
      <c r="AX94" s="18"/>
      <c r="AY94" s="18"/>
      <c r="AZ94" s="18"/>
    </row>
    <row r="95" spans="1:52" ht="13.2" customHeight="1">
      <c r="A95" s="1479"/>
      <c r="B95" s="1479"/>
      <c r="C95" s="1479"/>
      <c r="D95" s="1479"/>
      <c r="E95" s="1479"/>
      <c r="F95" s="1479"/>
      <c r="G95" s="1479"/>
      <c r="H95" s="1479"/>
      <c r="I95" s="1479"/>
      <c r="J95" s="1479"/>
      <c r="K95" s="1479"/>
      <c r="L95" s="1479"/>
      <c r="M95" s="1479"/>
      <c r="N95" s="1479"/>
      <c r="O95" s="1479"/>
      <c r="P95" s="1479"/>
      <c r="Q95" s="1479"/>
      <c r="R95" s="1479"/>
      <c r="S95" s="1479"/>
      <c r="T95" s="1479"/>
      <c r="U95" s="1479"/>
      <c r="V95" s="1479"/>
      <c r="W95" s="1479"/>
      <c r="X95" s="1479"/>
      <c r="Y95" s="1479"/>
      <c r="Z95" s="1479"/>
      <c r="AA95" s="1479"/>
      <c r="AB95" s="1479"/>
      <c r="AC95" s="1479"/>
      <c r="AD95" s="1479"/>
      <c r="AE95" s="1479"/>
      <c r="AF95" s="1479"/>
      <c r="AG95" s="1479"/>
      <c r="AH95" s="1479"/>
      <c r="AI95" s="1479"/>
      <c r="AJ95" s="1479"/>
      <c r="AK95" s="1479"/>
      <c r="AL95" s="1479"/>
      <c r="AM95" s="1479"/>
      <c r="AN95" s="1479"/>
      <c r="AO95" s="1479"/>
      <c r="AP95" s="1479"/>
      <c r="AQ95" s="1479"/>
      <c r="AR95" s="1479"/>
      <c r="AS95" s="1479"/>
      <c r="AT95" s="1479"/>
      <c r="AU95" s="18"/>
      <c r="AV95" s="18"/>
      <c r="AW95" s="18"/>
      <c r="AX95" s="18"/>
      <c r="AY95" s="18"/>
      <c r="AZ95" s="18"/>
    </row>
    <row r="96" spans="1:52" ht="13.2" customHeight="1">
      <c r="A96" s="1479"/>
      <c r="B96" s="1479"/>
      <c r="C96" s="1479"/>
      <c r="D96" s="1479"/>
      <c r="E96" s="1479"/>
      <c r="F96" s="1479"/>
      <c r="G96" s="1479"/>
      <c r="H96" s="1479"/>
      <c r="I96" s="1479"/>
      <c r="J96" s="1479"/>
      <c r="K96" s="1479"/>
      <c r="L96" s="1479"/>
      <c r="M96" s="1479"/>
      <c r="N96" s="1479"/>
      <c r="O96" s="1479"/>
      <c r="P96" s="1479"/>
      <c r="Q96" s="1479"/>
      <c r="R96" s="1479"/>
      <c r="S96" s="1479"/>
      <c r="T96" s="1479"/>
      <c r="U96" s="1479"/>
      <c r="V96" s="1479"/>
      <c r="W96" s="1479"/>
      <c r="X96" s="1479"/>
      <c r="Y96" s="1479"/>
      <c r="Z96" s="1479"/>
      <c r="AA96" s="1479"/>
      <c r="AB96" s="1479"/>
      <c r="AC96" s="1479"/>
      <c r="AD96" s="1479"/>
      <c r="AE96" s="1479"/>
      <c r="AF96" s="1479"/>
      <c r="AG96" s="1479"/>
      <c r="AH96" s="1479"/>
      <c r="AI96" s="1479"/>
      <c r="AJ96" s="1479"/>
      <c r="AK96" s="1479"/>
      <c r="AL96" s="1479"/>
      <c r="AM96" s="1479"/>
      <c r="AN96" s="1479"/>
      <c r="AO96" s="1479"/>
      <c r="AP96" s="1479"/>
      <c r="AQ96" s="1479"/>
      <c r="AR96" s="1479"/>
      <c r="AS96" s="1479"/>
      <c r="AT96" s="1479"/>
      <c r="AU96" s="18"/>
      <c r="AV96" s="18"/>
      <c r="AW96" s="18"/>
      <c r="AX96" s="18"/>
      <c r="AY96" s="18"/>
      <c r="AZ96" s="18"/>
    </row>
    <row r="97" spans="1:52" ht="13.2" customHeight="1">
      <c r="A97" s="1479"/>
      <c r="B97" s="1479"/>
      <c r="C97" s="1479"/>
      <c r="D97" s="1479"/>
      <c r="E97" s="1479"/>
      <c r="F97" s="1479"/>
      <c r="G97" s="1479"/>
      <c r="H97" s="1479"/>
      <c r="I97" s="1479"/>
      <c r="J97" s="1479"/>
      <c r="K97" s="1479"/>
      <c r="L97" s="1479"/>
      <c r="M97" s="1479"/>
      <c r="N97" s="1479"/>
      <c r="O97" s="1479"/>
      <c r="P97" s="1479"/>
      <c r="Q97" s="1479"/>
      <c r="R97" s="1479"/>
      <c r="S97" s="1479"/>
      <c r="T97" s="1479"/>
      <c r="U97" s="1479"/>
      <c r="V97" s="1479"/>
      <c r="W97" s="1479"/>
      <c r="X97" s="1479"/>
      <c r="Y97" s="1479"/>
      <c r="Z97" s="1479"/>
      <c r="AA97" s="1479"/>
      <c r="AB97" s="1479"/>
      <c r="AC97" s="1479"/>
      <c r="AD97" s="1479"/>
      <c r="AE97" s="1479"/>
      <c r="AF97" s="1479"/>
      <c r="AG97" s="1479"/>
      <c r="AH97" s="1479"/>
      <c r="AI97" s="1479"/>
      <c r="AJ97" s="1479"/>
      <c r="AK97" s="1479"/>
      <c r="AL97" s="1479"/>
      <c r="AM97" s="1479"/>
      <c r="AN97" s="1479"/>
      <c r="AO97" s="1479"/>
      <c r="AP97" s="1479"/>
      <c r="AQ97" s="1479"/>
      <c r="AR97" s="1479"/>
      <c r="AS97" s="1479"/>
      <c r="AT97" s="1479"/>
      <c r="AU97" s="18"/>
      <c r="AV97" s="18"/>
      <c r="AW97" s="18"/>
      <c r="AX97" s="18"/>
      <c r="AY97" s="18"/>
      <c r="AZ97" s="18"/>
    </row>
    <row r="98" spans="1:52" ht="13.2" customHeight="1">
      <c r="A98" s="1479"/>
      <c r="B98" s="1479"/>
      <c r="C98" s="1479"/>
      <c r="D98" s="1479"/>
      <c r="E98" s="1479"/>
      <c r="F98" s="1479"/>
      <c r="G98" s="1479"/>
      <c r="H98" s="1479"/>
      <c r="I98" s="1479"/>
      <c r="J98" s="1479"/>
      <c r="K98" s="1479"/>
      <c r="L98" s="1479"/>
      <c r="M98" s="1479"/>
      <c r="N98" s="1479"/>
      <c r="O98" s="1479"/>
      <c r="P98" s="1479"/>
      <c r="Q98" s="1479"/>
      <c r="R98" s="1479"/>
      <c r="S98" s="1479"/>
      <c r="T98" s="1479"/>
      <c r="U98" s="1479"/>
      <c r="V98" s="1479"/>
      <c r="W98" s="1479"/>
      <c r="X98" s="1479"/>
      <c r="Y98" s="1479"/>
      <c r="Z98" s="1479"/>
      <c r="AA98" s="1479"/>
      <c r="AB98" s="1479"/>
      <c r="AC98" s="1479"/>
      <c r="AD98" s="1479"/>
      <c r="AE98" s="1479"/>
      <c r="AF98" s="1479"/>
      <c r="AG98" s="1479"/>
      <c r="AH98" s="1479"/>
      <c r="AI98" s="1479"/>
      <c r="AJ98" s="1479"/>
      <c r="AK98" s="1479"/>
      <c r="AL98" s="1479"/>
      <c r="AM98" s="1479"/>
      <c r="AN98" s="1479"/>
      <c r="AO98" s="1479"/>
      <c r="AP98" s="1479"/>
      <c r="AQ98" s="1479"/>
      <c r="AR98" s="1479"/>
      <c r="AS98" s="1479"/>
      <c r="AT98" s="1479"/>
      <c r="AU98" s="18"/>
      <c r="AV98" s="18"/>
      <c r="AW98" s="18"/>
      <c r="AX98" s="18"/>
      <c r="AY98" s="18"/>
      <c r="AZ98" s="18"/>
    </row>
    <row r="99" spans="1:52" ht="13.2" customHeight="1">
      <c r="C99" s="443"/>
      <c r="D99" s="443"/>
      <c r="E99" s="443"/>
      <c r="F99" s="443"/>
      <c r="G99" s="443"/>
      <c r="H99" s="443"/>
      <c r="I99" s="443"/>
      <c r="J99" s="443"/>
      <c r="K99" s="443"/>
      <c r="L99" s="443"/>
      <c r="M99" s="443"/>
      <c r="N99" s="443"/>
      <c r="O99" s="443"/>
      <c r="P99" s="443"/>
      <c r="Q99" s="443"/>
      <c r="R99" s="443"/>
      <c r="S99" s="443"/>
      <c r="T99" s="443"/>
      <c r="U99" s="443"/>
      <c r="V99" s="443"/>
      <c r="W99" s="443"/>
      <c r="X99" s="443"/>
      <c r="Y99" s="443"/>
      <c r="Z99" s="443"/>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2" customHeight="1">
      <c r="A100" s="1254" t="s">
        <v>854</v>
      </c>
      <c r="B100" s="1254"/>
      <c r="C100" s="1254"/>
      <c r="D100" s="1254"/>
      <c r="E100" s="1254"/>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8"/>
      <c r="AV100" s="18"/>
      <c r="AW100" s="18"/>
      <c r="AX100" s="18"/>
      <c r="AY100" s="18"/>
      <c r="AZ100" s="18"/>
    </row>
    <row r="101" spans="1:52" ht="13.2"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8"/>
      <c r="AV101" s="18"/>
      <c r="AW101" s="18"/>
      <c r="AX101" s="18"/>
      <c r="AY101" s="18"/>
      <c r="AZ101" s="18"/>
    </row>
    <row r="102" spans="1:52" ht="13.2" customHeight="1">
      <c r="A102" s="1254"/>
      <c r="B102" s="1254"/>
      <c r="C102" s="1254"/>
      <c r="D102" s="1254"/>
      <c r="E102" s="1254"/>
      <c r="F102" s="1254"/>
      <c r="G102" s="1254"/>
      <c r="H102" s="1254"/>
      <c r="I102" s="1254"/>
      <c r="J102" s="1254"/>
      <c r="K102" s="1254"/>
      <c r="L102" s="1254"/>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8"/>
      <c r="AV102" s="18"/>
      <c r="AW102" s="18"/>
      <c r="AX102" s="18"/>
      <c r="AY102" s="18"/>
      <c r="AZ102" s="18"/>
    </row>
    <row r="103" spans="1:52" ht="13.2" customHeigh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8"/>
      <c r="AV103" s="18"/>
      <c r="AW103" s="18"/>
      <c r="AX103" s="18"/>
      <c r="AY103" s="18"/>
    </row>
    <row r="104" spans="1:52" ht="13.2" customHeight="1">
      <c r="C104" s="443"/>
      <c r="D104" s="443"/>
      <c r="E104" s="443"/>
      <c r="F104" s="443"/>
      <c r="G104" s="443"/>
      <c r="H104" s="443"/>
      <c r="I104" s="443"/>
      <c r="J104" s="443"/>
      <c r="K104" s="443"/>
      <c r="L104" s="443"/>
      <c r="M104" s="443"/>
      <c r="N104" s="443"/>
      <c r="O104" s="443"/>
      <c r="P104" s="443"/>
      <c r="Q104" s="443"/>
      <c r="R104" s="443"/>
      <c r="S104" s="443"/>
      <c r="T104" s="443"/>
      <c r="U104" s="443"/>
      <c r="V104" s="443"/>
      <c r="W104" s="443"/>
      <c r="X104" s="443"/>
      <c r="Y104" s="443"/>
      <c r="Z104" s="443"/>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2" customHeight="1">
      <c r="A105" s="1254" t="s">
        <v>855</v>
      </c>
      <c r="B105" s="1254"/>
      <c r="C105" s="1254"/>
      <c r="D105" s="1254"/>
      <c r="E105" s="1254"/>
      <c r="F105" s="1254"/>
      <c r="G105" s="1254"/>
      <c r="H105" s="1254"/>
      <c r="I105" s="1254"/>
      <c r="J105" s="1254"/>
      <c r="K105" s="1254"/>
      <c r="L105" s="1254"/>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8"/>
      <c r="AV105" s="18"/>
      <c r="AW105" s="18"/>
      <c r="AX105" s="18"/>
      <c r="AY105" s="18"/>
    </row>
    <row r="106" spans="1:52" ht="13.2" customHeight="1">
      <c r="A106" s="1254"/>
      <c r="B106" s="1254"/>
      <c r="C106" s="1254"/>
      <c r="D106" s="1254"/>
      <c r="E106" s="1254"/>
      <c r="F106" s="1254"/>
      <c r="G106" s="1254"/>
      <c r="H106" s="1254"/>
      <c r="I106" s="1254"/>
      <c r="J106" s="1254"/>
      <c r="K106" s="1254"/>
      <c r="L106" s="1254"/>
      <c r="M106" s="1254"/>
      <c r="N106" s="1254"/>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8"/>
      <c r="AV106" s="18"/>
      <c r="AW106" s="18"/>
      <c r="AX106" s="18"/>
      <c r="AY106" s="18"/>
    </row>
    <row r="107" spans="1:52" ht="13.2" customHeight="1">
      <c r="A107" s="441"/>
      <c r="C107" s="443"/>
      <c r="D107" s="443"/>
      <c r="E107" s="443"/>
      <c r="F107" s="443"/>
      <c r="G107" s="443"/>
      <c r="H107" s="443"/>
      <c r="I107" s="443"/>
      <c r="J107" s="443"/>
      <c r="K107" s="443"/>
      <c r="L107" s="443"/>
      <c r="M107" s="443"/>
      <c r="N107" s="443"/>
      <c r="O107" s="443"/>
      <c r="P107" s="443"/>
      <c r="Q107" s="443"/>
      <c r="R107" s="443"/>
      <c r="S107" s="443"/>
      <c r="T107" s="443"/>
      <c r="U107" s="443"/>
      <c r="V107" s="443"/>
      <c r="W107" s="443"/>
      <c r="X107" s="443"/>
      <c r="Y107" s="443"/>
      <c r="Z107" s="443"/>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2" customHeight="1">
      <c r="A108" s="441" t="s">
        <v>856</v>
      </c>
      <c r="C108" s="443"/>
      <c r="D108" s="443"/>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2" customHeight="1">
      <c r="C109" s="443"/>
      <c r="D109" s="443"/>
      <c r="E109" s="443"/>
      <c r="F109" s="443"/>
      <c r="G109" s="443"/>
      <c r="H109" s="443"/>
      <c r="I109" s="443"/>
      <c r="J109" s="443"/>
      <c r="K109" s="443"/>
      <c r="L109" s="443"/>
      <c r="M109" s="443"/>
      <c r="N109" s="443"/>
      <c r="O109" s="443"/>
      <c r="P109" s="443"/>
      <c r="Q109" s="443"/>
      <c r="R109" s="443"/>
      <c r="S109" s="443"/>
      <c r="T109" s="443"/>
      <c r="U109" s="443"/>
      <c r="V109" s="443"/>
      <c r="W109" s="443"/>
      <c r="X109" s="443"/>
      <c r="Y109" s="443"/>
      <c r="Z109" s="443"/>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2" customHeight="1">
      <c r="A110" s="441"/>
      <c r="C110" s="443"/>
      <c r="D110" s="443"/>
      <c r="E110" s="443"/>
      <c r="F110" s="443"/>
      <c r="G110" s="443"/>
      <c r="H110" s="443"/>
      <c r="I110" s="443"/>
      <c r="J110" s="443"/>
      <c r="K110" s="443"/>
      <c r="L110" s="443"/>
      <c r="M110" s="443"/>
      <c r="N110" s="443"/>
      <c r="O110" s="443"/>
      <c r="P110" s="443"/>
      <c r="Q110" s="443"/>
      <c r="R110" s="443"/>
      <c r="S110" s="443"/>
      <c r="T110" s="443"/>
      <c r="U110" s="443"/>
      <c r="V110" s="443"/>
      <c r="W110" s="443"/>
      <c r="X110" s="443"/>
      <c r="Y110" s="443"/>
      <c r="Z110" s="443"/>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2" customHeight="1">
      <c r="A111" s="441"/>
      <c r="C111" s="443"/>
      <c r="D111" s="443"/>
      <c r="E111" s="443"/>
      <c r="F111" s="443"/>
      <c r="G111" s="443"/>
      <c r="H111" s="443"/>
      <c r="I111" s="443"/>
      <c r="J111" s="443"/>
      <c r="K111" s="443"/>
      <c r="L111" s="443"/>
      <c r="M111" s="443"/>
      <c r="N111" s="443"/>
      <c r="O111" s="443"/>
      <c r="P111" s="443"/>
      <c r="Q111" s="443"/>
      <c r="R111" s="443"/>
      <c r="S111" s="443"/>
      <c r="T111" s="443"/>
      <c r="U111" s="443"/>
      <c r="V111" s="443"/>
      <c r="W111" s="443"/>
      <c r="X111" s="443"/>
      <c r="Y111" s="443"/>
      <c r="Z111" s="443"/>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2" customHeight="1">
      <c r="A112" s="441"/>
      <c r="C112" s="443"/>
      <c r="D112" s="443"/>
      <c r="E112" s="443"/>
      <c r="F112" s="443"/>
      <c r="G112" s="443"/>
      <c r="H112" s="443"/>
      <c r="I112" s="443"/>
      <c r="J112" s="443"/>
      <c r="K112" s="443"/>
      <c r="L112" s="443"/>
      <c r="M112" s="443"/>
      <c r="N112" s="443"/>
      <c r="O112" s="443"/>
      <c r="P112" s="443"/>
      <c r="Q112" s="443"/>
      <c r="R112" s="443"/>
      <c r="S112" s="443"/>
      <c r="T112" s="443"/>
      <c r="U112" s="443"/>
      <c r="V112" s="443"/>
      <c r="W112" s="443"/>
      <c r="X112" s="443"/>
      <c r="Y112" s="443"/>
      <c r="Z112" s="443"/>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2" customHeight="1">
      <c r="A113" s="212"/>
      <c r="C113" s="3" t="s">
        <v>857</v>
      </c>
      <c r="G113" s="1481"/>
      <c r="H113" s="1481"/>
      <c r="I113" s="3" t="s">
        <v>858</v>
      </c>
      <c r="L113" s="1481"/>
      <c r="M113" s="1481"/>
      <c r="N113" s="1481"/>
      <c r="O113" s="1481"/>
      <c r="P113" s="1497" t="s">
        <v>859</v>
      </c>
      <c r="Q113" s="1497"/>
      <c r="R113" s="1497"/>
      <c r="S113" s="1497"/>
      <c r="T113" s="443"/>
      <c r="U113" s="443"/>
      <c r="V113" s="443"/>
      <c r="W113" s="443"/>
      <c r="X113" s="443"/>
      <c r="Y113" s="443"/>
      <c r="Z113" s="443"/>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2" customHeight="1">
      <c r="M114" s="3"/>
      <c r="S114" s="3"/>
      <c r="T114" s="443"/>
      <c r="U114" s="443"/>
      <c r="V114" s="443"/>
      <c r="W114" s="443"/>
      <c r="X114" s="443"/>
      <c r="Y114" s="443"/>
      <c r="Z114" s="443"/>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2" customHeight="1">
      <c r="A115" s="443"/>
      <c r="C115" s="1482"/>
      <c r="D115" s="1482"/>
      <c r="E115" s="1482"/>
      <c r="F115" s="1482"/>
      <c r="G115" s="1482"/>
      <c r="H115" s="1482"/>
      <c r="I115" s="1482"/>
      <c r="J115" s="1482"/>
      <c r="K115" s="1482"/>
      <c r="L115" s="141" t="s">
        <v>860</v>
      </c>
      <c r="S115" s="3"/>
      <c r="T115" s="443"/>
      <c r="U115" s="443"/>
      <c r="V115" s="443"/>
      <c r="W115" s="443"/>
      <c r="X115" s="443"/>
      <c r="Y115" s="443"/>
      <c r="Z115" s="443"/>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2" customHeight="1">
      <c r="A116" s="443"/>
      <c r="C116" s="443"/>
      <c r="D116" s="443"/>
      <c r="E116" s="443"/>
      <c r="F116" s="443"/>
      <c r="G116" s="443"/>
      <c r="H116" s="443"/>
      <c r="I116" s="443"/>
      <c r="J116" s="443"/>
      <c r="K116" s="443"/>
      <c r="L116" s="443"/>
      <c r="M116" s="443"/>
      <c r="N116" s="443"/>
      <c r="O116" s="443"/>
      <c r="P116" s="443"/>
      <c r="Q116" s="443"/>
      <c r="R116" s="443"/>
      <c r="S116" s="443"/>
      <c r="T116" s="443"/>
      <c r="U116" s="443"/>
      <c r="V116" s="443"/>
      <c r="W116" s="443"/>
      <c r="X116" s="443"/>
      <c r="Y116" s="443"/>
      <c r="Z116" s="443"/>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2" customHeight="1">
      <c r="A117" s="443"/>
      <c r="B117" s="20"/>
      <c r="C117" s="20"/>
      <c r="X117" s="3" t="s">
        <v>861</v>
      </c>
      <c r="Y117" s="1481"/>
      <c r="Z117" s="1481"/>
      <c r="AA117" s="1481"/>
      <c r="AB117" s="1481"/>
      <c r="AC117" s="1481"/>
      <c r="AD117" s="1481"/>
      <c r="AE117" s="1481"/>
      <c r="AF117" s="1481"/>
      <c r="AG117" s="1481"/>
      <c r="AH117" s="1481"/>
      <c r="AI117" s="1481"/>
      <c r="AJ117" s="1481"/>
      <c r="AK117" s="1481"/>
    </row>
    <row r="118" spans="1:51" ht="13.2" customHeight="1">
      <c r="X118" s="3"/>
      <c r="Y118" s="3"/>
      <c r="Z118" s="3" t="s">
        <v>862</v>
      </c>
      <c r="AA118" s="3"/>
      <c r="AB118" s="3"/>
      <c r="AC118" s="3"/>
      <c r="AD118" s="3"/>
      <c r="AE118" s="3"/>
      <c r="AF118" s="3"/>
      <c r="AG118" s="3"/>
      <c r="AH118" s="3"/>
      <c r="AI118" s="3"/>
      <c r="AJ118" s="3"/>
      <c r="AK118" s="3"/>
    </row>
    <row r="119" spans="1:51" ht="13.2" customHeight="1">
      <c r="A119" s="443"/>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2" customHeight="1">
      <c r="A120" s="443"/>
      <c r="B120" s="3"/>
      <c r="P120" s="3"/>
      <c r="Q120" s="3"/>
      <c r="R120" s="3"/>
      <c r="S120" s="3"/>
      <c r="T120" s="3"/>
      <c r="U120" s="3"/>
      <c r="V120" s="3"/>
      <c r="W120" s="3"/>
      <c r="X120" s="3"/>
      <c r="Y120" s="1481" t="s">
        <v>1114</v>
      </c>
      <c r="Z120" s="1481"/>
      <c r="AA120" s="1481"/>
      <c r="AB120" s="1481"/>
      <c r="AC120" s="1481"/>
      <c r="AD120" s="1481"/>
      <c r="AE120" s="1481"/>
      <c r="AF120" s="1481"/>
      <c r="AG120" s="1481"/>
      <c r="AH120" s="1481"/>
      <c r="AI120" s="1481"/>
      <c r="AJ120" s="1481"/>
      <c r="AK120" s="1481"/>
      <c r="AL120" s="3"/>
      <c r="AM120" s="3"/>
      <c r="AN120" s="3"/>
      <c r="AO120" s="3"/>
      <c r="AP120" s="3"/>
      <c r="AQ120" s="3"/>
      <c r="AR120" s="3"/>
      <c r="AS120" s="3"/>
      <c r="AT120" s="3"/>
      <c r="AU120" s="3"/>
      <c r="AV120" s="3"/>
      <c r="AW120" s="3"/>
      <c r="AX120" s="3"/>
      <c r="AY120" s="3"/>
    </row>
    <row r="121" spans="1:51" ht="13.2" customHeight="1">
      <c r="A121" s="3"/>
      <c r="B121" s="3"/>
      <c r="P121" s="3"/>
      <c r="Q121" s="3"/>
      <c r="R121" s="3"/>
      <c r="S121" s="3"/>
      <c r="T121" s="3"/>
      <c r="U121" s="3"/>
      <c r="V121" s="3"/>
      <c r="W121" s="3"/>
      <c r="X121" s="3"/>
      <c r="Y121" s="3"/>
      <c r="Z121" s="3" t="s">
        <v>863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2" customHeight="1">
      <c r="A122" s="3"/>
      <c r="B122" s="3"/>
      <c r="T122" s="3"/>
      <c r="U122" s="3"/>
      <c r="V122" s="3"/>
      <c r="W122" s="3"/>
      <c r="AL122" s="3"/>
      <c r="AM122" s="3"/>
      <c r="AN122" s="3"/>
      <c r="AO122" s="3"/>
      <c r="AP122" s="3"/>
      <c r="AQ122" s="3"/>
      <c r="AR122" s="3"/>
      <c r="AS122" s="3"/>
      <c r="AT122" s="3"/>
      <c r="AU122" s="3"/>
      <c r="AV122" s="3"/>
      <c r="AW122" s="3"/>
      <c r="AX122" s="3"/>
      <c r="AY122" s="3"/>
    </row>
    <row r="123" spans="1:51" ht="13.2" customHeight="1">
      <c r="A123" s="3"/>
      <c r="B123" s="3"/>
      <c r="T123" s="3"/>
      <c r="U123" s="3"/>
      <c r="V123" s="3"/>
      <c r="W123" s="3"/>
      <c r="X123" s="3"/>
      <c r="Y123" s="1481" t="s">
        <v>864</v>
      </c>
      <c r="Z123" s="1481"/>
      <c r="AA123" s="1481"/>
      <c r="AB123" s="1481"/>
      <c r="AC123" s="1481"/>
      <c r="AD123" s="1481"/>
      <c r="AE123" s="1481"/>
      <c r="AF123" s="1481"/>
      <c r="AG123" s="1481"/>
      <c r="AH123" s="1481"/>
      <c r="AI123" s="1481"/>
      <c r="AJ123" s="1481"/>
      <c r="AK123" s="1481"/>
      <c r="AL123" s="3"/>
      <c r="AM123" s="3"/>
      <c r="AN123" s="3"/>
      <c r="AO123" s="3"/>
      <c r="AP123" s="3"/>
      <c r="AQ123" s="3"/>
      <c r="AR123" s="3"/>
      <c r="AS123" s="3"/>
      <c r="AT123" s="3"/>
      <c r="AU123" s="3"/>
      <c r="AV123" s="3"/>
      <c r="AW123" s="3"/>
      <c r="AX123" s="3"/>
      <c r="AY123" s="3"/>
    </row>
    <row r="124" spans="1:51" ht="13.2" customHeight="1">
      <c r="A124" s="3"/>
      <c r="B124" s="3"/>
      <c r="T124" s="3"/>
      <c r="U124" s="3"/>
      <c r="V124" s="3"/>
      <c r="W124" s="3"/>
      <c r="X124" s="3"/>
      <c r="Y124" s="3"/>
      <c r="Z124" s="3" t="s">
        <v>865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2"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2" customHeight="1"/>
    <row r="127" spans="1:51" ht="13.2"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2" hidden="1" customHeight="1">
      <c r="A128" s="278"/>
      <c r="AL128" s="278"/>
      <c r="AM128" s="278"/>
      <c r="AN128" s="278"/>
      <c r="AO128" s="278"/>
      <c r="AP128" s="278"/>
      <c r="AQ128" s="278"/>
      <c r="AR128" s="278"/>
      <c r="AS128" s="278"/>
      <c r="AT128" s="278"/>
      <c r="AU128" s="278"/>
      <c r="AV128" s="278"/>
      <c r="AW128" s="278"/>
      <c r="AX128" s="278"/>
      <c r="AY128" s="278"/>
    </row>
    <row r="129" spans="1:51" ht="13.2" hidden="1" customHeight="1">
      <c r="A129" s="278"/>
      <c r="B129" s="3"/>
      <c r="R129" s="278"/>
      <c r="S129" s="278"/>
      <c r="T129" s="278"/>
      <c r="U129" s="278"/>
      <c r="V129" s="278"/>
      <c r="W129" s="278"/>
      <c r="AL129" s="278"/>
      <c r="AM129" s="278"/>
      <c r="AN129" s="278"/>
      <c r="AO129" s="278"/>
      <c r="AP129" s="278"/>
      <c r="AQ129" s="278"/>
      <c r="AR129" s="278"/>
      <c r="AS129" s="278"/>
      <c r="AT129" s="278"/>
      <c r="AU129" s="278"/>
      <c r="AV129" s="278"/>
      <c r="AW129" s="278"/>
      <c r="AX129" s="278"/>
      <c r="AY129" s="278"/>
    </row>
    <row r="130" spans="1:51" ht="13.2" hidden="1" customHeight="1">
      <c r="A130" s="3"/>
      <c r="B130" s="85"/>
      <c r="C130" s="278"/>
      <c r="R130" s="278"/>
      <c r="S130" s="278"/>
      <c r="T130" s="278"/>
      <c r="U130" s="278"/>
      <c r="V130" s="278"/>
      <c r="W130" s="278"/>
      <c r="AL130" s="3"/>
      <c r="AM130" s="3"/>
      <c r="AN130" s="3"/>
      <c r="AO130" s="3"/>
      <c r="AP130" s="3"/>
      <c r="AQ130" s="3"/>
      <c r="AR130" s="3"/>
      <c r="AS130" s="3"/>
      <c r="AT130" s="3"/>
      <c r="AU130" s="3"/>
      <c r="AV130" s="3"/>
      <c r="AW130" s="3"/>
      <c r="AX130" s="3"/>
      <c r="AY130" s="3"/>
    </row>
    <row r="131" spans="1:51" ht="13.2" hidden="1" customHeight="1">
      <c r="A131" s="3"/>
      <c r="AL131" s="3"/>
      <c r="AM131" s="3"/>
      <c r="AN131" s="3"/>
      <c r="AO131" s="3"/>
      <c r="AP131" s="3"/>
      <c r="AQ131" s="3"/>
      <c r="AR131" s="3"/>
      <c r="AS131" s="3"/>
      <c r="AT131" s="3"/>
      <c r="AU131" s="3"/>
      <c r="AV131" s="3"/>
      <c r="AW131" s="3"/>
      <c r="AX131" s="3"/>
      <c r="AY131" s="3"/>
    </row>
    <row r="132" spans="1:51" ht="13.2"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2" hidden="1" customHeight="1">
      <c r="A133" s="3"/>
      <c r="W133" s="3"/>
      <c r="AL133" s="3"/>
      <c r="AM133" s="3"/>
      <c r="AN133" s="3"/>
      <c r="AO133" s="3"/>
      <c r="AP133" s="3"/>
      <c r="AQ133" s="3"/>
      <c r="AR133" s="3"/>
      <c r="AS133" s="3"/>
      <c r="AT133" s="3"/>
      <c r="AU133" s="3"/>
      <c r="AV133" s="3"/>
      <c r="AW133" s="3"/>
      <c r="AX133" s="3"/>
      <c r="AY133" s="3"/>
    </row>
    <row r="134" spans="1:51" ht="13.2"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 hidden="1" customHeight="1">
      <c r="A135" s="3"/>
      <c r="M135" s="3"/>
      <c r="N135" s="3"/>
      <c r="O135" s="3"/>
      <c r="AK135" s="3"/>
      <c r="AL135" s="3"/>
      <c r="AM135" s="3"/>
      <c r="AN135" s="3"/>
      <c r="AO135" s="3"/>
      <c r="AP135" s="3"/>
      <c r="AQ135" s="3"/>
      <c r="AR135" s="3"/>
      <c r="AS135" s="3"/>
      <c r="AT135" s="3"/>
      <c r="AU135" s="3"/>
      <c r="AV135" s="3"/>
      <c r="AW135" s="3"/>
      <c r="AX135" s="3"/>
      <c r="AY135" s="3"/>
    </row>
    <row r="136" spans="1:51" ht="13.2"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 hidden="1" customHeight="1">
      <c r="A139" s="3"/>
      <c r="B139" s="3"/>
      <c r="C139" s="3"/>
      <c r="D139" s="3"/>
      <c r="E139" s="3"/>
      <c r="F139" s="3"/>
      <c r="G139" s="3"/>
      <c r="H139" s="3"/>
      <c r="I139" s="3"/>
      <c r="J139" s="3"/>
      <c r="K139" s="3"/>
      <c r="L139" s="3"/>
      <c r="M139" s="3"/>
      <c r="N139" s="3"/>
      <c r="O139" s="3"/>
      <c r="P139" s="3"/>
      <c r="Q139" s="3"/>
      <c r="R139" s="3"/>
      <c r="S139" s="85"/>
      <c r="T139" s="381"/>
      <c r="U139" s="381"/>
      <c r="V139" s="381"/>
      <c r="W139" s="381"/>
      <c r="X139" s="381"/>
      <c r="Y139" s="381"/>
      <c r="Z139" s="381"/>
      <c r="AA139" s="381"/>
      <c r="AB139" s="381"/>
      <c r="AC139" s="381"/>
      <c r="AD139" s="381"/>
      <c r="AE139" s="381"/>
      <c r="AF139" s="381"/>
      <c r="AG139" s="381"/>
      <c r="AH139" s="381"/>
      <c r="AI139" s="381"/>
      <c r="AJ139" s="381"/>
      <c r="AK139" s="3"/>
      <c r="AL139" s="3"/>
      <c r="AM139" s="3"/>
      <c r="AN139" s="3"/>
      <c r="AO139" s="3"/>
      <c r="AP139" s="3"/>
      <c r="AQ139" s="3"/>
      <c r="AR139" s="3"/>
      <c r="AS139" s="3"/>
      <c r="AT139" s="3"/>
      <c r="AU139" s="3"/>
      <c r="AV139" s="3"/>
      <c r="AW139" s="3"/>
      <c r="AX139" s="3"/>
      <c r="AY139" s="3"/>
    </row>
    <row r="140" spans="1:51" ht="13.2" hidden="1" customHeight="1">
      <c r="A140" s="3"/>
      <c r="B140" s="86"/>
      <c r="C140" s="381"/>
      <c r="D140" s="381"/>
      <c r="E140" s="381"/>
      <c r="F140" s="381"/>
      <c r="G140" s="381"/>
      <c r="H140" s="381"/>
      <c r="I140" s="381"/>
      <c r="J140" s="381"/>
      <c r="K140" s="381"/>
      <c r="L140" s="381"/>
      <c r="M140" s="381"/>
      <c r="N140" s="381"/>
      <c r="O140" s="381"/>
      <c r="P140" s="381"/>
      <c r="Q140" s="381"/>
      <c r="R140" s="381"/>
      <c r="S140" s="381"/>
      <c r="T140" s="381"/>
      <c r="U140" s="381"/>
      <c r="V140" s="381"/>
      <c r="W140" s="381"/>
      <c r="X140" s="381"/>
      <c r="Y140" s="381"/>
      <c r="Z140" s="381"/>
      <c r="AA140" s="381"/>
      <c r="AB140" s="381"/>
      <c r="AC140" s="381"/>
      <c r="AD140" s="381"/>
      <c r="AE140" s="381"/>
      <c r="AF140" s="381"/>
      <c r="AG140" s="381"/>
      <c r="AH140" s="381"/>
      <c r="AI140" s="381"/>
      <c r="AJ140" s="381"/>
      <c r="AK140" s="3"/>
      <c r="AL140" s="3"/>
      <c r="AM140" s="3"/>
      <c r="AN140" s="3"/>
      <c r="AO140" s="3"/>
      <c r="AP140" s="3"/>
      <c r="AQ140" s="3"/>
      <c r="AR140" s="3"/>
      <c r="AS140" s="3"/>
      <c r="AT140" s="3"/>
      <c r="AU140" s="3"/>
      <c r="AV140" s="3"/>
      <c r="AW140" s="3"/>
      <c r="AX140" s="3"/>
      <c r="AY140" s="3"/>
    </row>
    <row r="141" spans="1:51" ht="13.2" hidden="1" customHeight="1">
      <c r="A141" s="3"/>
      <c r="B141" s="86"/>
      <c r="C141" s="381"/>
      <c r="D141" s="381"/>
      <c r="E141" s="381"/>
      <c r="F141" s="381"/>
      <c r="G141" s="381"/>
      <c r="H141" s="381"/>
      <c r="I141" s="381"/>
      <c r="J141" s="381"/>
      <c r="K141" s="381"/>
      <c r="L141" s="381"/>
      <c r="M141" s="381"/>
      <c r="N141" s="381"/>
      <c r="O141" s="381"/>
      <c r="P141" s="381"/>
      <c r="Q141" s="381"/>
      <c r="R141" s="381"/>
      <c r="S141" s="381"/>
      <c r="T141" s="381"/>
      <c r="U141" s="381"/>
      <c r="V141" s="381"/>
      <c r="W141" s="381"/>
      <c r="X141" s="381"/>
      <c r="Y141" s="381"/>
      <c r="Z141" s="381"/>
      <c r="AA141" s="381"/>
      <c r="AB141" s="381"/>
      <c r="AC141" s="381"/>
      <c r="AD141" s="381"/>
      <c r="AE141" s="381"/>
      <c r="AF141" s="381"/>
      <c r="AG141" s="381"/>
      <c r="AH141" s="381"/>
      <c r="AI141" s="381"/>
      <c r="AJ141" s="381"/>
      <c r="AK141" s="3"/>
      <c r="AL141" s="3"/>
      <c r="AM141" s="3"/>
      <c r="AN141" s="3"/>
      <c r="AO141" s="3"/>
      <c r="AP141" s="3"/>
      <c r="AQ141" s="3"/>
      <c r="AR141" s="3"/>
      <c r="AS141" s="3"/>
      <c r="AT141" s="3"/>
      <c r="AU141" s="3"/>
      <c r="AV141" s="3"/>
      <c r="AW141" s="3"/>
      <c r="AX141" s="3"/>
      <c r="AY141" s="3"/>
    </row>
    <row r="142" spans="1:51" ht="13.2" hidden="1" customHeight="1">
      <c r="A142" s="3"/>
      <c r="B142" s="86"/>
      <c r="C142" s="367"/>
      <c r="D142" s="367"/>
      <c r="E142" s="367"/>
      <c r="F142" s="367"/>
      <c r="G142" s="367"/>
      <c r="H142" s="367"/>
      <c r="I142" s="367"/>
      <c r="J142" s="367"/>
      <c r="K142" s="367"/>
      <c r="L142" s="367"/>
      <c r="M142" s="367"/>
      <c r="N142" s="367"/>
      <c r="O142" s="367"/>
      <c r="P142" s="367"/>
      <c r="Q142" s="367"/>
      <c r="R142" s="367"/>
      <c r="S142" s="367"/>
      <c r="T142" s="367"/>
      <c r="U142" s="367"/>
      <c r="V142" s="367"/>
      <c r="W142" s="367"/>
      <c r="X142" s="367"/>
      <c r="Y142" s="367"/>
      <c r="Z142" s="367"/>
      <c r="AA142" s="367"/>
      <c r="AB142" s="367"/>
      <c r="AC142" s="367"/>
      <c r="AD142" s="367"/>
      <c r="AE142" s="367"/>
      <c r="AF142" s="367"/>
      <c r="AG142" s="367"/>
      <c r="AH142" s="367"/>
      <c r="AI142" s="367"/>
      <c r="AJ142" s="367"/>
      <c r="AK142" s="3"/>
      <c r="AL142" s="3"/>
      <c r="AM142" s="3"/>
      <c r="AN142" s="3"/>
      <c r="AO142" s="3"/>
      <c r="AP142" s="3"/>
      <c r="AQ142" s="3"/>
      <c r="AR142" s="3"/>
      <c r="AS142" s="3"/>
      <c r="AT142" s="3"/>
      <c r="AU142" s="3"/>
      <c r="AV142" s="3"/>
      <c r="AW142" s="3"/>
      <c r="AX142" s="3"/>
      <c r="AY142" s="3"/>
    </row>
    <row r="143" spans="1:51" ht="13.2" hidden="1" customHeight="1">
      <c r="A143" s="3"/>
      <c r="D143" s="367"/>
      <c r="E143" s="367"/>
      <c r="F143" s="367"/>
      <c r="G143" s="367"/>
      <c r="H143" s="367"/>
      <c r="I143" s="367"/>
      <c r="J143" s="367"/>
      <c r="K143" s="367"/>
      <c r="L143" s="367"/>
      <c r="M143" s="367"/>
      <c r="N143" s="367"/>
      <c r="O143" s="367"/>
      <c r="P143" s="367"/>
      <c r="Q143" s="367"/>
      <c r="R143" s="367"/>
      <c r="S143" s="367"/>
      <c r="T143" s="367"/>
      <c r="U143" s="367"/>
      <c r="V143" s="367"/>
      <c r="W143" s="367"/>
      <c r="X143" s="367"/>
      <c r="Y143" s="367"/>
      <c r="Z143" s="367"/>
      <c r="AA143" s="367"/>
      <c r="AB143" s="367"/>
      <c r="AC143" s="367"/>
      <c r="AD143" s="367"/>
      <c r="AE143" s="367"/>
      <c r="AF143" s="367"/>
      <c r="AG143" s="367"/>
      <c r="AH143" s="367"/>
      <c r="AI143" s="367"/>
      <c r="AJ143" s="367"/>
      <c r="AK143" s="3"/>
      <c r="AL143" s="3"/>
      <c r="AM143" s="3"/>
      <c r="AN143" s="3"/>
      <c r="AO143" s="3"/>
      <c r="AP143" s="3"/>
      <c r="AQ143" s="3"/>
      <c r="AR143" s="3"/>
      <c r="AS143" s="3"/>
      <c r="AT143" s="3"/>
      <c r="AU143" s="3"/>
      <c r="AV143" s="3"/>
      <c r="AW143" s="3"/>
      <c r="AX143" s="3"/>
      <c r="AY143" s="3"/>
    </row>
    <row r="144" spans="1:51" ht="13.2" hidden="1" customHeight="1">
      <c r="A144" s="3"/>
      <c r="B144" s="443"/>
      <c r="C144" s="367"/>
      <c r="D144" s="367"/>
      <c r="E144" s="367"/>
      <c r="F144" s="367"/>
      <c r="G144" s="367"/>
      <c r="H144" s="367"/>
      <c r="I144" s="367"/>
      <c r="J144" s="367"/>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7"/>
      <c r="AJ144" s="367"/>
      <c r="AK144" s="3"/>
      <c r="AL144" s="3"/>
      <c r="AM144" s="3"/>
      <c r="AN144" s="3"/>
      <c r="AO144" s="3"/>
      <c r="AP144" s="3"/>
      <c r="AQ144" s="3"/>
      <c r="AR144" s="3"/>
      <c r="AS144" s="3"/>
      <c r="AT144" s="3"/>
      <c r="AU144" s="3"/>
      <c r="AV144" s="3"/>
      <c r="AW144" s="3"/>
      <c r="AX144" s="3"/>
      <c r="AY144" s="3"/>
    </row>
    <row r="145" spans="1:72" ht="13.2" hidden="1" customHeight="1">
      <c r="A145" s="3"/>
      <c r="B145" s="3"/>
      <c r="C145" s="367"/>
      <c r="D145" s="367"/>
      <c r="E145" s="367"/>
      <c r="F145" s="367"/>
      <c r="G145" s="367"/>
      <c r="H145" s="367"/>
      <c r="I145" s="367"/>
      <c r="J145" s="367"/>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7"/>
      <c r="AJ145" s="367"/>
      <c r="AK145" s="3"/>
      <c r="AL145" s="3"/>
      <c r="AM145" s="3"/>
      <c r="AN145" s="3"/>
      <c r="AO145" s="3"/>
      <c r="AP145" s="3"/>
      <c r="AQ145" s="3"/>
      <c r="AR145" s="3"/>
      <c r="AS145" s="3"/>
      <c r="AT145" s="3"/>
      <c r="AU145" s="3"/>
      <c r="AV145" s="3"/>
      <c r="AW145" s="3"/>
      <c r="AX145" s="3"/>
      <c r="AY145" s="3"/>
    </row>
    <row r="146" spans="1:72" ht="13.2" hidden="1" customHeight="1">
      <c r="A146" s="3"/>
      <c r="D146" s="367"/>
      <c r="E146" s="367"/>
      <c r="F146" s="367"/>
      <c r="G146" s="367"/>
      <c r="H146" s="367"/>
      <c r="I146" s="367"/>
      <c r="J146" s="367"/>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7"/>
      <c r="AJ146" s="367"/>
      <c r="AK146" s="3"/>
      <c r="AL146" s="3"/>
      <c r="AM146" s="3"/>
      <c r="AN146" s="3"/>
      <c r="AO146" s="3"/>
      <c r="AP146" s="3"/>
      <c r="AQ146" s="3"/>
      <c r="AR146" s="3"/>
      <c r="AS146" s="3"/>
      <c r="AT146" s="3"/>
      <c r="AU146" s="3"/>
      <c r="AV146" s="3"/>
      <c r="AW146" s="3"/>
      <c r="AX146" s="3"/>
      <c r="AY146" s="3"/>
    </row>
    <row r="147" spans="1:72" ht="13.2" hidden="1" customHeight="1">
      <c r="A147" s="3"/>
      <c r="B147" s="44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2"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2"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2" customHeight="1">
      <c r="A150" s="3"/>
      <c r="B150" s="3"/>
      <c r="D150" s="3"/>
      <c r="E150" s="3"/>
      <c r="F150" s="1257"/>
      <c r="G150" s="1257"/>
      <c r="H150" s="1257"/>
      <c r="I150" s="1257"/>
      <c r="J150" s="1257"/>
      <c r="K150" s="1257"/>
      <c r="L150" s="1257"/>
      <c r="M150" s="1257"/>
      <c r="N150" s="1257"/>
      <c r="O150" s="1257"/>
      <c r="P150" s="1257"/>
      <c r="Q150" s="1257"/>
      <c r="R150" s="1257"/>
      <c r="S150" s="1257"/>
      <c r="T150" s="125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2"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2" customHeight="1"/>
    <row r="153" spans="1:72" ht="13.2" customHeight="1">
      <c r="D153" t="s">
        <v>866</v>
      </c>
      <c r="O153" s="1476" t="s">
        <v>867</v>
      </c>
      <c r="P153" s="1476"/>
      <c r="Q153" s="1476"/>
      <c r="R153" s="1476"/>
      <c r="S153" s="1476"/>
      <c r="T153" s="1476"/>
      <c r="U153" s="1476"/>
      <c r="V153" s="1476"/>
      <c r="W153" s="1476"/>
      <c r="X153" s="1476"/>
      <c r="Y153" s="1476"/>
      <c r="Z153" s="1476"/>
      <c r="AA153" s="1476"/>
      <c r="AB153" s="1476"/>
      <c r="AC153" s="1476"/>
      <c r="AD153" s="1476"/>
      <c r="AE153" s="1476"/>
      <c r="AF153" s="1476"/>
      <c r="AG153" s="1476"/>
      <c r="AH153" s="1476"/>
    </row>
    <row r="154" spans="1:72" ht="13.2" customHeight="1">
      <c r="D154" s="223" t="s">
        <v>868</v>
      </c>
      <c r="O154" s="1349" t="s">
        <v>869</v>
      </c>
      <c r="P154" s="1349"/>
      <c r="Q154" s="1349"/>
      <c r="R154" s="1349"/>
      <c r="S154" s="1349"/>
      <c r="T154" s="1349"/>
      <c r="U154" s="1349"/>
      <c r="V154" s="1349"/>
      <c r="W154" s="1349"/>
      <c r="X154" s="1349"/>
      <c r="Y154" s="1349"/>
      <c r="Z154" s="1349"/>
      <c r="AA154" s="1349"/>
      <c r="AB154" s="1349"/>
      <c r="AC154" s="1349"/>
      <c r="AD154" s="1349"/>
      <c r="AE154" s="1349"/>
      <c r="AF154" s="1349"/>
      <c r="AG154" s="1349"/>
      <c r="AH154" s="1349"/>
    </row>
    <row r="155" spans="1:72" ht="13.2" customHeight="1">
      <c r="D155" s="8" t="s">
        <v>870</v>
      </c>
      <c r="F155" s="8"/>
      <c r="G155" s="8"/>
      <c r="H155" s="8"/>
      <c r="I155" s="8"/>
      <c r="J155" s="8"/>
      <c r="K155" s="8"/>
      <c r="L155" s="8"/>
      <c r="M155" s="8"/>
      <c r="N155" s="8"/>
      <c r="O155" s="1491" t="s">
        <v>871</v>
      </c>
      <c r="P155" s="1491"/>
      <c r="Q155" s="1491"/>
      <c r="R155" s="1491"/>
      <c r="S155" s="1491"/>
      <c r="T155" s="1491"/>
      <c r="U155" s="1491"/>
      <c r="V155" s="1491"/>
      <c r="W155" s="1491"/>
      <c r="X155" s="1491"/>
      <c r="Y155" s="1491"/>
      <c r="Z155" s="1491"/>
      <c r="AA155" s="1491"/>
      <c r="AB155" s="1491"/>
      <c r="AC155" s="1491"/>
      <c r="AD155" s="1491"/>
      <c r="AE155" s="1491"/>
      <c r="AF155" s="1491"/>
      <c r="AG155" s="1491"/>
      <c r="AH155" s="1491"/>
    </row>
    <row r="156" spans="1:72" ht="13.2" customHeight="1">
      <c r="D156" t="s">
        <v>872</v>
      </c>
      <c r="O156" s="1381" t="s">
        <v>873</v>
      </c>
      <c r="P156" s="1381"/>
      <c r="Q156" s="1381"/>
      <c r="R156" s="1381"/>
      <c r="S156" s="1381"/>
      <c r="T156" s="1381"/>
      <c r="U156" s="1381"/>
      <c r="V156" s="1381"/>
      <c r="W156" s="1381"/>
      <c r="X156" s="1381"/>
      <c r="Y156" s="1381"/>
      <c r="Z156" s="1381"/>
      <c r="AA156" s="1381"/>
      <c r="AB156" s="1381"/>
      <c r="AC156" s="1381"/>
      <c r="AD156" s="1381"/>
      <c r="AE156" s="1381"/>
      <c r="AF156" s="1381"/>
      <c r="AG156" s="1381"/>
      <c r="AH156" s="1381"/>
      <c r="BT156" t="s">
        <v>294</v>
      </c>
    </row>
    <row r="157" spans="1:72" ht="13.2" customHeight="1">
      <c r="D157" t="s">
        <v>874</v>
      </c>
      <c r="O157" s="1476" t="s">
        <v>875</v>
      </c>
      <c r="P157" s="1476"/>
      <c r="Q157" s="1476"/>
      <c r="R157" s="1476"/>
      <c r="S157" s="1476"/>
      <c r="T157" s="1476"/>
      <c r="U157" s="1476"/>
      <c r="V157" s="1476"/>
      <c r="W157" s="1476"/>
      <c r="X157" s="1476"/>
      <c r="Y157" s="8"/>
      <c r="Z157" s="8"/>
      <c r="AA157" s="8"/>
      <c r="AB157" s="8"/>
      <c r="AC157" s="8"/>
      <c r="AD157" s="8"/>
      <c r="AE157" s="8"/>
      <c r="AF157" s="8"/>
      <c r="BN157" s="140" t="s">
        <v>876</v>
      </c>
      <c r="BT157" t="s">
        <v>877</v>
      </c>
    </row>
    <row r="158" spans="1:72" ht="13.2" customHeight="1">
      <c r="D158" t="s">
        <v>878</v>
      </c>
      <c r="O158" s="1507">
        <v>91801</v>
      </c>
      <c r="P158" s="1507"/>
      <c r="Q158" s="1507"/>
      <c r="R158" s="1507"/>
      <c r="S158" s="9"/>
      <c r="T158" s="9"/>
      <c r="U158" s="9"/>
      <c r="V158" s="9"/>
      <c r="W158" s="9"/>
      <c r="X158" s="9"/>
      <c r="Y158" s="9"/>
      <c r="Z158" s="9"/>
      <c r="AA158" s="9"/>
      <c r="AB158" s="9"/>
      <c r="AC158" s="9"/>
      <c r="AD158" s="9"/>
      <c r="AE158" s="9"/>
      <c r="AF158" s="9"/>
      <c r="BN158" s="140" t="s">
        <v>879</v>
      </c>
      <c r="BT158" t="s">
        <v>880</v>
      </c>
    </row>
    <row r="159" spans="1:72" ht="13.2" customHeight="1">
      <c r="D159" t="s">
        <v>881</v>
      </c>
      <c r="O159" s="1498" t="s">
        <v>882</v>
      </c>
      <c r="P159" s="1498"/>
      <c r="Q159" s="1498"/>
      <c r="R159" s="1498"/>
      <c r="S159" s="1498"/>
      <c r="T159" s="1498"/>
      <c r="V159" s="73" t="s">
        <v>883</v>
      </c>
      <c r="W159" s="1508"/>
      <c r="X159" s="1508"/>
      <c r="Y159" s="10"/>
      <c r="Z159" s="10"/>
      <c r="AA159" s="10"/>
      <c r="AB159" s="10"/>
      <c r="AC159" s="10"/>
      <c r="AD159" s="10"/>
      <c r="AE159" s="10"/>
      <c r="AF159" s="10"/>
      <c r="BN159" s="140" t="s">
        <v>884</v>
      </c>
      <c r="BT159" t="s">
        <v>885</v>
      </c>
    </row>
    <row r="160" spans="1:72" ht="13.2" customHeight="1">
      <c r="D160" t="s">
        <v>886</v>
      </c>
      <c r="O160" s="1474" t="s">
        <v>887</v>
      </c>
      <c r="P160" s="1498"/>
      <c r="Q160" s="1498"/>
      <c r="R160" s="1498"/>
      <c r="S160" s="1498"/>
      <c r="T160" s="1498"/>
      <c r="U160" s="10"/>
      <c r="V160" s="10"/>
      <c r="W160" s="10"/>
      <c r="X160" s="10"/>
      <c r="Y160" s="10"/>
      <c r="Z160" s="10"/>
      <c r="AA160" s="10"/>
      <c r="AB160" s="10"/>
      <c r="AC160" s="10"/>
      <c r="AD160" s="10"/>
      <c r="AE160" s="10"/>
      <c r="AF160" s="10"/>
      <c r="BN160" s="140" t="s">
        <v>888</v>
      </c>
      <c r="BT160" t="s">
        <v>889</v>
      </c>
    </row>
    <row r="161" spans="1:72" ht="13.2" customHeight="1">
      <c r="D161" t="s">
        <v>890</v>
      </c>
      <c r="O161" s="1473" t="s">
        <v>891</v>
      </c>
      <c r="P161" s="1473"/>
      <c r="Q161" s="1473"/>
      <c r="R161" s="1473"/>
      <c r="S161" s="1473"/>
      <c r="T161" s="1473"/>
      <c r="U161" s="1473"/>
      <c r="V161" s="1473"/>
      <c r="W161" s="1473"/>
      <c r="X161" s="1473"/>
      <c r="Y161" s="1473"/>
      <c r="Z161" s="1473"/>
      <c r="AA161" s="1473"/>
      <c r="AB161" s="1473"/>
      <c r="AC161" s="1473"/>
      <c r="AD161" s="1473"/>
      <c r="AE161" s="1473"/>
      <c r="AF161" s="1473"/>
      <c r="AG161" s="1473"/>
      <c r="AH161" s="1473"/>
      <c r="BJ161" t="s">
        <v>892</v>
      </c>
      <c r="BN161" s="140" t="s">
        <v>893</v>
      </c>
      <c r="BT161" t="s">
        <v>894</v>
      </c>
    </row>
    <row r="162" spans="1:72" ht="13.2"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836</v>
      </c>
      <c r="BN162" s="140" t="s">
        <v>895</v>
      </c>
      <c r="BT162" t="s">
        <v>896</v>
      </c>
    </row>
    <row r="163" spans="1:72" ht="13.2" customHeight="1">
      <c r="C163" s="24" t="s">
        <v>897</v>
      </c>
      <c r="D163" s="3" t="s">
        <v>898</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899</v>
      </c>
      <c r="BT163" t="s">
        <v>900</v>
      </c>
    </row>
    <row r="164" spans="1:72" ht="13.2" customHeight="1">
      <c r="C164" s="24"/>
      <c r="D164" s="1483" t="s">
        <v>901</v>
      </c>
      <c r="E164" s="1483"/>
      <c r="F164" s="1483"/>
      <c r="G164" s="1483"/>
      <c r="H164" s="1483"/>
      <c r="I164" s="1483"/>
      <c r="J164" s="1483"/>
      <c r="K164" s="1483"/>
      <c r="L164" s="1483"/>
      <c r="M164" s="1483"/>
      <c r="N164" s="1483"/>
      <c r="O164" s="1483"/>
      <c r="P164" s="1483"/>
      <c r="Q164" s="1483"/>
      <c r="R164" s="1483"/>
      <c r="S164" s="1483"/>
      <c r="T164" s="1483"/>
      <c r="U164" s="1483"/>
      <c r="V164" s="1483"/>
      <c r="W164" s="1483"/>
      <c r="X164" s="1483"/>
      <c r="Y164" s="1483"/>
      <c r="Z164" s="1483"/>
      <c r="AA164" s="1483"/>
      <c r="AB164" s="1483"/>
      <c r="AC164" s="1483"/>
      <c r="AD164" s="1483"/>
      <c r="AE164" s="1483"/>
      <c r="AF164" s="1483"/>
      <c r="AG164" s="1483"/>
      <c r="AH164" s="1483"/>
      <c r="BN164" s="140" t="s">
        <v>902</v>
      </c>
      <c r="BT164" t="s">
        <v>903</v>
      </c>
    </row>
    <row r="165" spans="1:72" ht="13.2" customHeight="1">
      <c r="C165" s="24"/>
      <c r="D165" s="74"/>
      <c r="E165" s="74"/>
      <c r="F165" s="74"/>
      <c r="G165" s="74"/>
      <c r="H165" s="74"/>
      <c r="I165" s="74"/>
      <c r="J165" s="74"/>
      <c r="K165" s="74"/>
      <c r="L165" s="74"/>
      <c r="M165" s="74"/>
      <c r="N165" s="74"/>
      <c r="O165" s="1151"/>
      <c r="P165" s="1151"/>
      <c r="Q165" s="1151"/>
      <c r="R165" s="1151"/>
      <c r="S165" s="1151"/>
      <c r="T165" s="1151"/>
      <c r="U165" s="1151"/>
      <c r="V165" s="1151"/>
      <c r="W165" s="1151"/>
      <c r="X165" s="1151"/>
      <c r="Y165" s="1151"/>
      <c r="Z165" s="1151"/>
      <c r="AA165" s="117"/>
      <c r="AB165" s="117"/>
      <c r="AC165" s="117"/>
      <c r="AD165" s="117"/>
      <c r="AE165" s="117"/>
      <c r="AF165" s="117"/>
      <c r="AG165" s="117"/>
      <c r="AH165" s="117"/>
      <c r="BN165" s="140" t="s">
        <v>904</v>
      </c>
      <c r="BT165" t="s">
        <v>905</v>
      </c>
    </row>
    <row r="166" spans="1:72" ht="13.2" customHeight="1">
      <c r="B166" s="2"/>
      <c r="C166" s="24"/>
      <c r="D166" s="74"/>
      <c r="E166" s="74"/>
      <c r="F166" s="74"/>
      <c r="G166" s="74"/>
      <c r="H166" s="74"/>
      <c r="I166" s="74"/>
      <c r="J166" s="74"/>
      <c r="K166" s="74"/>
      <c r="L166" s="74"/>
      <c r="M166" s="74"/>
      <c r="N166" s="74"/>
      <c r="O166" s="1151"/>
      <c r="P166" s="1151"/>
      <c r="Q166" s="1151"/>
      <c r="R166" s="1151"/>
      <c r="S166" s="1151"/>
      <c r="T166" s="1151"/>
      <c r="U166" s="1151"/>
      <c r="V166" s="1151"/>
      <c r="W166" s="1151"/>
      <c r="X166" s="1151"/>
      <c r="Y166" s="1151"/>
      <c r="Z166" s="1151"/>
      <c r="AA166" s="117"/>
      <c r="AB166" s="117"/>
      <c r="AC166" s="117"/>
      <c r="AD166" s="117"/>
      <c r="AE166" s="117"/>
      <c r="AF166" s="117"/>
      <c r="AG166" s="117"/>
      <c r="AH166" s="117"/>
      <c r="BN166" s="140" t="s">
        <v>906</v>
      </c>
      <c r="BT166" t="s">
        <v>907</v>
      </c>
    </row>
    <row r="167" spans="1:72" ht="13.2" customHeight="1">
      <c r="B167" s="2"/>
      <c r="C167" s="24"/>
      <c r="D167" s="74"/>
      <c r="E167" s="74"/>
      <c r="F167" s="74"/>
      <c r="G167" s="74"/>
      <c r="H167" s="74"/>
      <c r="I167" s="74"/>
      <c r="J167" s="74"/>
      <c r="K167" s="74"/>
      <c r="L167" s="74"/>
      <c r="M167" s="74"/>
      <c r="N167" s="74"/>
      <c r="O167" s="1151"/>
      <c r="P167" s="1151"/>
      <c r="Q167" s="1151"/>
      <c r="R167" s="1151"/>
      <c r="S167" s="1151"/>
      <c r="T167" s="1151"/>
      <c r="U167" s="1151"/>
      <c r="V167" s="1151"/>
      <c r="W167" s="1151"/>
      <c r="X167" s="1151"/>
      <c r="Y167" s="1151"/>
      <c r="Z167" s="1151"/>
      <c r="AA167" s="117"/>
      <c r="AB167" s="117"/>
      <c r="AC167" s="117"/>
      <c r="AD167" s="117"/>
      <c r="AE167" s="117"/>
      <c r="AF167" s="117"/>
      <c r="AG167" s="117"/>
      <c r="AH167" s="117"/>
      <c r="BN167" s="140" t="s">
        <v>908</v>
      </c>
      <c r="BT167" t="s">
        <v>909</v>
      </c>
    </row>
    <row r="168" spans="1:72" ht="13.2"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910</v>
      </c>
      <c r="BT168" t="s">
        <v>911</v>
      </c>
    </row>
    <row r="169" spans="1:72" ht="13.2" customHeight="1">
      <c r="A169" s="1478" t="s">
        <v>912</v>
      </c>
      <c r="B169" s="1478"/>
      <c r="C169" s="1478"/>
      <c r="D169" s="1478"/>
      <c r="E169" s="1478"/>
      <c r="F169" s="1478"/>
      <c r="G169" s="1478"/>
      <c r="H169" s="1478"/>
      <c r="I169" s="1478"/>
      <c r="J169" s="1478"/>
      <c r="K169" s="1478"/>
      <c r="L169" s="1478"/>
      <c r="M169" s="1478"/>
      <c r="N169" s="1478"/>
      <c r="O169" s="1478"/>
      <c r="P169" s="1478"/>
      <c r="Q169" s="1478"/>
      <c r="R169" s="1478"/>
      <c r="S169" s="1478"/>
      <c r="T169" s="1478"/>
      <c r="U169" s="1478"/>
      <c r="V169" s="1478"/>
      <c r="W169" s="1478"/>
      <c r="X169" s="1478"/>
      <c r="Y169" s="1478"/>
      <c r="Z169" s="1478"/>
      <c r="AA169" s="1478"/>
      <c r="AB169" s="1478"/>
      <c r="AC169" s="1478"/>
      <c r="AD169" s="1478"/>
      <c r="AE169" s="1478"/>
      <c r="AF169" s="1478"/>
      <c r="AG169" s="1478"/>
      <c r="AH169" s="1478"/>
      <c r="AI169" s="1478"/>
      <c r="AJ169" s="1478"/>
      <c r="AK169" s="1478"/>
      <c r="AL169" s="1478"/>
      <c r="AM169" s="1478"/>
      <c r="AN169" s="1478"/>
      <c r="AO169" s="1478"/>
      <c r="AP169" s="1478"/>
      <c r="AQ169" s="1478"/>
      <c r="AR169" s="1478"/>
      <c r="AS169" s="1478"/>
      <c r="AT169" s="1478"/>
      <c r="AU169" s="71"/>
      <c r="AV169" s="71"/>
      <c r="AW169" s="71"/>
      <c r="AX169" s="71"/>
      <c r="AY169" s="71"/>
      <c r="BN169" s="140" t="s">
        <v>913</v>
      </c>
      <c r="BT169" t="s">
        <v>914</v>
      </c>
    </row>
    <row r="170" spans="1:72" ht="13.2" customHeight="1">
      <c r="A170" s="1478"/>
      <c r="B170" s="1478"/>
      <c r="C170" s="1478"/>
      <c r="D170" s="1478"/>
      <c r="E170" s="1478"/>
      <c r="F170" s="1478"/>
      <c r="G170" s="1478"/>
      <c r="H170" s="1478"/>
      <c r="I170" s="1478"/>
      <c r="J170" s="1478"/>
      <c r="K170" s="1478"/>
      <c r="L170" s="1478"/>
      <c r="M170" s="1478"/>
      <c r="N170" s="1478"/>
      <c r="O170" s="1478"/>
      <c r="P170" s="1478"/>
      <c r="Q170" s="1478"/>
      <c r="R170" s="1478"/>
      <c r="S170" s="1478"/>
      <c r="T170" s="1478"/>
      <c r="U170" s="1478"/>
      <c r="V170" s="1478"/>
      <c r="W170" s="1478"/>
      <c r="X170" s="1478"/>
      <c r="Y170" s="1478"/>
      <c r="Z170" s="1478"/>
      <c r="AA170" s="1478"/>
      <c r="AB170" s="1478"/>
      <c r="AC170" s="1478"/>
      <c r="AD170" s="1478"/>
      <c r="AE170" s="1478"/>
      <c r="AF170" s="1478"/>
      <c r="AG170" s="1478"/>
      <c r="AH170" s="1478"/>
      <c r="AI170" s="1478"/>
      <c r="AJ170" s="1478"/>
      <c r="AK170" s="1478"/>
      <c r="AL170" s="1478"/>
      <c r="AM170" s="1478"/>
      <c r="AN170" s="1478"/>
      <c r="AO170" s="1478"/>
      <c r="AP170" s="1478"/>
      <c r="AQ170" s="1478"/>
      <c r="AR170" s="1478"/>
      <c r="AS170" s="1478"/>
      <c r="AT170" s="1478"/>
      <c r="AU170" s="71"/>
      <c r="AV170" s="71"/>
      <c r="AW170" s="71"/>
      <c r="AX170" s="71"/>
      <c r="AY170" s="71"/>
      <c r="BN170" s="140" t="s">
        <v>915</v>
      </c>
      <c r="BT170" t="s">
        <v>916</v>
      </c>
    </row>
    <row r="171" spans="1:72" ht="13.2" customHeight="1">
      <c r="BN171" s="140" t="s">
        <v>917</v>
      </c>
      <c r="BT171" t="s">
        <v>918</v>
      </c>
    </row>
    <row r="172" spans="1:72" ht="13.2" customHeight="1">
      <c r="A172" s="2" t="s">
        <v>919</v>
      </c>
      <c r="C172" s="2" t="s">
        <v>90</v>
      </c>
      <c r="BN172" s="140" t="s">
        <v>920</v>
      </c>
      <c r="BT172" t="s">
        <v>921</v>
      </c>
    </row>
    <row r="173" spans="1:72" ht="13.2" customHeight="1">
      <c r="C173" s="21"/>
      <c r="D173" t="s">
        <v>922</v>
      </c>
      <c r="J173" s="1490" t="s">
        <v>923</v>
      </c>
      <c r="K173" s="1490"/>
      <c r="L173" s="1490"/>
      <c r="M173" s="1490"/>
      <c r="N173" s="1490"/>
      <c r="O173" s="1490"/>
      <c r="P173" s="1490"/>
      <c r="Q173" s="1490"/>
      <c r="R173" s="1490"/>
      <c r="S173" s="1490"/>
      <c r="U173" s="22"/>
      <c r="X173" s="22"/>
      <c r="BB173" s="3" t="s">
        <v>294</v>
      </c>
      <c r="BN173" s="140" t="s">
        <v>924</v>
      </c>
      <c r="BT173" t="s">
        <v>925</v>
      </c>
    </row>
    <row r="174" spans="1:72" ht="13.2" customHeight="1">
      <c r="C174" s="21"/>
      <c r="D174" s="3" t="s">
        <v>926</v>
      </c>
      <c r="J174" s="1381" t="s">
        <v>927</v>
      </c>
      <c r="K174" s="1381"/>
      <c r="L174" s="1381"/>
      <c r="M174" s="1381"/>
      <c r="N174" s="1381"/>
      <c r="O174" s="1381"/>
      <c r="P174" s="1381"/>
      <c r="Q174" s="1381"/>
      <c r="R174" s="1381"/>
      <c r="S174" s="1381"/>
      <c r="T174" s="1381"/>
      <c r="U174" s="1381"/>
      <c r="V174" s="1381"/>
      <c r="W174" s="1381"/>
      <c r="X174" s="1381"/>
      <c r="Y174" s="1381"/>
      <c r="Z174" s="1381"/>
      <c r="AA174" s="1381"/>
      <c r="AB174" s="1381"/>
      <c r="BB174" t="s">
        <v>928</v>
      </c>
      <c r="BN174" s="140" t="s">
        <v>929</v>
      </c>
      <c r="BT174" t="s">
        <v>930</v>
      </c>
    </row>
    <row r="175" spans="1:72" ht="13.2" customHeight="1">
      <c r="C175" s="8"/>
      <c r="D175" s="3" t="s">
        <v>931</v>
      </c>
      <c r="O175" s="24"/>
      <c r="U175" s="1348" t="s">
        <v>892</v>
      </c>
      <c r="V175" s="1348"/>
      <c r="BB175" t="s">
        <v>932</v>
      </c>
      <c r="BN175" s="140" t="s">
        <v>933</v>
      </c>
      <c r="BT175" t="s">
        <v>934</v>
      </c>
    </row>
    <row r="176" spans="1:72" ht="13.2" customHeight="1">
      <c r="C176" s="8"/>
      <c r="D176" s="23"/>
      <c r="E176" t="s">
        <v>935</v>
      </c>
      <c r="O176" s="24"/>
      <c r="P176" t="s">
        <v>936</v>
      </c>
      <c r="T176" s="24" t="s">
        <v>937</v>
      </c>
      <c r="U176" s="1486"/>
      <c r="V176" s="1486"/>
      <c r="W176" s="1" t="s">
        <v>938</v>
      </c>
      <c r="X176" s="1496"/>
      <c r="Y176" s="1496"/>
      <c r="BB176" t="s">
        <v>939</v>
      </c>
      <c r="BN176" s="140" t="s">
        <v>940</v>
      </c>
      <c r="BT176" t="s">
        <v>941</v>
      </c>
    </row>
    <row r="177" spans="1:72" ht="13.2" customHeight="1">
      <c r="C177" s="21"/>
      <c r="D177" t="s">
        <v>942</v>
      </c>
      <c r="R177" s="1348" t="s">
        <v>892</v>
      </c>
      <c r="S177" s="1348"/>
      <c r="BB177" t="s">
        <v>943</v>
      </c>
      <c r="BN177" s="140" t="s">
        <v>944</v>
      </c>
      <c r="BT177" t="s">
        <v>945</v>
      </c>
    </row>
    <row r="178" spans="1:72" ht="13.2" customHeight="1">
      <c r="C178" s="21"/>
      <c r="D178" s="3" t="s">
        <v>946</v>
      </c>
      <c r="AA178" t="s">
        <v>936</v>
      </c>
      <c r="AE178" s="24" t="s">
        <v>937</v>
      </c>
      <c r="AF178" s="1499"/>
      <c r="AG178" s="1499"/>
      <c r="AH178" s="1" t="s">
        <v>938</v>
      </c>
      <c r="AI178" s="1463"/>
      <c r="AJ178" s="1463"/>
      <c r="AK178" s="1463"/>
      <c r="BB178" t="s">
        <v>947</v>
      </c>
      <c r="BN178" s="140" t="s">
        <v>948</v>
      </c>
      <c r="BT178" t="s">
        <v>949</v>
      </c>
    </row>
    <row r="179" spans="1:72" ht="13.2" customHeight="1">
      <c r="C179" s="21"/>
      <c r="BN179" s="140" t="s">
        <v>950</v>
      </c>
      <c r="BT179" t="s">
        <v>951</v>
      </c>
    </row>
    <row r="180" spans="1:72" ht="13.2" customHeight="1">
      <c r="C180" s="21"/>
      <c r="D180" t="s">
        <v>952</v>
      </c>
      <c r="X180" s="1348" t="s">
        <v>892</v>
      </c>
      <c r="Y180" s="1348"/>
      <c r="BN180" s="140" t="s">
        <v>953</v>
      </c>
      <c r="BT180" t="s">
        <v>954</v>
      </c>
    </row>
    <row r="181" spans="1:72" ht="13.2" customHeight="1">
      <c r="C181" s="8"/>
      <c r="E181" s="3" t="s">
        <v>955</v>
      </c>
      <c r="BN181" s="140" t="s">
        <v>956</v>
      </c>
      <c r="BT181" t="s">
        <v>957</v>
      </c>
    </row>
    <row r="182" spans="1:72" ht="13.2" customHeight="1">
      <c r="C182" s="454"/>
      <c r="BN182" s="140" t="s">
        <v>958</v>
      </c>
      <c r="BT182" t="s">
        <v>959</v>
      </c>
    </row>
    <row r="183" spans="1:72" ht="13.2" customHeight="1">
      <c r="A183" s="2" t="s">
        <v>960</v>
      </c>
      <c r="C183" s="2" t="s">
        <v>92</v>
      </c>
      <c r="BN183" s="140" t="s">
        <v>961</v>
      </c>
      <c r="BT183" t="s">
        <v>962</v>
      </c>
    </row>
    <row r="184" spans="1:72" ht="13.2" customHeight="1">
      <c r="C184" s="19"/>
      <c r="D184" t="s">
        <v>963</v>
      </c>
      <c r="I184" s="1449" t="str">
        <f>H18</f>
        <v>VA Building 408</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964</v>
      </c>
      <c r="BN184" s="140" t="s">
        <v>965</v>
      </c>
      <c r="BT184" t="s">
        <v>966</v>
      </c>
    </row>
    <row r="185" spans="1:72" ht="13.2" customHeight="1">
      <c r="C185" s="19"/>
      <c r="D185" t="s">
        <v>967</v>
      </c>
      <c r="I185" s="1329" t="s">
        <v>968</v>
      </c>
      <c r="J185" s="1329"/>
      <c r="K185" s="1329"/>
      <c r="L185" s="1329"/>
      <c r="M185" s="1329"/>
      <c r="N185" s="1329"/>
      <c r="O185" s="1329"/>
      <c r="P185" s="1329"/>
      <c r="Q185" s="1329"/>
      <c r="R185" s="1329"/>
      <c r="S185" s="1329"/>
      <c r="T185" s="1329"/>
      <c r="U185" s="1329"/>
      <c r="V185" s="1329"/>
      <c r="W185" s="1329"/>
      <c r="X185" s="1329"/>
      <c r="Y185" s="1329"/>
      <c r="Z185" s="1329"/>
      <c r="AA185" s="1329"/>
      <c r="AB185" s="1329"/>
      <c r="AC185" s="1329"/>
      <c r="AD185" s="1329"/>
      <c r="AE185" s="1329"/>
      <c r="BC185" t="s">
        <v>969</v>
      </c>
      <c r="BN185" s="140" t="s">
        <v>970</v>
      </c>
      <c r="BT185" t="s">
        <v>971</v>
      </c>
    </row>
    <row r="186" spans="1:72" ht="13.2" customHeight="1">
      <c r="C186" s="19"/>
      <c r="E186" t="s">
        <v>972</v>
      </c>
      <c r="BN186" s="140" t="s">
        <v>973</v>
      </c>
      <c r="BT186" t="s">
        <v>974</v>
      </c>
    </row>
    <row r="187" spans="1:72" ht="13.2" customHeight="1">
      <c r="C187" s="19"/>
      <c r="E187" s="1414"/>
      <c r="F187" s="1414"/>
      <c r="G187" s="1414"/>
      <c r="H187" s="1414"/>
      <c r="I187" s="1414"/>
      <c r="J187" s="1414"/>
      <c r="K187" s="1414"/>
      <c r="L187" s="1414"/>
      <c r="M187" s="1414"/>
      <c r="N187" s="1414"/>
      <c r="O187" s="1414"/>
      <c r="P187" s="1414"/>
      <c r="Q187" s="1414"/>
      <c r="R187" s="1414"/>
      <c r="S187" s="1414"/>
      <c r="T187" s="1414"/>
      <c r="U187" s="1414"/>
      <c r="V187" s="1414"/>
      <c r="W187" s="1414"/>
      <c r="X187" s="1414"/>
      <c r="Y187" s="1414"/>
      <c r="Z187" s="1414"/>
      <c r="AA187" s="1414"/>
      <c r="AB187" s="1414"/>
      <c r="AC187" s="1414"/>
      <c r="AD187" s="1414"/>
      <c r="AE187" s="1414"/>
      <c r="BN187" s="140" t="s">
        <v>975</v>
      </c>
      <c r="BT187" t="s">
        <v>976</v>
      </c>
    </row>
    <row r="188" spans="1:72" ht="13.2" customHeight="1">
      <c r="C188" s="19"/>
      <c r="E188" s="1397"/>
      <c r="F188" s="1397"/>
      <c r="G188" s="1397"/>
      <c r="H188" s="1397"/>
      <c r="I188" s="1397"/>
      <c r="J188" s="1397"/>
      <c r="K188" s="1397"/>
      <c r="L188" s="1397"/>
      <c r="M188" s="1397"/>
      <c r="N188" s="1397"/>
      <c r="O188" s="1397"/>
      <c r="P188" s="1397"/>
      <c r="Q188" s="1397"/>
      <c r="R188" s="1397"/>
      <c r="S188" s="1397"/>
      <c r="T188" s="1397"/>
      <c r="U188" s="1397"/>
      <c r="V188" s="1397"/>
      <c r="W188" s="1397"/>
      <c r="X188" s="1397"/>
      <c r="Y188" s="1397"/>
      <c r="Z188" s="1397"/>
      <c r="AA188" s="1397"/>
      <c r="AB188" s="1397"/>
      <c r="AC188" s="1397"/>
      <c r="AD188" s="1397"/>
      <c r="AE188" s="1397"/>
      <c r="BN188" s="140" t="s">
        <v>977</v>
      </c>
      <c r="BT188" t="s">
        <v>978</v>
      </c>
    </row>
    <row r="189" spans="1:72" ht="13.2" customHeight="1">
      <c r="C189" s="19"/>
      <c r="D189" t="s">
        <v>979</v>
      </c>
      <c r="I189" s="1381" t="s">
        <v>934</v>
      </c>
      <c r="J189" s="1381"/>
      <c r="K189" s="1381"/>
      <c r="L189" s="1381"/>
      <c r="M189" s="1381"/>
      <c r="N189" s="1381"/>
      <c r="O189" s="1381"/>
      <c r="P189" s="1381"/>
      <c r="Q189" t="s">
        <v>980</v>
      </c>
      <c r="T189" s="1381" t="s">
        <v>934</v>
      </c>
      <c r="U189" s="1381"/>
      <c r="V189" s="1381"/>
      <c r="W189" s="1381"/>
      <c r="X189" s="1381"/>
      <c r="Y189" s="1381"/>
      <c r="Z189" s="1381"/>
      <c r="AA189" s="1381"/>
      <c r="AB189" s="1381"/>
      <c r="AC189" s="1381"/>
      <c r="AD189" s="1381"/>
      <c r="AE189" s="1381"/>
      <c r="BC189" t="s">
        <v>294</v>
      </c>
      <c r="BH189" s="3" t="s">
        <v>299</v>
      </c>
      <c r="BN189" s="140" t="s">
        <v>981</v>
      </c>
      <c r="BT189" t="s">
        <v>982</v>
      </c>
    </row>
    <row r="190" spans="1:72" ht="13.2" customHeight="1">
      <c r="C190" s="19"/>
      <c r="D190" t="s">
        <v>983</v>
      </c>
      <c r="I190" s="1329">
        <v>90073</v>
      </c>
      <c r="J190" s="1329"/>
      <c r="K190" s="1329"/>
      <c r="L190" s="1329"/>
      <c r="M190" s="1329"/>
      <c r="N190" s="1329"/>
      <c r="O190" t="s">
        <v>984</v>
      </c>
      <c r="T190" s="1500" t="s">
        <v>2798</v>
      </c>
      <c r="U190" s="1501"/>
      <c r="V190" s="1501"/>
      <c r="W190" s="1501"/>
      <c r="X190" s="1501"/>
      <c r="Y190" s="1501"/>
      <c r="Z190" s="1501"/>
      <c r="AA190" s="1501"/>
      <c r="AB190" s="1501"/>
      <c r="AC190" s="1501"/>
      <c r="AD190" s="1501"/>
      <c r="AE190" s="1501"/>
      <c r="BC190" t="s">
        <v>985</v>
      </c>
      <c r="BH190" t="s">
        <v>985</v>
      </c>
      <c r="BN190" s="140" t="s">
        <v>986</v>
      </c>
      <c r="BT190" t="s">
        <v>987</v>
      </c>
    </row>
    <row r="191" spans="1:72" ht="13.2" customHeight="1">
      <c r="C191" s="19"/>
      <c r="D191" t="s">
        <v>988</v>
      </c>
      <c r="N191" s="1414" t="s">
        <v>989</v>
      </c>
      <c r="O191" s="1414"/>
      <c r="P191" s="1414"/>
      <c r="Q191" s="1414"/>
      <c r="R191" s="1414"/>
      <c r="S191" s="1414"/>
      <c r="T191" s="1414"/>
      <c r="U191" s="1414"/>
      <c r="V191" s="1414"/>
      <c r="W191" s="1414"/>
      <c r="X191" s="1414"/>
      <c r="Y191" s="1414"/>
      <c r="Z191" s="1414"/>
      <c r="AA191" s="1414"/>
      <c r="AB191" s="1414"/>
      <c r="AC191" s="1414"/>
      <c r="AD191" s="1414"/>
      <c r="AE191" s="1414"/>
      <c r="BC191" t="s">
        <v>990</v>
      </c>
      <c r="BH191" t="s">
        <v>990</v>
      </c>
      <c r="BN191" s="140" t="s">
        <v>991</v>
      </c>
      <c r="BT191" t="s">
        <v>992</v>
      </c>
    </row>
    <row r="192" spans="1:72" ht="13.2" customHeight="1">
      <c r="C192" s="19"/>
      <c r="M192" s="33"/>
      <c r="N192" s="1397"/>
      <c r="O192" s="1397"/>
      <c r="P192" s="1397"/>
      <c r="Q192" s="1397"/>
      <c r="R192" s="1397"/>
      <c r="S192" s="1397"/>
      <c r="T192" s="1397"/>
      <c r="U192" s="1397"/>
      <c r="V192" s="1397"/>
      <c r="W192" s="1397"/>
      <c r="X192" s="1397"/>
      <c r="Y192" s="1397"/>
      <c r="Z192" s="1397"/>
      <c r="AA192" s="1397"/>
      <c r="AB192" s="1397"/>
      <c r="AC192" s="1397"/>
      <c r="AD192" s="1397"/>
      <c r="AE192" s="1397"/>
      <c r="BC192" t="s">
        <v>993</v>
      </c>
      <c r="BH192" s="3" t="s">
        <v>994</v>
      </c>
      <c r="BN192" s="140" t="s">
        <v>995</v>
      </c>
      <c r="BT192" t="s">
        <v>996</v>
      </c>
    </row>
    <row r="193" spans="1:74" ht="13.2" customHeight="1">
      <c r="C193" s="19"/>
      <c r="D193" t="s">
        <v>997</v>
      </c>
      <c r="M193" s="33"/>
      <c r="N193" s="814"/>
      <c r="O193" s="814"/>
      <c r="P193" s="814"/>
      <c r="Q193" s="814"/>
      <c r="R193" s="814"/>
      <c r="S193" s="814"/>
      <c r="T193" s="1505" t="s">
        <v>928</v>
      </c>
      <c r="U193" s="1505"/>
      <c r="V193" s="1505"/>
      <c r="W193" s="1505"/>
      <c r="X193" s="1505"/>
      <c r="Y193" s="1505"/>
      <c r="Z193" s="1505"/>
      <c r="AA193" s="1505"/>
      <c r="AB193" s="1505"/>
      <c r="AC193" s="1505"/>
      <c r="AD193" s="1505"/>
      <c r="AE193" s="1505"/>
      <c r="AF193" s="1505"/>
      <c r="AG193" s="1505"/>
      <c r="AH193" s="1505"/>
      <c r="AI193" s="1505"/>
      <c r="BC193" t="s">
        <v>998</v>
      </c>
      <c r="BH193" s="3" t="s">
        <v>999</v>
      </c>
      <c r="BN193" s="140" t="s">
        <v>1000</v>
      </c>
      <c r="BT193" t="s">
        <v>1001</v>
      </c>
    </row>
    <row r="194" spans="1:74" ht="13.2" customHeight="1">
      <c r="C194" s="19"/>
      <c r="D194" s="3" t="s">
        <v>1002</v>
      </c>
      <c r="M194" s="33"/>
      <c r="N194" s="814"/>
      <c r="O194" s="814"/>
      <c r="P194" s="814"/>
      <c r="Q194" s="814"/>
      <c r="R194" s="814"/>
      <c r="S194" s="814"/>
      <c r="AH194" s="1348" t="s">
        <v>836</v>
      </c>
      <c r="AI194" s="1348"/>
      <c r="BC194" t="s">
        <v>994</v>
      </c>
      <c r="BN194" s="140" t="s">
        <v>1003</v>
      </c>
      <c r="BT194" t="s">
        <v>1004</v>
      </c>
    </row>
    <row r="195" spans="1:74" ht="13.2" customHeight="1">
      <c r="C195" s="19"/>
      <c r="D195" t="s">
        <v>1005</v>
      </c>
      <c r="T195" s="1348" t="s">
        <v>836</v>
      </c>
      <c r="U195" s="1348"/>
      <c r="W195" t="s">
        <v>1006</v>
      </c>
      <c r="AH195" s="1348">
        <v>32</v>
      </c>
      <c r="AI195" s="1348"/>
      <c r="BC195" t="s">
        <v>1007</v>
      </c>
      <c r="BN195" s="140" t="s">
        <v>1008</v>
      </c>
      <c r="BT195" t="s">
        <v>1009</v>
      </c>
    </row>
    <row r="196" spans="1:74" ht="13.2" customHeight="1">
      <c r="C196" s="19"/>
      <c r="D196" t="s">
        <v>1010</v>
      </c>
      <c r="T196" s="1351" t="s">
        <v>892</v>
      </c>
      <c r="U196" s="1351"/>
      <c r="W196" t="s">
        <v>1011</v>
      </c>
      <c r="AH196" s="1348">
        <v>42</v>
      </c>
      <c r="AI196" s="1348"/>
      <c r="BN196" s="140" t="s">
        <v>1012</v>
      </c>
      <c r="BT196" t="s">
        <v>1013</v>
      </c>
    </row>
    <row r="197" spans="1:74" ht="13.2" customHeight="1">
      <c r="C197" s="19"/>
      <c r="D197" s="3" t="s">
        <v>1014</v>
      </c>
      <c r="T197" s="1351" t="s">
        <v>892</v>
      </c>
      <c r="U197" s="1351"/>
      <c r="W197" t="s">
        <v>1015</v>
      </c>
      <c r="AH197" s="1348">
        <v>24</v>
      </c>
      <c r="AI197" s="1348"/>
      <c r="BC197" t="s">
        <v>294</v>
      </c>
      <c r="BN197" s="140" t="s">
        <v>1016</v>
      </c>
      <c r="BT197" t="s">
        <v>1017</v>
      </c>
    </row>
    <row r="198" spans="1:74" s="14" customFormat="1" ht="13.2" customHeight="1">
      <c r="A198"/>
      <c r="B198"/>
      <c r="C198" s="19"/>
      <c r="D198" s="3" t="s">
        <v>1018</v>
      </c>
      <c r="E198"/>
      <c r="F198"/>
      <c r="G198"/>
      <c r="H198"/>
      <c r="I198"/>
      <c r="J198"/>
      <c r="K198"/>
      <c r="L198"/>
      <c r="M198"/>
      <c r="N198"/>
      <c r="O198"/>
      <c r="P198"/>
      <c r="Q198"/>
      <c r="R198"/>
      <c r="S198"/>
      <c r="T198" s="1351"/>
      <c r="U198" s="1351"/>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1019</v>
      </c>
      <c r="BD198"/>
      <c r="BN198" s="140" t="s">
        <v>1020</v>
      </c>
      <c r="BO198"/>
      <c r="BP198"/>
      <c r="BQ198"/>
      <c r="BR198"/>
      <c r="BS198"/>
      <c r="BT198" t="s">
        <v>1021</v>
      </c>
      <c r="BU198"/>
      <c r="BV198" s="27"/>
    </row>
    <row r="199" spans="1:74" s="14" customFormat="1" ht="13.2" customHeight="1">
      <c r="A199"/>
      <c r="B199"/>
      <c r="C199" s="19"/>
      <c r="D199" s="85" t="s">
        <v>1022</v>
      </c>
      <c r="E199"/>
      <c r="F199"/>
      <c r="G199"/>
      <c r="H199"/>
      <c r="I199"/>
      <c r="J199"/>
      <c r="K199"/>
      <c r="L199"/>
      <c r="M199"/>
      <c r="N199"/>
      <c r="O199"/>
      <c r="P199"/>
      <c r="Q199"/>
      <c r="R199"/>
      <c r="S199"/>
      <c r="T199"/>
      <c r="U199"/>
      <c r="V199"/>
      <c r="W199"/>
      <c r="Z199" s="1348" t="s">
        <v>892</v>
      </c>
      <c r="AA199" s="1348"/>
      <c r="AC199"/>
      <c r="AD199"/>
      <c r="AE199"/>
      <c r="AF199"/>
      <c r="AG199"/>
      <c r="AJ199"/>
      <c r="AK199"/>
      <c r="AL199"/>
      <c r="AM199"/>
      <c r="AN199"/>
      <c r="AO199"/>
      <c r="AP199"/>
      <c r="AQ199"/>
      <c r="AR199"/>
      <c r="AS199"/>
      <c r="AT199"/>
      <c r="AU199"/>
      <c r="AV199"/>
      <c r="AW199"/>
      <c r="AX199"/>
      <c r="AY199"/>
      <c r="AZ199" s="26"/>
      <c r="BA199" s="26"/>
      <c r="BC199" s="3" t="s">
        <v>1023</v>
      </c>
      <c r="BD199"/>
      <c r="BN199" s="140" t="s">
        <v>1024</v>
      </c>
      <c r="BO199"/>
      <c r="BP199"/>
      <c r="BQ199"/>
      <c r="BR199"/>
      <c r="BS199"/>
      <c r="BT199" s="28" t="s">
        <v>1025</v>
      </c>
      <c r="BU199"/>
      <c r="BV199" s="27"/>
    </row>
    <row r="200" spans="1:74" s="14" customFormat="1" ht="13.2" customHeight="1">
      <c r="A200"/>
      <c r="B200"/>
      <c r="C200" s="19"/>
      <c r="D200" t="s">
        <v>1026</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1027</v>
      </c>
      <c r="BD200" s="362"/>
      <c r="BN200" s="140" t="s">
        <v>1028</v>
      </c>
      <c r="BO200"/>
      <c r="BP200"/>
      <c r="BQ200"/>
      <c r="BR200"/>
      <c r="BS200"/>
      <c r="BT200" s="28" t="s">
        <v>1029</v>
      </c>
      <c r="BU200"/>
    </row>
    <row r="201" spans="1:74" s="14" customFormat="1" ht="13.2" customHeight="1">
      <c r="A201"/>
      <c r="B201"/>
      <c r="C201" s="19"/>
      <c r="D201" s="146" t="s">
        <v>1030</v>
      </c>
      <c r="E201"/>
      <c r="F201"/>
      <c r="G201"/>
      <c r="H201"/>
      <c r="I201"/>
      <c r="J201"/>
      <c r="K201"/>
      <c r="L201"/>
      <c r="M201"/>
      <c r="N201"/>
      <c r="O201"/>
      <c r="P201"/>
      <c r="Q201"/>
      <c r="R201"/>
      <c r="S201"/>
      <c r="T201" s="1"/>
      <c r="U201" s="1"/>
      <c r="V201"/>
      <c r="W201" s="146" t="s">
        <v>1031</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1032</v>
      </c>
      <c r="BD201" s="362"/>
      <c r="BN201" s="140" t="s">
        <v>1033</v>
      </c>
      <c r="BO201" s="27"/>
      <c r="BP201" s="28"/>
      <c r="BQ201" s="28"/>
      <c r="BR201" s="28"/>
      <c r="BS201" s="28"/>
      <c r="BT201" s="28" t="s">
        <v>1034</v>
      </c>
      <c r="BU201"/>
    </row>
    <row r="202" spans="1:74" ht="13.2" customHeight="1">
      <c r="C202" s="19"/>
      <c r="D202" s="436"/>
      <c r="BC202" t="s">
        <v>1035</v>
      </c>
      <c r="BD202" s="362"/>
      <c r="BN202" s="140" t="s">
        <v>1036</v>
      </c>
      <c r="BO202" s="14"/>
      <c r="BP202" s="28"/>
      <c r="BQ202" s="28"/>
      <c r="BR202" s="28"/>
      <c r="BS202" s="28"/>
      <c r="BT202" s="28" t="s">
        <v>1037</v>
      </c>
    </row>
    <row r="203" spans="1:74" ht="13.2" customHeight="1">
      <c r="A203" s="2" t="s">
        <v>1038</v>
      </c>
      <c r="C203" s="2" t="s">
        <v>1039</v>
      </c>
      <c r="BC203" t="s">
        <v>1040</v>
      </c>
      <c r="BN203" s="140" t="s">
        <v>1041</v>
      </c>
      <c r="BO203" s="14"/>
      <c r="BP203" s="28"/>
      <c r="BQ203" s="28"/>
      <c r="BR203" s="28"/>
      <c r="BS203" s="28"/>
      <c r="BT203" s="28" t="s">
        <v>1042</v>
      </c>
    </row>
    <row r="204" spans="1:74" ht="13.2" customHeight="1">
      <c r="D204" s="1449" t="s">
        <v>1043</v>
      </c>
      <c r="E204" s="1449"/>
      <c r="F204" s="1449"/>
      <c r="G204" s="1449"/>
      <c r="H204" s="1449"/>
      <c r="I204" s="1449"/>
      <c r="J204" s="1449"/>
      <c r="K204" s="1449"/>
      <c r="L204" s="1449"/>
      <c r="M204" s="1449"/>
      <c r="P204" s="1484">
        <f>M26</f>
        <v>3513758</v>
      </c>
      <c r="Q204" s="1485"/>
      <c r="R204" s="1485"/>
      <c r="S204" s="1485"/>
      <c r="T204" s="1485"/>
      <c r="U204" s="1485"/>
      <c r="BC204" t="s">
        <v>1044</v>
      </c>
      <c r="BN204" s="140" t="s">
        <v>1045</v>
      </c>
      <c r="BT204" s="28" t="s">
        <v>1046</v>
      </c>
      <c r="BU204" s="14"/>
    </row>
    <row r="205" spans="1:74" ht="13.2" customHeight="1">
      <c r="C205" s="19"/>
      <c r="D205" s="1475" t="s">
        <v>1047</v>
      </c>
      <c r="E205" s="1449"/>
      <c r="F205" s="1449"/>
      <c r="G205" s="1449"/>
      <c r="H205" s="1449"/>
      <c r="I205" s="1449"/>
      <c r="J205" s="1449"/>
      <c r="K205" s="1449"/>
      <c r="L205" s="1449"/>
      <c r="M205" s="1449"/>
      <c r="P205" s="1485">
        <f>M27</f>
        <v>16093606</v>
      </c>
      <c r="Q205" s="1485"/>
      <c r="R205" s="1485"/>
      <c r="S205" s="1485"/>
      <c r="T205" s="1485"/>
      <c r="U205" s="1485"/>
      <c r="V205" s="20"/>
      <c r="W205" s="3" t="s">
        <v>1048</v>
      </c>
      <c r="Z205" s="1489" t="s">
        <v>1049</v>
      </c>
      <c r="AA205" s="1489"/>
      <c r="AB205" s="1489"/>
      <c r="AC205" s="1489"/>
      <c r="AD205" s="1489"/>
      <c r="AE205" s="1489"/>
      <c r="AF205" s="1489"/>
      <c r="AG205" s="1489"/>
      <c r="AH205" s="1489"/>
      <c r="AI205" s="1489"/>
      <c r="AJ205" s="1489"/>
      <c r="AK205" s="1489"/>
      <c r="AL205" s="1489"/>
      <c r="AM205" s="1489"/>
      <c r="AN205" s="1489"/>
      <c r="AP205" s="1257"/>
      <c r="AQ205" s="1257"/>
      <c r="BC205" t="s">
        <v>1050</v>
      </c>
      <c r="BN205" s="140" t="s">
        <v>1051</v>
      </c>
      <c r="BT205" s="28" t="s">
        <v>1052</v>
      </c>
      <c r="BU205" s="14"/>
    </row>
    <row r="206" spans="1:74" ht="13.2" customHeight="1">
      <c r="D206" s="25"/>
      <c r="E206" s="25"/>
      <c r="F206" s="25"/>
      <c r="G206" s="25"/>
      <c r="H206" s="25"/>
      <c r="I206" s="25"/>
      <c r="J206" s="25"/>
      <c r="K206" s="25"/>
      <c r="L206" s="25"/>
      <c r="M206" s="25"/>
      <c r="N206" s="25"/>
      <c r="O206" s="25"/>
      <c r="P206" s="25"/>
      <c r="BC206" s="363" t="s">
        <v>1053</v>
      </c>
      <c r="BN206" s="140" t="s">
        <v>1054</v>
      </c>
      <c r="BT206" s="28" t="s">
        <v>1055</v>
      </c>
      <c r="BU206" s="14"/>
    </row>
    <row r="207" spans="1:74" ht="13.2" customHeight="1">
      <c r="A207" s="2" t="s">
        <v>1056</v>
      </c>
      <c r="C207" s="2" t="s">
        <v>1057</v>
      </c>
      <c r="BC207" s="3" t="s">
        <v>1058</v>
      </c>
      <c r="BN207" s="140" t="s">
        <v>1059</v>
      </c>
      <c r="BT207" s="28" t="s">
        <v>1060</v>
      </c>
    </row>
    <row r="208" spans="1:74" ht="13.2" customHeight="1">
      <c r="C208" s="19"/>
      <c r="D208" s="1476" t="s">
        <v>1061</v>
      </c>
      <c r="E208" s="1476"/>
      <c r="F208" s="1476"/>
      <c r="G208" s="1476"/>
      <c r="H208" s="1476"/>
      <c r="I208" s="1476"/>
      <c r="J208" s="1476"/>
      <c r="K208" s="1476"/>
      <c r="L208" s="1476"/>
      <c r="M208" s="1476"/>
      <c r="BC208" t="s">
        <v>1062</v>
      </c>
      <c r="BN208" s="140" t="s">
        <v>1063</v>
      </c>
      <c r="BT208" s="28" t="s">
        <v>1064</v>
      </c>
    </row>
    <row r="209" spans="1:72" ht="13.2" customHeight="1">
      <c r="BC209" t="s">
        <v>1065</v>
      </c>
      <c r="BN209" s="140" t="s">
        <v>1066</v>
      </c>
      <c r="BT209" s="28" t="s">
        <v>1067</v>
      </c>
    </row>
    <row r="210" spans="1:72" ht="13.2" customHeight="1">
      <c r="A210" s="2" t="s">
        <v>1068</v>
      </c>
      <c r="C210" s="2" t="s">
        <v>1069</v>
      </c>
      <c r="BN210" s="140" t="s">
        <v>1070</v>
      </c>
      <c r="BT210" s="28" t="s">
        <v>1071</v>
      </c>
    </row>
    <row r="211" spans="1:72" ht="13.2" customHeight="1">
      <c r="C211" s="19"/>
      <c r="D211" s="1476" t="s">
        <v>993</v>
      </c>
      <c r="E211" s="1476"/>
      <c r="F211" s="1476"/>
      <c r="G211" s="1476"/>
      <c r="H211" s="1476"/>
      <c r="I211" s="1476"/>
      <c r="J211" s="1476"/>
      <c r="K211" s="1476"/>
      <c r="L211" s="1476"/>
      <c r="M211" s="1476"/>
      <c r="BN211" s="140" t="s">
        <v>1072</v>
      </c>
      <c r="BT211" s="28" t="s">
        <v>1073</v>
      </c>
    </row>
    <row r="212" spans="1:72" ht="13.2" customHeight="1">
      <c r="C212" s="19"/>
      <c r="D212" t="s">
        <v>1074</v>
      </c>
      <c r="Y212" s="1348">
        <v>75</v>
      </c>
      <c r="Z212" s="1348"/>
      <c r="AB212" s="1503">
        <f>IFERROR(Y212/AG440,"")</f>
        <v>0.75</v>
      </c>
      <c r="AC212" s="1504"/>
      <c r="BC212" t="s">
        <v>294</v>
      </c>
      <c r="BI212" t="s">
        <v>1075</v>
      </c>
      <c r="BN212" s="140" t="s">
        <v>1076</v>
      </c>
      <c r="BT212" s="28" t="s">
        <v>1077</v>
      </c>
    </row>
    <row r="213" spans="1:72" ht="13.2" customHeight="1">
      <c r="D213" s="1068" t="s">
        <v>1078</v>
      </c>
      <c r="BC213" t="s">
        <v>1079</v>
      </c>
      <c r="BI213" t="s">
        <v>1049</v>
      </c>
      <c r="BN213" s="140" t="s">
        <v>1080</v>
      </c>
      <c r="BT213" s="28" t="s">
        <v>1081</v>
      </c>
    </row>
    <row r="214" spans="1:72" ht="13.2" customHeight="1">
      <c r="D214" s="1480" t="s">
        <v>299</v>
      </c>
      <c r="E214" s="1480"/>
      <c r="F214" s="1480"/>
      <c r="G214" s="1480"/>
      <c r="H214" s="1480"/>
      <c r="I214" s="1480"/>
      <c r="J214" s="1480"/>
      <c r="K214" s="1480"/>
      <c r="L214" s="1480"/>
      <c r="M214" s="1480"/>
      <c r="N214" s="1480"/>
      <c r="O214" s="1480"/>
      <c r="P214" s="1480"/>
      <c r="Q214" s="1480"/>
      <c r="R214" s="1480"/>
      <c r="S214" s="1480"/>
      <c r="T214" s="1480"/>
      <c r="U214" s="1480"/>
      <c r="V214" s="1480"/>
      <c r="W214" s="1480"/>
      <c r="X214" s="1480"/>
      <c r="Y214" s="1480"/>
      <c r="Z214" s="1480"/>
      <c r="AU214" s="19"/>
      <c r="AV214" s="19"/>
      <c r="AW214" s="19"/>
      <c r="AX214" s="19"/>
      <c r="AY214" s="19"/>
      <c r="BC214" t="s">
        <v>1082</v>
      </c>
      <c r="BI214" t="s">
        <v>1083</v>
      </c>
      <c r="BN214" s="140" t="s">
        <v>1084</v>
      </c>
      <c r="BT214" s="28" t="s">
        <v>1085</v>
      </c>
    </row>
    <row r="215" spans="1:72" ht="13.2" customHeight="1">
      <c r="D215" s="3" t="s">
        <v>1086</v>
      </c>
      <c r="Z215" s="33"/>
      <c r="AB215" s="1418"/>
      <c r="AC215" s="1418"/>
      <c r="AD215" s="1418"/>
      <c r="AE215" s="1418"/>
      <c r="AF215" s="1418"/>
      <c r="AG215" s="1418"/>
      <c r="AH215" s="1418"/>
      <c r="AI215" s="1418"/>
      <c r="AJ215" s="1418"/>
      <c r="AK215" s="1418"/>
      <c r="AL215" s="1418"/>
      <c r="AM215" s="19"/>
      <c r="AN215" s="19"/>
      <c r="AO215" s="19"/>
      <c r="AP215" s="19"/>
      <c r="AQ215" s="19"/>
      <c r="AR215" s="19"/>
      <c r="AS215" s="19"/>
      <c r="AT215" s="19"/>
      <c r="AU215" s="19"/>
      <c r="AV215" s="19"/>
      <c r="AW215" s="19"/>
      <c r="AX215" s="19"/>
      <c r="AY215" s="19"/>
      <c r="BC215" t="s">
        <v>1087</v>
      </c>
      <c r="BI215" s="3" t="s">
        <v>1088</v>
      </c>
    </row>
    <row r="216" spans="1:72" ht="13.2" customHeight="1">
      <c r="D216" s="3" t="s">
        <v>1089</v>
      </c>
      <c r="Z216" s="33"/>
      <c r="AB216" s="1418"/>
      <c r="AC216" s="1418"/>
      <c r="AD216" s="1418"/>
      <c r="AE216" s="1418"/>
      <c r="AF216" s="1418"/>
      <c r="AG216" s="1418"/>
      <c r="AH216" s="1418"/>
      <c r="AI216" s="1418"/>
      <c r="AJ216" s="1418"/>
      <c r="AK216" s="1418"/>
      <c r="AL216" s="1418"/>
      <c r="AM216" s="19"/>
      <c r="AN216" s="19"/>
      <c r="AO216" s="19"/>
      <c r="AP216" s="19"/>
      <c r="AQ216" s="19"/>
      <c r="AR216" s="19"/>
      <c r="AS216" s="19"/>
      <c r="AT216" s="19"/>
      <c r="AU216" s="19"/>
      <c r="AV216" s="19"/>
      <c r="AW216" s="19"/>
      <c r="AX216" s="19"/>
      <c r="AY216" s="19"/>
      <c r="BC216" t="s">
        <v>1090</v>
      </c>
      <c r="BI216" s="3" t="s">
        <v>1091</v>
      </c>
    </row>
    <row r="217" spans="1:72" ht="13.2"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1092</v>
      </c>
      <c r="BI217" s="3" t="s">
        <v>1093</v>
      </c>
    </row>
    <row r="218" spans="1:72" ht="13.2" customHeight="1">
      <c r="A218" s="2" t="s">
        <v>1094</v>
      </c>
      <c r="C218" s="2" t="s">
        <v>1095</v>
      </c>
      <c r="D218" s="20"/>
      <c r="BC218" t="s">
        <v>1096</v>
      </c>
    </row>
    <row r="219" spans="1:72" ht="13.2" customHeight="1">
      <c r="A219" s="2"/>
      <c r="C219" s="2"/>
      <c r="D219" s="3" t="s">
        <v>1097</v>
      </c>
      <c r="AZ219" s="3"/>
      <c r="BA219" s="3"/>
      <c r="BC219" t="s">
        <v>1098</v>
      </c>
    </row>
    <row r="220" spans="1:72" ht="13.2" customHeight="1">
      <c r="A220" s="2"/>
      <c r="C220" s="2"/>
      <c r="D220" s="1476" t="s">
        <v>1023</v>
      </c>
      <c r="E220" s="1476"/>
      <c r="F220" s="1476"/>
      <c r="G220" s="1476"/>
      <c r="H220" s="1476"/>
      <c r="I220" s="1476"/>
      <c r="J220" s="1476"/>
      <c r="K220" s="1476"/>
      <c r="L220" s="1476"/>
      <c r="M220" s="1476"/>
      <c r="N220" s="1476"/>
      <c r="O220" s="1476"/>
      <c r="P220" s="1476"/>
      <c r="Q220" s="1476"/>
      <c r="R220" s="1476"/>
      <c r="S220" s="1476"/>
      <c r="T220" s="1476"/>
      <c r="U220" s="1476"/>
      <c r="V220" s="1476"/>
      <c r="W220" s="1476"/>
      <c r="X220" s="1476"/>
      <c r="Y220" s="1476"/>
      <c r="Z220" s="1476"/>
      <c r="BA220" s="3"/>
      <c r="BC220" t="s">
        <v>1099</v>
      </c>
    </row>
    <row r="221" spans="1:72" ht="13.2" customHeight="1">
      <c r="A221" s="2"/>
      <c r="B221" s="14"/>
      <c r="C221" s="2"/>
      <c r="AU221" s="71"/>
      <c r="AV221" s="71"/>
      <c r="AW221" s="71"/>
      <c r="AX221" s="71"/>
      <c r="AY221" s="71"/>
      <c r="BA221" s="3"/>
    </row>
    <row r="222" spans="1:72" ht="13.2" customHeight="1">
      <c r="A222" s="1478" t="s">
        <v>1100</v>
      </c>
      <c r="B222" s="1478"/>
      <c r="C222" s="1478"/>
      <c r="D222" s="1478"/>
      <c r="E222" s="1478"/>
      <c r="F222" s="1478"/>
      <c r="G222" s="1478"/>
      <c r="H222" s="1478"/>
      <c r="I222" s="1478"/>
      <c r="J222" s="1478"/>
      <c r="K222" s="1478"/>
      <c r="L222" s="1478"/>
      <c r="M222" s="1478"/>
      <c r="N222" s="1478"/>
      <c r="O222" s="1478"/>
      <c r="P222" s="1478"/>
      <c r="Q222" s="1478"/>
      <c r="R222" s="1478"/>
      <c r="S222" s="1478"/>
      <c r="T222" s="1478"/>
      <c r="U222" s="1478"/>
      <c r="V222" s="1478"/>
      <c r="W222" s="1478"/>
      <c r="X222" s="1478"/>
      <c r="Y222" s="1478"/>
      <c r="Z222" s="1478"/>
      <c r="AA222" s="1478"/>
      <c r="AB222" s="1478"/>
      <c r="AC222" s="1478"/>
      <c r="AD222" s="1478"/>
      <c r="AE222" s="1478"/>
      <c r="AF222" s="1478"/>
      <c r="AG222" s="1478"/>
      <c r="AH222" s="1478"/>
      <c r="AI222" s="1478"/>
      <c r="AJ222" s="1478"/>
      <c r="AK222" s="1478"/>
      <c r="AL222" s="1478"/>
      <c r="AM222" s="1478"/>
      <c r="AN222" s="1478"/>
      <c r="AO222" s="1478"/>
      <c r="AP222" s="1478"/>
      <c r="AQ222" s="1478"/>
      <c r="AR222" s="1478"/>
      <c r="AS222" s="1478"/>
      <c r="AT222" s="1478"/>
      <c r="AU222" s="71"/>
      <c r="AV222" s="71"/>
      <c r="AW222" s="71"/>
      <c r="AX222" s="71"/>
      <c r="AY222" s="71"/>
      <c r="AZ222" s="3"/>
      <c r="BA222" s="3"/>
      <c r="BP222" s="3"/>
    </row>
    <row r="223" spans="1:72" ht="13.2" customHeight="1">
      <c r="A223" s="1478"/>
      <c r="B223" s="1478"/>
      <c r="C223" s="1478"/>
      <c r="D223" s="1478"/>
      <c r="E223" s="1478"/>
      <c r="F223" s="1478"/>
      <c r="G223" s="1478"/>
      <c r="H223" s="1478"/>
      <c r="I223" s="1478"/>
      <c r="J223" s="1478"/>
      <c r="K223" s="1478"/>
      <c r="L223" s="1478"/>
      <c r="M223" s="1478"/>
      <c r="N223" s="1478"/>
      <c r="O223" s="1478"/>
      <c r="P223" s="1478"/>
      <c r="Q223" s="1478"/>
      <c r="R223" s="1478"/>
      <c r="S223" s="1478"/>
      <c r="T223" s="1478"/>
      <c r="U223" s="1478"/>
      <c r="V223" s="1478"/>
      <c r="W223" s="1478"/>
      <c r="X223" s="1478"/>
      <c r="Y223" s="1478"/>
      <c r="Z223" s="1478"/>
      <c r="AA223" s="1478"/>
      <c r="AB223" s="1478"/>
      <c r="AC223" s="1478"/>
      <c r="AD223" s="1478"/>
      <c r="AE223" s="1478"/>
      <c r="AF223" s="1478"/>
      <c r="AG223" s="1478"/>
      <c r="AH223" s="1478"/>
      <c r="AI223" s="1478"/>
      <c r="AJ223" s="1478"/>
      <c r="AK223" s="1478"/>
      <c r="AL223" s="1478"/>
      <c r="AM223" s="1478"/>
      <c r="AN223" s="1478"/>
      <c r="AO223" s="1478"/>
      <c r="AP223" s="1478"/>
      <c r="AQ223" s="1478"/>
      <c r="AR223" s="1478"/>
      <c r="AS223" s="1478"/>
      <c r="AT223" s="1478"/>
      <c r="BA223" s="3"/>
      <c r="BB223" s="3"/>
      <c r="BQ223" s="3"/>
    </row>
    <row r="224" spans="1:72" ht="13.2" customHeight="1">
      <c r="AZ224" s="3"/>
      <c r="BA224" s="3"/>
      <c r="BB224" s="3"/>
      <c r="BQ224" s="3"/>
    </row>
    <row r="225" spans="1:69" ht="13.2" customHeight="1">
      <c r="A225" s="2" t="s">
        <v>919</v>
      </c>
      <c r="B225" s="2"/>
      <c r="C225" s="2" t="s">
        <v>1101</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2" customHeight="1">
      <c r="B226" s="3"/>
      <c r="D226" s="3" t="s">
        <v>1102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48" t="s">
        <v>299</v>
      </c>
      <c r="AJ226" s="1348"/>
      <c r="AL226" s="3"/>
      <c r="AM226" s="3"/>
      <c r="AN226" s="3"/>
      <c r="AO226" s="3"/>
      <c r="AP226" s="3"/>
      <c r="AQ226" s="3"/>
      <c r="AR226" s="3"/>
      <c r="AS226" s="3"/>
      <c r="AT226" s="3"/>
      <c r="AU226" s="3"/>
      <c r="AV226" s="3"/>
      <c r="AW226" s="3"/>
      <c r="AX226" s="3"/>
      <c r="AY226" s="3"/>
      <c r="AZ226" s="3"/>
      <c r="BB226" s="143" t="s">
        <v>1103</v>
      </c>
      <c r="BG226" s="177">
        <f>IF(AND(AND($M$249="for profit",$M$257="for profit",$M$265="nonprofit")),2,0)</f>
        <v>0</v>
      </c>
      <c r="BO226" s="3"/>
    </row>
    <row r="227" spans="1:69" ht="13.2" customHeight="1">
      <c r="B227" s="3"/>
      <c r="D227" s="3" t="s">
        <v>1104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48" t="s">
        <v>836</v>
      </c>
      <c r="AJ227" s="1348"/>
      <c r="AL227" s="3"/>
      <c r="AM227" s="3"/>
      <c r="AN227" s="3"/>
      <c r="AO227" s="3"/>
      <c r="AP227" s="3"/>
      <c r="AQ227" s="3"/>
      <c r="AR227" s="3"/>
      <c r="AS227" s="3"/>
      <c r="AT227" s="3"/>
      <c r="AU227" s="3"/>
      <c r="AV227" s="3"/>
      <c r="AW227" s="3"/>
      <c r="AX227" s="3"/>
      <c r="AY227" s="3"/>
      <c r="BA227" s="3"/>
      <c r="BB227" s="143" t="s">
        <v>1103</v>
      </c>
      <c r="BG227" s="177">
        <f>IF(AND(AND($M$249="for profit",$M$257="nonprofit",$M$265="for profit")),2,0)</f>
        <v>0</v>
      </c>
      <c r="BQ227" s="3"/>
    </row>
    <row r="228" spans="1:69" ht="13.2" customHeight="1">
      <c r="B228" s="3"/>
      <c r="D228" s="3" t="s">
        <v>1105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48" t="s">
        <v>299</v>
      </c>
      <c r="AJ228" s="1348"/>
      <c r="AL228" s="3"/>
      <c r="AM228" s="3"/>
      <c r="AN228" s="3"/>
      <c r="AO228" s="3"/>
      <c r="AP228" s="3"/>
      <c r="AQ228" s="3"/>
      <c r="AR228" s="3"/>
      <c r="AS228" s="3"/>
      <c r="AT228" s="3"/>
      <c r="AU228" s="3"/>
      <c r="AV228" s="3"/>
      <c r="AW228" s="3"/>
      <c r="AX228" s="3"/>
      <c r="AY228" s="3"/>
      <c r="AZ228" s="3"/>
      <c r="BA228" s="3"/>
      <c r="BB228" s="143" t="s">
        <v>1103</v>
      </c>
      <c r="BG228" s="177">
        <f>IF(AND(AND($M$249="nonprofit",$M$257="for profit",$M$265="for profit")),2,0)</f>
        <v>0</v>
      </c>
      <c r="BQ228" s="3"/>
    </row>
    <row r="229" spans="1:69" ht="13.2" customHeight="1">
      <c r="B229" s="3"/>
      <c r="D229" s="3" t="s">
        <v>1106</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48" t="s">
        <v>299</v>
      </c>
      <c r="AJ229" s="1348"/>
      <c r="AL229" s="3"/>
      <c r="AM229" s="3"/>
      <c r="AN229" s="3"/>
      <c r="AO229" s="3"/>
      <c r="AP229" s="3"/>
      <c r="AQ229" s="3"/>
      <c r="AR229" s="3"/>
      <c r="AS229" s="3"/>
      <c r="AT229" s="3"/>
      <c r="AU229" s="3"/>
      <c r="AV229" s="3"/>
      <c r="AW229" s="3"/>
      <c r="AX229" s="3"/>
      <c r="AY229" s="3"/>
      <c r="BA229" s="3"/>
      <c r="BB229" s="143" t="s">
        <v>1103</v>
      </c>
      <c r="BG229" s="177">
        <f>IF(AND(AND($M$249="for profit",$M$257="nonprofit",$M$265="(select one)")),2,0)</f>
        <v>0</v>
      </c>
      <c r="BO229" s="3"/>
    </row>
    <row r="230" spans="1:69" ht="13.2"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1103</v>
      </c>
      <c r="BG230" s="176">
        <f>IF(AND(AND($M$249="nonprofit",$M$257="for profit",$M$265="(select one)")),2,0)</f>
        <v>2</v>
      </c>
      <c r="BO230" s="3"/>
    </row>
    <row r="231" spans="1:69" ht="13.2" customHeight="1">
      <c r="A231" s="2" t="s">
        <v>960</v>
      </c>
      <c r="B231" s="3"/>
      <c r="C231" s="2" t="s">
        <v>1107</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2" customHeight="1">
      <c r="D232" s="3" t="s">
        <v>1108</v>
      </c>
      <c r="E232" s="3"/>
      <c r="F232" s="3"/>
      <c r="G232" s="3"/>
      <c r="H232" s="3"/>
      <c r="I232" s="3"/>
      <c r="J232" s="3"/>
      <c r="K232" s="3"/>
      <c r="M232" s="1502" t="str">
        <f>H16</f>
        <v>Housing Corporation of America</v>
      </c>
      <c r="N232" s="1502"/>
      <c r="O232" s="1502"/>
      <c r="P232" s="1502"/>
      <c r="Q232" s="1502"/>
      <c r="R232" s="1502"/>
      <c r="S232" s="1502"/>
      <c r="T232" s="1502"/>
      <c r="U232" s="1502"/>
      <c r="V232" s="1502"/>
      <c r="W232" s="1502"/>
      <c r="X232" s="1502"/>
      <c r="Y232" s="1502"/>
      <c r="Z232" s="1502"/>
      <c r="AA232" s="1502"/>
      <c r="AB232" s="1502"/>
      <c r="AC232" s="1502"/>
      <c r="AD232" s="1502"/>
      <c r="AE232" s="1502"/>
      <c r="AF232" s="1502"/>
      <c r="AG232" s="1502"/>
      <c r="AH232" s="1502"/>
      <c r="AI232" s="1502"/>
      <c r="AJ232" s="1502"/>
      <c r="AK232" s="1502"/>
      <c r="AZ232" s="3"/>
      <c r="BA232" s="3"/>
      <c r="BB232" s="144" t="s">
        <v>1103</v>
      </c>
      <c r="BG232" s="177">
        <f>IF(AND(AND($M$249="nonprofit",$M$257="nonprofit",$M$265="for profit")),2,0)</f>
        <v>0</v>
      </c>
      <c r="BQ232" s="3"/>
    </row>
    <row r="233" spans="1:69" ht="13.2" customHeight="1">
      <c r="D233" s="3" t="s">
        <v>1109</v>
      </c>
      <c r="E233" s="3"/>
      <c r="F233" s="3"/>
      <c r="G233" s="3"/>
      <c r="H233" s="3"/>
      <c r="I233" s="3"/>
      <c r="J233" s="3"/>
      <c r="K233" s="3"/>
      <c r="M233" s="1476" t="s">
        <v>2797</v>
      </c>
      <c r="N233" s="1476"/>
      <c r="O233" s="1476"/>
      <c r="P233" s="1476"/>
      <c r="Q233" s="1476"/>
      <c r="R233" s="1476"/>
      <c r="S233" s="1476"/>
      <c r="T233" s="1476"/>
      <c r="U233" s="1476"/>
      <c r="V233" s="1476"/>
      <c r="W233" s="1476"/>
      <c r="X233" s="1476"/>
      <c r="Y233" s="1476"/>
      <c r="Z233" s="1476"/>
      <c r="AA233" s="1476"/>
      <c r="AB233" s="1476"/>
      <c r="AC233" s="1476"/>
      <c r="AD233" s="1476"/>
      <c r="AE233" s="1476"/>
      <c r="BB233" s="144" t="s">
        <v>1103</v>
      </c>
      <c r="BG233" s="177">
        <f>IF(AND(AND($M$249="nonprofit",$M$257="for profit",$M$265="nonprofit")),2,0)</f>
        <v>0</v>
      </c>
    </row>
    <row r="234" spans="1:69" ht="13.2" customHeight="1">
      <c r="D234" s="3" t="s">
        <v>979</v>
      </c>
      <c r="E234" s="3"/>
      <c r="M234" s="1476" t="s">
        <v>1110</v>
      </c>
      <c r="N234" s="1476"/>
      <c r="O234" s="1476"/>
      <c r="P234" s="1476"/>
      <c r="Q234" s="1476"/>
      <c r="R234" s="1476"/>
      <c r="S234" s="1476"/>
      <c r="T234" s="1476"/>
      <c r="V234" s="948" t="s">
        <v>1111</v>
      </c>
      <c r="W234" s="1349" t="s">
        <v>1112</v>
      </c>
      <c r="X234" s="1349"/>
      <c r="Y234" s="3" t="s">
        <v>983</v>
      </c>
      <c r="AC234" s="1476">
        <v>84105</v>
      </c>
      <c r="AD234" s="1476"/>
      <c r="AE234" s="1476"/>
      <c r="AU234" s="3"/>
      <c r="AV234" s="3"/>
      <c r="AW234" s="3"/>
      <c r="AX234" s="3"/>
      <c r="AY234" s="3"/>
      <c r="AZ234" s="3"/>
      <c r="BB234" s="144" t="s">
        <v>1103</v>
      </c>
      <c r="BG234" s="176">
        <f>IF(AND(AND($M$249="for profit",$M$257="nonprofit",$M$265="nonprofit")),2,0)</f>
        <v>0</v>
      </c>
      <c r="BO234" s="3"/>
    </row>
    <row r="235" spans="1:69" ht="13.2" customHeight="1">
      <c r="D235" s="3" t="s">
        <v>1113</v>
      </c>
      <c r="E235" s="3"/>
      <c r="F235" s="3"/>
      <c r="G235" s="3"/>
      <c r="H235" s="3"/>
      <c r="I235" s="3"/>
      <c r="J235" s="3"/>
      <c r="K235" s="1150"/>
      <c r="M235" s="1476" t="s">
        <v>1114</v>
      </c>
      <c r="N235" s="1476"/>
      <c r="O235" s="1476"/>
      <c r="P235" s="1476"/>
      <c r="Q235" s="1476"/>
      <c r="R235" s="1476"/>
      <c r="S235" s="1476"/>
      <c r="T235" s="1476"/>
      <c r="U235" s="1476"/>
      <c r="V235" s="1476"/>
      <c r="W235" s="1476"/>
      <c r="X235" s="1476"/>
      <c r="Y235" s="1476"/>
      <c r="Z235" s="1476"/>
      <c r="AA235" s="1476"/>
      <c r="AB235" s="1476"/>
      <c r="AC235" s="1476"/>
      <c r="AD235" s="1476"/>
      <c r="AE235" s="1476"/>
      <c r="AI235" s="3"/>
      <c r="AJ235" s="3"/>
      <c r="AK235" s="3"/>
      <c r="AL235" s="3"/>
      <c r="AM235" s="3"/>
      <c r="AN235" s="3"/>
      <c r="AO235" s="3"/>
      <c r="AP235" s="3"/>
      <c r="AQ235" s="3"/>
      <c r="AR235" s="3"/>
      <c r="AS235" s="3"/>
      <c r="AT235" s="3"/>
      <c r="BB235" s="144"/>
      <c r="BG235" s="143"/>
    </row>
    <row r="236" spans="1:69" ht="13.2" customHeight="1">
      <c r="D236" s="3" t="s">
        <v>1115</v>
      </c>
      <c r="E236" s="3"/>
      <c r="F236" s="3"/>
      <c r="M236" s="1378" t="s">
        <v>1116</v>
      </c>
      <c r="N236" s="1378"/>
      <c r="O236" s="1378"/>
      <c r="P236" s="1378"/>
      <c r="Q236" s="1378"/>
      <c r="R236" s="1378"/>
      <c r="S236" s="3" t="s">
        <v>1117</v>
      </c>
      <c r="T236" s="3"/>
      <c r="U236" s="1349"/>
      <c r="V236" s="1349"/>
      <c r="W236" s="1349"/>
      <c r="X236" s="3" t="s">
        <v>1118</v>
      </c>
      <c r="Z236" s="1378"/>
      <c r="AA236" s="1378"/>
      <c r="AB236" s="1378"/>
      <c r="AC236" s="1378"/>
      <c r="AD236" s="1378"/>
      <c r="AE236" s="1378"/>
      <c r="AU236" s="3"/>
      <c r="AV236" s="3"/>
      <c r="AW236" s="3"/>
      <c r="AX236" s="3"/>
      <c r="AY236" s="3"/>
      <c r="AZ236" s="3"/>
      <c r="BB236" s="143" t="s">
        <v>1119</v>
      </c>
      <c r="BG236" s="177">
        <f>IF(AND(AND($M$249="nonprofit",$M$257="nonprofit",$M$265="(select one)")),1,0)</f>
        <v>0</v>
      </c>
    </row>
    <row r="237" spans="1:69" ht="13.2" customHeight="1">
      <c r="D237" s="3" t="s">
        <v>1120</v>
      </c>
      <c r="E237" s="3"/>
      <c r="F237" s="3"/>
      <c r="M237" s="1473" t="s">
        <v>1121</v>
      </c>
      <c r="N237" s="1473"/>
      <c r="O237" s="1473"/>
      <c r="P237" s="1473"/>
      <c r="Q237" s="1473"/>
      <c r="R237" s="1473"/>
      <c r="S237" s="1473"/>
      <c r="T237" s="1473"/>
      <c r="U237" s="1473"/>
      <c r="V237" s="1473"/>
      <c r="W237" s="1473"/>
      <c r="X237" s="1473"/>
      <c r="Y237" s="1473"/>
      <c r="Z237" s="1473"/>
      <c r="AA237" s="1473"/>
      <c r="AB237" s="1473"/>
      <c r="AC237" s="1473"/>
      <c r="AD237" s="1473"/>
      <c r="AE237" s="1473"/>
      <c r="AF237" s="3"/>
      <c r="AG237" s="3"/>
      <c r="AH237" s="3"/>
      <c r="AI237" s="3"/>
      <c r="AJ237" s="3"/>
      <c r="AK237" s="3"/>
      <c r="AL237" s="3"/>
      <c r="AM237" s="3"/>
      <c r="AN237" s="3"/>
      <c r="AO237" s="3"/>
      <c r="AP237" s="3"/>
      <c r="AQ237" s="3"/>
      <c r="AR237" s="3"/>
      <c r="AS237" s="3"/>
      <c r="AT237" s="3"/>
      <c r="AU237" s="3"/>
      <c r="AV237" s="3"/>
      <c r="AW237" s="3"/>
      <c r="AX237" s="3"/>
      <c r="AY237" s="3"/>
      <c r="BB237" s="143" t="s">
        <v>1119</v>
      </c>
      <c r="BG237" s="177">
        <f>IF(AND(AND($M$249="nonprofit",$M$257="nonprofit",$M$265="nonprofit")),1,0)</f>
        <v>0</v>
      </c>
    </row>
    <row r="238" spans="1:69" ht="13.2" customHeight="1">
      <c r="A238" s="2" t="s">
        <v>1038</v>
      </c>
      <c r="C238" s="2" t="s">
        <v>1122</v>
      </c>
      <c r="M238" s="1329" t="s">
        <v>1098</v>
      </c>
      <c r="N238" s="1329"/>
      <c r="O238" s="1329"/>
      <c r="P238" s="1329"/>
      <c r="Q238" s="1329"/>
      <c r="R238" s="1329"/>
      <c r="S238" s="1329"/>
      <c r="T238" s="1329"/>
      <c r="U238" s="143" t="s">
        <v>1123</v>
      </c>
      <c r="V238" s="143"/>
      <c r="W238" s="143"/>
      <c r="X238" s="143"/>
      <c r="Y238" s="143"/>
      <c r="Z238" s="143"/>
      <c r="AA238" s="1492"/>
      <c r="AB238" s="1492"/>
      <c r="AC238" s="1492"/>
      <c r="AD238" s="1492"/>
      <c r="AE238" s="1492"/>
      <c r="AF238" s="1492"/>
      <c r="AG238" s="1492"/>
      <c r="AH238" s="1492"/>
      <c r="AI238" s="1492"/>
      <c r="AJ238" s="1492"/>
      <c r="AK238" s="1492"/>
      <c r="AL238" s="3"/>
      <c r="AM238" s="3"/>
      <c r="AN238" s="3"/>
      <c r="AO238" s="3"/>
      <c r="AP238" s="3"/>
      <c r="AQ238" s="3"/>
      <c r="AR238" s="3"/>
      <c r="AS238" s="3"/>
      <c r="AT238" s="3"/>
      <c r="AU238" s="3"/>
      <c r="AV238" s="3"/>
      <c r="AW238" s="3"/>
      <c r="AX238" s="3"/>
      <c r="AY238" s="3"/>
      <c r="BB238" s="143" t="s">
        <v>1119</v>
      </c>
      <c r="BG238" s="177">
        <f>IF(AND(AND($M$249="nonprofit",$M$257="(select one)",$M$265="(select one)")),1,0)</f>
        <v>0</v>
      </c>
      <c r="BN238" s="3"/>
    </row>
    <row r="239" spans="1:69" ht="13.2" customHeight="1">
      <c r="D239" t="s">
        <v>1124</v>
      </c>
      <c r="M239" s="1381"/>
      <c r="N239" s="1381"/>
      <c r="O239" s="1381"/>
      <c r="P239" s="1381"/>
      <c r="Q239" s="1381"/>
      <c r="R239" s="1381"/>
      <c r="S239" s="1381"/>
      <c r="T239" s="1381"/>
      <c r="U239" s="1381"/>
      <c r="V239" s="1381"/>
      <c r="W239" s="1381"/>
      <c r="X239" s="1381"/>
      <c r="Y239" s="1381"/>
      <c r="Z239" s="1381"/>
      <c r="AA239" s="1381"/>
      <c r="AB239" s="1381"/>
      <c r="AC239" s="1381"/>
      <c r="AD239" s="1381"/>
      <c r="AE239" s="1381"/>
      <c r="AF239" s="3"/>
      <c r="AG239" s="3"/>
      <c r="AH239" s="3"/>
      <c r="AI239" s="3"/>
      <c r="AJ239" s="3"/>
      <c r="AK239" s="3"/>
      <c r="AL239" s="3"/>
      <c r="AM239" s="3"/>
      <c r="AN239" s="3"/>
      <c r="AO239" s="3"/>
      <c r="AP239" s="3"/>
      <c r="AQ239" s="3"/>
      <c r="AR239" s="3"/>
      <c r="AS239" s="3"/>
      <c r="AT239" s="3"/>
      <c r="BB239" s="143" t="s">
        <v>1125</v>
      </c>
      <c r="BG239" s="177">
        <f>IF(AND(AND($M$249="for profit",$M$257="for profit",$M$265="(select one)")),3,0)</f>
        <v>0</v>
      </c>
    </row>
    <row r="240" spans="1:69" ht="13.2" customHeight="1">
      <c r="D240" s="3"/>
      <c r="BB240" s="143" t="s">
        <v>1125</v>
      </c>
      <c r="BG240" s="177">
        <f>IF(AND(AND($M$249="for profit",$M$257="for profit",$M$265="for profit")),3,0)</f>
        <v>0</v>
      </c>
    </row>
    <row r="241" spans="1:71" ht="13.2" customHeight="1">
      <c r="A241" s="2" t="s">
        <v>1056</v>
      </c>
      <c r="C241" s="2" t="s">
        <v>1126</v>
      </c>
      <c r="D241" s="3"/>
      <c r="L241" s="8"/>
      <c r="M241" s="8"/>
      <c r="N241" s="8"/>
      <c r="AU241" s="3"/>
      <c r="AV241" s="3"/>
      <c r="AW241" s="3"/>
      <c r="AX241" s="3"/>
      <c r="AY241" s="3"/>
      <c r="BB241" s="143" t="s">
        <v>1125</v>
      </c>
      <c r="BG241" s="177">
        <f>IF(AND(AND($M$249="for profit",$M$257="(select one)",$M$265="(select one)")),3,0)</f>
        <v>0</v>
      </c>
    </row>
    <row r="242" spans="1:71" ht="13.2"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2" customHeight="1">
      <c r="A243" s="1150"/>
      <c r="B243" s="3"/>
      <c r="C243" s="49" t="s">
        <v>1127</v>
      </c>
      <c r="D243" s="3" t="s">
        <v>1128</v>
      </c>
      <c r="E243" s="3"/>
      <c r="F243" s="3"/>
      <c r="G243" s="3"/>
      <c r="H243" s="3"/>
      <c r="I243" s="3"/>
      <c r="J243" s="3"/>
      <c r="K243" s="3"/>
      <c r="L243" s="3"/>
      <c r="M243" s="1477" t="s">
        <v>826</v>
      </c>
      <c r="N243" s="1477"/>
      <c r="O243" s="1477"/>
      <c r="P243" s="1477"/>
      <c r="Q243" s="1477"/>
      <c r="R243" s="1477"/>
      <c r="S243" s="1477"/>
      <c r="T243" s="1477"/>
      <c r="U243" s="1477"/>
      <c r="V243" s="1477"/>
      <c r="W243" s="1477"/>
      <c r="X243" s="1477"/>
      <c r="Y243" s="1477"/>
      <c r="Z243" s="1477"/>
      <c r="AA243" s="1477"/>
      <c r="AB243" s="1477"/>
      <c r="AC243" s="1477"/>
      <c r="AD243" s="1477"/>
      <c r="AE243" s="1477"/>
      <c r="AF243" s="1477" t="s">
        <v>1129</v>
      </c>
      <c r="AG243" s="1477"/>
      <c r="AH243" s="1477"/>
      <c r="AI243" s="1477"/>
      <c r="AJ243" s="1477"/>
      <c r="AK243" s="1477"/>
      <c r="AU243" s="3"/>
      <c r="AV243" s="3"/>
      <c r="AW243" s="3"/>
      <c r="AX243" s="3"/>
      <c r="AY243" s="3"/>
      <c r="BG243">
        <f>SUM(BG226:BG241)</f>
        <v>2</v>
      </c>
    </row>
    <row r="244" spans="1:71" ht="13.2" customHeight="1">
      <c r="A244" s="1150"/>
      <c r="B244" s="3"/>
      <c r="C244" s="3"/>
      <c r="D244" s="3" t="s">
        <v>1109</v>
      </c>
      <c r="E244" s="3"/>
      <c r="F244" s="3"/>
      <c r="G244" s="3"/>
      <c r="H244" s="3"/>
      <c r="I244" s="3"/>
      <c r="J244" s="3"/>
      <c r="K244" s="3"/>
      <c r="L244" s="3"/>
      <c r="M244" s="1476" t="s">
        <v>2797</v>
      </c>
      <c r="N244" s="1476"/>
      <c r="O244" s="1476"/>
      <c r="P244" s="1476"/>
      <c r="Q244" s="1476"/>
      <c r="R244" s="1476"/>
      <c r="S244" s="1476"/>
      <c r="T244" s="1476"/>
      <c r="U244" s="1476"/>
      <c r="V244" s="1476"/>
      <c r="W244" s="1476"/>
      <c r="X244" s="1476"/>
      <c r="Y244" s="1476"/>
      <c r="Z244" s="1476"/>
      <c r="AA244" s="1476"/>
      <c r="AB244" s="1476"/>
      <c r="AC244" s="1476"/>
      <c r="AD244" s="1476"/>
      <c r="AE244" s="1476"/>
      <c r="AF244" s="3" t="s">
        <v>1130</v>
      </c>
      <c r="AL244" s="3"/>
      <c r="AM244" s="3"/>
      <c r="AN244" s="3"/>
      <c r="AO244" s="3"/>
      <c r="AP244" s="3"/>
      <c r="AQ244" s="3"/>
      <c r="AR244" s="3"/>
      <c r="AS244" s="3"/>
      <c r="AT244" s="3"/>
      <c r="BB244" t="s">
        <v>294</v>
      </c>
      <c r="BG244">
        <v>1</v>
      </c>
      <c r="BH244" t="s">
        <v>1131</v>
      </c>
    </row>
    <row r="245" spans="1:71" ht="13.2" customHeight="1">
      <c r="A245" s="1150"/>
      <c r="B245" s="3"/>
      <c r="C245" s="3"/>
      <c r="D245" s="3" t="s">
        <v>979</v>
      </c>
      <c r="E245" s="3"/>
      <c r="M245" s="1476" t="s">
        <v>1110</v>
      </c>
      <c r="N245" s="1476"/>
      <c r="O245" s="1476"/>
      <c r="P245" s="1476"/>
      <c r="Q245" s="1476"/>
      <c r="R245" s="1476"/>
      <c r="S245" s="1476"/>
      <c r="T245" s="1476"/>
      <c r="V245" s="948" t="s">
        <v>1111</v>
      </c>
      <c r="W245" s="1349" t="s">
        <v>1112</v>
      </c>
      <c r="X245" s="1349"/>
      <c r="Y245" s="3" t="s">
        <v>983</v>
      </c>
      <c r="AC245" s="1476">
        <v>84105</v>
      </c>
      <c r="AD245" s="1476"/>
      <c r="AE245" s="1476"/>
      <c r="AF245" s="3" t="s">
        <v>1132</v>
      </c>
      <c r="AU245" s="3"/>
      <c r="AV245" s="3"/>
      <c r="AW245" s="3"/>
      <c r="AX245" s="3"/>
      <c r="AY245" s="3"/>
      <c r="BB245" s="3" t="s">
        <v>1133</v>
      </c>
      <c r="BG245">
        <v>2</v>
      </c>
      <c r="BH245" t="s">
        <v>1090</v>
      </c>
      <c r="BO245" s="1152" t="str">
        <f>VLOOKUP(BG243,BG244:BH247,2,FALSE)</f>
        <v>Joint Venture</v>
      </c>
    </row>
    <row r="246" spans="1:71" ht="13.2" customHeight="1">
      <c r="A246" s="1150"/>
      <c r="B246" s="3"/>
      <c r="C246" s="3"/>
      <c r="D246" s="3" t="s">
        <v>1113</v>
      </c>
      <c r="E246" s="3"/>
      <c r="F246" s="3"/>
      <c r="G246" s="3"/>
      <c r="H246" s="3"/>
      <c r="I246" s="3"/>
      <c r="J246" s="3"/>
      <c r="K246" s="3"/>
      <c r="L246" s="1150"/>
      <c r="M246" s="1476" t="s">
        <v>1114</v>
      </c>
      <c r="N246" s="1476"/>
      <c r="O246" s="1476"/>
      <c r="P246" s="1476"/>
      <c r="Q246" s="1476"/>
      <c r="R246" s="1476"/>
      <c r="S246" s="1476"/>
      <c r="T246" s="1476"/>
      <c r="U246" s="1476"/>
      <c r="V246" s="1476"/>
      <c r="W246" s="1476"/>
      <c r="X246" s="1476"/>
      <c r="Y246" s="1476"/>
      <c r="Z246" s="1476"/>
      <c r="AA246" s="1476"/>
      <c r="AB246" s="1476"/>
      <c r="AC246" s="1476"/>
      <c r="AD246" s="1476"/>
      <c r="AE246" s="1476"/>
      <c r="AH246" s="1506">
        <v>5.1000000000000004E-3</v>
      </c>
      <c r="AI246" s="1506"/>
      <c r="AJ246" s="1506"/>
      <c r="AK246" s="1506"/>
      <c r="AL246" s="3"/>
      <c r="AM246" s="3"/>
      <c r="AN246" s="3"/>
      <c r="AO246" s="3"/>
      <c r="AP246" s="3"/>
      <c r="AQ246" s="3"/>
      <c r="AR246" s="3"/>
      <c r="AS246" s="3"/>
      <c r="AT246" s="3"/>
      <c r="BB246" s="3" t="s">
        <v>1134</v>
      </c>
      <c r="BG246">
        <v>3</v>
      </c>
      <c r="BH246" t="s">
        <v>1135</v>
      </c>
      <c r="BN246" s="3"/>
    </row>
    <row r="247" spans="1:71" ht="13.2" customHeight="1">
      <c r="A247" s="1150"/>
      <c r="B247" s="3"/>
      <c r="C247" s="3"/>
      <c r="D247" s="3" t="s">
        <v>1115</v>
      </c>
      <c r="E247" s="3"/>
      <c r="F247" s="3"/>
      <c r="M247" s="1378" t="s">
        <v>1116</v>
      </c>
      <c r="N247" s="1378"/>
      <c r="O247" s="1378"/>
      <c r="P247" s="1378"/>
      <c r="Q247" s="1378"/>
      <c r="R247" s="1378"/>
      <c r="S247" s="3" t="s">
        <v>1117</v>
      </c>
      <c r="T247" s="3"/>
      <c r="U247" s="1349"/>
      <c r="V247" s="1349"/>
      <c r="W247" s="1349"/>
      <c r="X247" s="3" t="s">
        <v>1118</v>
      </c>
      <c r="Z247" s="1378"/>
      <c r="AA247" s="1378"/>
      <c r="AB247" s="1378"/>
      <c r="AC247" s="1378"/>
      <c r="AD247" s="1378"/>
      <c r="AE247" s="1378"/>
      <c r="AU247" s="3"/>
      <c r="AV247" s="3"/>
      <c r="AW247" s="3"/>
      <c r="AX247" s="3"/>
      <c r="AY247" s="3"/>
      <c r="BG247">
        <v>0</v>
      </c>
      <c r="BH247" s="3"/>
      <c r="BN247" s="3"/>
    </row>
    <row r="248" spans="1:71" ht="13.2" customHeight="1">
      <c r="A248" s="1150"/>
      <c r="B248" s="3"/>
      <c r="C248" s="3"/>
      <c r="D248" s="3" t="s">
        <v>1120</v>
      </c>
      <c r="E248" s="3"/>
      <c r="F248" s="3"/>
      <c r="M248" s="1473" t="s">
        <v>1121</v>
      </c>
      <c r="N248" s="1473"/>
      <c r="O248" s="1473"/>
      <c r="P248" s="1473"/>
      <c r="Q248" s="1473"/>
      <c r="R248" s="1473"/>
      <c r="S248" s="1473"/>
      <c r="T248" s="1473"/>
      <c r="U248" s="1473"/>
      <c r="V248" s="1473"/>
      <c r="W248" s="1473"/>
      <c r="X248" s="1473"/>
      <c r="Y248" s="1473"/>
      <c r="Z248" s="1473"/>
      <c r="AA248" s="1473"/>
      <c r="AB248" s="1473"/>
      <c r="AC248" s="1473"/>
      <c r="AD248" s="1473"/>
      <c r="AE248" s="1473"/>
      <c r="AG248" s="3"/>
      <c r="AH248" s="3"/>
      <c r="AI248" s="3"/>
      <c r="AJ248" s="3"/>
      <c r="AK248" s="3"/>
      <c r="AL248" s="3"/>
      <c r="AM248" s="3"/>
      <c r="AN248" s="3"/>
      <c r="AO248" s="3"/>
      <c r="AP248" s="3"/>
      <c r="AQ248" s="3"/>
      <c r="AR248" s="3"/>
      <c r="AS248" s="3"/>
      <c r="AT248" s="3"/>
      <c r="BN248" s="3"/>
    </row>
    <row r="249" spans="1:71" ht="13.2" customHeight="1">
      <c r="A249" s="13"/>
      <c r="B249" s="3"/>
      <c r="C249" s="49"/>
      <c r="D249" s="3" t="s">
        <v>1136</v>
      </c>
      <c r="E249" s="3"/>
      <c r="F249" s="3"/>
      <c r="G249" s="3"/>
      <c r="H249" s="3"/>
      <c r="I249" s="3"/>
      <c r="J249" s="3"/>
      <c r="K249" s="3"/>
      <c r="L249" s="3"/>
      <c r="M249" s="1329" t="s">
        <v>1131</v>
      </c>
      <c r="N249" s="1329"/>
      <c r="O249" s="1329"/>
      <c r="P249" s="1329"/>
      <c r="Q249" s="1329"/>
      <c r="R249" s="1329"/>
      <c r="S249" s="1329"/>
      <c r="T249" s="1329"/>
      <c r="U249" s="143" t="s">
        <v>1123</v>
      </c>
      <c r="V249" s="143"/>
      <c r="W249" s="143"/>
      <c r="X249" s="143"/>
      <c r="Y249" s="143"/>
      <c r="Z249" s="143"/>
      <c r="AA249" s="1492"/>
      <c r="AB249" s="1492"/>
      <c r="AC249" s="1492"/>
      <c r="AD249" s="1492"/>
      <c r="AE249" s="1492"/>
      <c r="AF249" s="1492"/>
      <c r="AG249" s="1492"/>
      <c r="AH249" s="1492"/>
      <c r="AI249" s="1492"/>
      <c r="AJ249" s="1492"/>
      <c r="AK249" s="1492"/>
      <c r="BN249" s="3"/>
    </row>
    <row r="250" spans="1:71" ht="13.2" customHeight="1">
      <c r="A250" s="1150"/>
      <c r="B250" s="3"/>
      <c r="C250" s="3"/>
      <c r="D250" s="3"/>
      <c r="E250" s="3"/>
      <c r="F250" s="3"/>
      <c r="G250" s="3"/>
      <c r="H250" s="3"/>
      <c r="I250" s="3"/>
      <c r="J250" s="3"/>
      <c r="K250" s="3"/>
      <c r="L250" s="3"/>
      <c r="AG250" s="3"/>
      <c r="AH250" s="3"/>
      <c r="AI250" s="3"/>
      <c r="AJ250" s="3"/>
      <c r="BN250" s="3"/>
    </row>
    <row r="251" spans="1:71" ht="13.2" customHeight="1">
      <c r="A251" s="2"/>
      <c r="B251" s="3"/>
      <c r="C251" s="49" t="s">
        <v>1137</v>
      </c>
      <c r="D251" s="3" t="s">
        <v>1138</v>
      </c>
      <c r="E251" s="3"/>
      <c r="F251" s="3"/>
      <c r="G251" s="3"/>
      <c r="H251" s="3"/>
      <c r="I251" s="3"/>
      <c r="J251" s="3"/>
      <c r="K251" s="3"/>
      <c r="L251" s="3"/>
      <c r="M251" s="1477" t="s">
        <v>1139</v>
      </c>
      <c r="N251" s="1477"/>
      <c r="O251" s="1477"/>
      <c r="P251" s="1477"/>
      <c r="Q251" s="1477"/>
      <c r="R251" s="1477"/>
      <c r="S251" s="1477"/>
      <c r="T251" s="1477"/>
      <c r="U251" s="1477"/>
      <c r="V251" s="1477"/>
      <c r="W251" s="1477"/>
      <c r="X251" s="1477"/>
      <c r="Y251" s="1477"/>
      <c r="Z251" s="1477"/>
      <c r="AA251" s="1477"/>
      <c r="AB251" s="1477"/>
      <c r="AC251" s="1477"/>
      <c r="AD251" s="1477"/>
      <c r="AE251" s="1477"/>
      <c r="AF251" s="1477" t="s">
        <v>1140</v>
      </c>
      <c r="AG251" s="1477"/>
      <c r="AH251" s="1477"/>
      <c r="AI251" s="1477"/>
      <c r="AJ251" s="1477"/>
      <c r="AK251" s="1477"/>
      <c r="AU251" s="3"/>
      <c r="AV251" s="3"/>
      <c r="AW251" s="3"/>
      <c r="AX251" s="3"/>
      <c r="AY251" s="3"/>
      <c r="BN251" s="3"/>
    </row>
    <row r="252" spans="1:71" ht="13.2" customHeight="1">
      <c r="A252" s="1150"/>
      <c r="B252" s="3"/>
      <c r="C252" s="3"/>
      <c r="D252" s="3" t="s">
        <v>1109</v>
      </c>
      <c r="E252" s="3"/>
      <c r="F252" s="3"/>
      <c r="G252" s="3"/>
      <c r="H252" s="3"/>
      <c r="I252" s="3"/>
      <c r="J252" s="3"/>
      <c r="K252" s="3"/>
      <c r="L252" s="3"/>
      <c r="M252" s="1476" t="s">
        <v>1141</v>
      </c>
      <c r="N252" s="1476"/>
      <c r="O252" s="1476"/>
      <c r="P252" s="1476"/>
      <c r="Q252" s="1476"/>
      <c r="R252" s="1476"/>
      <c r="S252" s="1476"/>
      <c r="T252" s="1476"/>
      <c r="U252" s="1476"/>
      <c r="V252" s="1476"/>
      <c r="W252" s="1476"/>
      <c r="X252" s="1476"/>
      <c r="Y252" s="1476"/>
      <c r="Z252" s="1476"/>
      <c r="AA252" s="1476"/>
      <c r="AB252" s="1476"/>
      <c r="AC252" s="1476"/>
      <c r="AD252" s="1476"/>
      <c r="AE252" s="1476"/>
      <c r="AF252" s="3" t="s">
        <v>1130</v>
      </c>
      <c r="AL252" s="3"/>
      <c r="AM252" s="3"/>
      <c r="AN252" s="3"/>
      <c r="AO252" s="3"/>
      <c r="AP252" s="3"/>
      <c r="AQ252" s="3"/>
      <c r="AR252" s="3"/>
      <c r="AS252" s="3"/>
      <c r="AT252" s="3"/>
      <c r="BN252" s="3"/>
    </row>
    <row r="253" spans="1:71" ht="13.2" customHeight="1">
      <c r="A253" s="1150"/>
      <c r="B253" s="3"/>
      <c r="C253" s="3"/>
      <c r="D253" s="3" t="s">
        <v>979</v>
      </c>
      <c r="E253" s="3"/>
      <c r="M253" s="1476" t="s">
        <v>934</v>
      </c>
      <c r="N253" s="1476"/>
      <c r="O253" s="1476"/>
      <c r="P253" s="1476"/>
      <c r="Q253" s="1476"/>
      <c r="R253" s="1476"/>
      <c r="S253" s="1476"/>
      <c r="T253" s="1476"/>
      <c r="V253" s="948" t="s">
        <v>1111</v>
      </c>
      <c r="W253" s="1349" t="s">
        <v>1142</v>
      </c>
      <c r="X253" s="1349"/>
      <c r="Y253" s="3" t="s">
        <v>983</v>
      </c>
      <c r="AC253" s="1476">
        <v>90049</v>
      </c>
      <c r="AD253" s="1476"/>
      <c r="AE253" s="1476"/>
      <c r="AF253" s="3" t="s">
        <v>1132</v>
      </c>
      <c r="AU253" s="3"/>
      <c r="AV253" s="3"/>
      <c r="AW253" s="3"/>
      <c r="AX253" s="3"/>
      <c r="AY253" s="3"/>
      <c r="BN253" s="3"/>
    </row>
    <row r="254" spans="1:71" ht="13.2" customHeight="1">
      <c r="A254" s="1150"/>
      <c r="B254" s="3"/>
      <c r="C254" s="3"/>
      <c r="D254" s="3" t="s">
        <v>1113</v>
      </c>
      <c r="E254" s="3"/>
      <c r="F254" s="3"/>
      <c r="G254" s="3"/>
      <c r="H254" s="3"/>
      <c r="I254" s="3"/>
      <c r="J254" s="3"/>
      <c r="K254" s="3"/>
      <c r="L254" s="1150"/>
      <c r="M254" s="1476" t="s">
        <v>1143</v>
      </c>
      <c r="N254" s="1476"/>
      <c r="O254" s="1476"/>
      <c r="P254" s="1476"/>
      <c r="Q254" s="1476"/>
      <c r="R254" s="1476"/>
      <c r="S254" s="1476"/>
      <c r="T254" s="1476"/>
      <c r="U254" s="1476"/>
      <c r="V254" s="1476"/>
      <c r="W254" s="1476"/>
      <c r="X254" s="1476"/>
      <c r="Y254" s="1476"/>
      <c r="Z254" s="1476"/>
      <c r="AA254" s="1476"/>
      <c r="AB254" s="1476"/>
      <c r="AC254" s="1476"/>
      <c r="AD254" s="1476"/>
      <c r="AE254" s="1476"/>
      <c r="AH254" s="1506">
        <v>4.7999999999999996E-3</v>
      </c>
      <c r="AI254" s="1506"/>
      <c r="AJ254" s="1506"/>
      <c r="AK254" s="1506"/>
      <c r="AL254" s="3"/>
      <c r="AM254" s="3"/>
      <c r="AN254" s="3"/>
      <c r="AO254" s="3"/>
      <c r="AP254" s="3"/>
      <c r="AQ254" s="3"/>
      <c r="AR254" s="3"/>
      <c r="AS254" s="3"/>
      <c r="AT254" s="3"/>
    </row>
    <row r="255" spans="1:71" ht="13.2" customHeight="1">
      <c r="A255" s="1150"/>
      <c r="B255" s="3"/>
      <c r="C255" s="3"/>
      <c r="D255" s="3" t="s">
        <v>1115</v>
      </c>
      <c r="E255" s="3"/>
      <c r="F255" s="3"/>
      <c r="M255" s="1378" t="s">
        <v>1144</v>
      </c>
      <c r="N255" s="1378"/>
      <c r="O255" s="1378"/>
      <c r="P255" s="1378"/>
      <c r="Q255" s="1378"/>
      <c r="R255" s="1378"/>
      <c r="S255" s="3" t="s">
        <v>1117</v>
      </c>
      <c r="T255" s="3"/>
      <c r="U255" s="1349"/>
      <c r="V255" s="1349"/>
      <c r="W255" s="1349"/>
      <c r="X255" s="3" t="s">
        <v>1118</v>
      </c>
      <c r="Z255" s="1378"/>
      <c r="AA255" s="1378"/>
      <c r="AB255" s="1378"/>
      <c r="AC255" s="1378"/>
      <c r="AD255" s="1378"/>
      <c r="AE255" s="1378"/>
      <c r="AU255" s="3"/>
      <c r="AV255" s="3"/>
      <c r="AW255" s="3"/>
      <c r="AX255" s="3"/>
      <c r="AY255" s="3"/>
      <c r="BN255" s="3"/>
    </row>
    <row r="256" spans="1:71" ht="13.2" customHeight="1">
      <c r="A256" s="1150"/>
      <c r="B256" s="3"/>
      <c r="C256" s="3"/>
      <c r="D256" s="3" t="s">
        <v>1120</v>
      </c>
      <c r="E256" s="3"/>
      <c r="F256" s="3"/>
      <c r="M256" s="1473" t="s">
        <v>1145</v>
      </c>
      <c r="N256" s="1473"/>
      <c r="O256" s="1473"/>
      <c r="P256" s="1473"/>
      <c r="Q256" s="1473"/>
      <c r="R256" s="1473"/>
      <c r="S256" s="1473"/>
      <c r="T256" s="1473"/>
      <c r="U256" s="1473"/>
      <c r="V256" s="1473"/>
      <c r="W256" s="1473"/>
      <c r="X256" s="1473"/>
      <c r="Y256" s="1473"/>
      <c r="Z256" s="1473"/>
      <c r="AA256" s="1473"/>
      <c r="AB256" s="1473"/>
      <c r="AC256" s="1473"/>
      <c r="AD256" s="1473"/>
      <c r="AE256" s="1473"/>
      <c r="AG256" s="3"/>
      <c r="AH256" s="3"/>
      <c r="AI256" s="3"/>
      <c r="AJ256" s="3"/>
      <c r="AK256" s="3"/>
      <c r="AL256" s="3"/>
      <c r="AM256" s="3"/>
      <c r="AN256" s="3"/>
      <c r="AO256" s="3"/>
      <c r="AP256" s="3"/>
      <c r="AQ256" s="3"/>
      <c r="AR256" s="3"/>
      <c r="AS256" s="3"/>
      <c r="AT256" s="3"/>
      <c r="AU256" s="3"/>
      <c r="AV256" s="3"/>
      <c r="AW256" s="3"/>
      <c r="AX256" s="3"/>
      <c r="AY256" s="3"/>
      <c r="BN256" s="3"/>
    </row>
    <row r="257" spans="1:66" ht="13.2" customHeight="1">
      <c r="A257" s="13"/>
      <c r="B257" s="3"/>
      <c r="C257" s="49"/>
      <c r="D257" s="3" t="s">
        <v>1136</v>
      </c>
      <c r="E257" s="3"/>
      <c r="F257" s="3"/>
      <c r="G257" s="3"/>
      <c r="H257" s="3"/>
      <c r="I257" s="3"/>
      <c r="J257" s="3"/>
      <c r="K257" s="3"/>
      <c r="L257" s="3"/>
      <c r="M257" s="1329" t="s">
        <v>1135</v>
      </c>
      <c r="N257" s="1329"/>
      <c r="O257" s="1329"/>
      <c r="P257" s="1329"/>
      <c r="Q257" s="1329"/>
      <c r="R257" s="1329"/>
      <c r="S257" s="1329"/>
      <c r="T257" s="1329"/>
      <c r="U257" s="143" t="s">
        <v>1123</v>
      </c>
      <c r="V257" s="143"/>
      <c r="W257" s="143"/>
      <c r="X257" s="143"/>
      <c r="Y257" s="143"/>
      <c r="Z257" s="143"/>
      <c r="AA257" s="1493" t="s">
        <v>1146</v>
      </c>
      <c r="AB257" s="1492"/>
      <c r="AC257" s="1492"/>
      <c r="AD257" s="1492"/>
      <c r="AE257" s="1492"/>
      <c r="AF257" s="1492"/>
      <c r="AG257" s="1492"/>
      <c r="AH257" s="1492"/>
      <c r="AI257" s="1492"/>
      <c r="AJ257" s="1492"/>
      <c r="AK257" s="1492"/>
      <c r="AL257" s="3"/>
      <c r="AM257" s="3"/>
      <c r="AN257" s="3"/>
      <c r="AO257" s="3"/>
      <c r="AP257" s="3"/>
      <c r="AQ257" s="3"/>
      <c r="AR257" s="3"/>
      <c r="AS257" s="3"/>
      <c r="AT257" s="3"/>
      <c r="AU257" s="3"/>
      <c r="AV257" s="3"/>
      <c r="AW257" s="3"/>
      <c r="AX257" s="3"/>
      <c r="AY257" s="3"/>
      <c r="BN257" s="3"/>
    </row>
    <row r="258" spans="1:66" ht="13.2"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2" customHeight="1">
      <c r="A259" s="13"/>
      <c r="B259" s="3"/>
      <c r="C259" s="49" t="s">
        <v>1147</v>
      </c>
      <c r="D259" s="3" t="s">
        <v>1128</v>
      </c>
      <c r="E259" s="3"/>
      <c r="F259" s="3"/>
      <c r="G259" s="3"/>
      <c r="H259" s="3"/>
      <c r="I259" s="3"/>
      <c r="J259" s="3"/>
      <c r="K259" s="3"/>
      <c r="L259" s="3"/>
      <c r="M259" s="1477"/>
      <c r="N259" s="1477"/>
      <c r="O259" s="1477"/>
      <c r="P259" s="1477"/>
      <c r="Q259" s="1477"/>
      <c r="R259" s="1477"/>
      <c r="S259" s="1477"/>
      <c r="T259" s="1477"/>
      <c r="U259" s="1477"/>
      <c r="V259" s="1477"/>
      <c r="W259" s="1477"/>
      <c r="X259" s="1477"/>
      <c r="Y259" s="1477"/>
      <c r="Z259" s="1477"/>
      <c r="AA259" s="1477"/>
      <c r="AB259" s="1477"/>
      <c r="AC259" s="1477"/>
      <c r="AD259" s="1477"/>
      <c r="AE259" s="1477"/>
      <c r="AF259" s="1477" t="s">
        <v>294</v>
      </c>
      <c r="AG259" s="1477"/>
      <c r="AH259" s="1477"/>
      <c r="AI259" s="1477"/>
      <c r="AJ259" s="1477"/>
      <c r="AK259" s="1477"/>
      <c r="AL259" s="3"/>
      <c r="AM259" s="3"/>
      <c r="AN259" s="3"/>
      <c r="AO259" s="3"/>
      <c r="AP259" s="3"/>
      <c r="AQ259" s="3"/>
      <c r="AR259" s="3"/>
      <c r="AS259" s="3"/>
      <c r="AT259" s="3"/>
      <c r="AU259" s="3"/>
      <c r="AV259" s="3"/>
      <c r="AW259" s="3"/>
      <c r="AX259" s="3"/>
      <c r="AY259" s="3"/>
      <c r="BN259" s="3"/>
    </row>
    <row r="260" spans="1:66" ht="13.2" customHeight="1">
      <c r="A260" s="13"/>
      <c r="B260" s="3"/>
      <c r="C260" s="3"/>
      <c r="D260" s="3" t="s">
        <v>1109</v>
      </c>
      <c r="E260" s="3"/>
      <c r="F260" s="3"/>
      <c r="G260" s="3"/>
      <c r="H260" s="3"/>
      <c r="I260" s="3"/>
      <c r="J260" s="3"/>
      <c r="K260" s="3"/>
      <c r="L260" s="3"/>
      <c r="M260" s="1476"/>
      <c r="N260" s="1476"/>
      <c r="O260" s="1476"/>
      <c r="P260" s="1476"/>
      <c r="Q260" s="1476"/>
      <c r="R260" s="1476"/>
      <c r="S260" s="1476"/>
      <c r="T260" s="1476"/>
      <c r="U260" s="1476"/>
      <c r="V260" s="1476"/>
      <c r="W260" s="1476"/>
      <c r="X260" s="1476"/>
      <c r="Y260" s="1476"/>
      <c r="Z260" s="1476"/>
      <c r="AA260" s="1476"/>
      <c r="AB260" s="1476"/>
      <c r="AC260" s="1476"/>
      <c r="AD260" s="1476"/>
      <c r="AE260" s="1476"/>
      <c r="AF260" s="3" t="s">
        <v>1130</v>
      </c>
      <c r="AL260" s="3"/>
      <c r="AM260" s="3"/>
      <c r="AN260" s="3"/>
      <c r="AO260" s="3"/>
      <c r="AP260" s="3"/>
      <c r="AQ260" s="3"/>
      <c r="AR260" s="3"/>
      <c r="AS260" s="3"/>
      <c r="AT260" s="3"/>
      <c r="AU260" s="3"/>
      <c r="AV260" s="3"/>
      <c r="AW260" s="3"/>
      <c r="AX260" s="3"/>
      <c r="AY260" s="3"/>
      <c r="BN260" s="3"/>
    </row>
    <row r="261" spans="1:66" ht="13.2" customHeight="1">
      <c r="A261" s="13"/>
      <c r="B261" s="3"/>
      <c r="C261" s="3"/>
      <c r="D261" s="3" t="s">
        <v>979</v>
      </c>
      <c r="E261" s="3"/>
      <c r="M261" s="1476"/>
      <c r="N261" s="1476"/>
      <c r="O261" s="1476"/>
      <c r="P261" s="1476"/>
      <c r="Q261" s="1476"/>
      <c r="R261" s="1476"/>
      <c r="S261" s="1476"/>
      <c r="T261" s="1476"/>
      <c r="V261" s="948" t="s">
        <v>1111</v>
      </c>
      <c r="W261" s="1349"/>
      <c r="X261" s="1349"/>
      <c r="Y261" s="3" t="s">
        <v>983</v>
      </c>
      <c r="AC261" s="1476"/>
      <c r="AD261" s="1476"/>
      <c r="AE261" s="1476"/>
      <c r="AF261" s="3" t="s">
        <v>1132</v>
      </c>
      <c r="AL261" s="3"/>
      <c r="AM261" s="3"/>
      <c r="AN261" s="3"/>
      <c r="AO261" s="3"/>
      <c r="AP261" s="3"/>
      <c r="AQ261" s="3"/>
      <c r="AR261" s="3"/>
      <c r="AS261" s="3"/>
      <c r="AT261" s="3"/>
      <c r="AU261" s="3"/>
      <c r="AV261" s="3"/>
      <c r="AW261" s="3"/>
      <c r="AX261" s="3"/>
      <c r="AY261" s="3"/>
      <c r="BN261" s="3"/>
    </row>
    <row r="262" spans="1:66" ht="13.2" customHeight="1">
      <c r="A262" s="13"/>
      <c r="B262" s="3"/>
      <c r="C262" s="3"/>
      <c r="D262" s="3" t="s">
        <v>1113</v>
      </c>
      <c r="E262" s="3"/>
      <c r="F262" s="3"/>
      <c r="G262" s="3"/>
      <c r="H262" s="3"/>
      <c r="I262" s="3"/>
      <c r="J262" s="3"/>
      <c r="K262" s="3"/>
      <c r="L262" s="1150"/>
      <c r="M262" s="1476"/>
      <c r="N262" s="1476"/>
      <c r="O262" s="1476"/>
      <c r="P262" s="1476"/>
      <c r="Q262" s="1476"/>
      <c r="R262" s="1476"/>
      <c r="S262" s="1476"/>
      <c r="T262" s="1476"/>
      <c r="U262" s="1476"/>
      <c r="V262" s="1476"/>
      <c r="W262" s="1476"/>
      <c r="X262" s="1476"/>
      <c r="Y262" s="1476"/>
      <c r="Z262" s="1476"/>
      <c r="AA262" s="1476"/>
      <c r="AB262" s="1476"/>
      <c r="AC262" s="1476"/>
      <c r="AD262" s="1476"/>
      <c r="AE262" s="1476"/>
      <c r="AH262" s="1506"/>
      <c r="AI262" s="1506"/>
      <c r="AJ262" s="1506"/>
      <c r="AK262" s="1506"/>
      <c r="AL262" s="3"/>
      <c r="AM262" s="3"/>
      <c r="AN262" s="3"/>
      <c r="AO262" s="3"/>
      <c r="AP262" s="3"/>
      <c r="AQ262" s="3"/>
      <c r="AR262" s="3"/>
      <c r="AS262" s="3"/>
      <c r="AT262" s="3"/>
      <c r="AU262" s="3"/>
      <c r="AV262" s="3"/>
      <c r="AW262" s="3"/>
      <c r="AX262" s="3"/>
      <c r="AY262" s="3"/>
      <c r="BN262" s="3"/>
    </row>
    <row r="263" spans="1:66" ht="13.2" customHeight="1">
      <c r="A263" s="13"/>
      <c r="B263" s="3"/>
      <c r="C263" s="3"/>
      <c r="D263" s="3" t="s">
        <v>1115</v>
      </c>
      <c r="E263" s="3"/>
      <c r="F263" s="3"/>
      <c r="M263" s="1378"/>
      <c r="N263" s="1378"/>
      <c r="O263" s="1378"/>
      <c r="P263" s="1378"/>
      <c r="Q263" s="1378"/>
      <c r="R263" s="1378"/>
      <c r="S263" s="3" t="s">
        <v>1117</v>
      </c>
      <c r="T263" s="3"/>
      <c r="U263" s="1349"/>
      <c r="V263" s="1349"/>
      <c r="W263" s="1349"/>
      <c r="X263" s="3" t="s">
        <v>1118</v>
      </c>
      <c r="Z263" s="1378"/>
      <c r="AA263" s="1378"/>
      <c r="AB263" s="1378"/>
      <c r="AC263" s="1378"/>
      <c r="AD263" s="1378"/>
      <c r="AE263" s="1378"/>
      <c r="AL263" s="3"/>
      <c r="AM263" s="3"/>
      <c r="AN263" s="3"/>
      <c r="AO263" s="3"/>
      <c r="AP263" s="3"/>
      <c r="AQ263" s="3"/>
      <c r="AR263" s="3"/>
      <c r="AS263" s="3"/>
      <c r="AT263" s="3"/>
      <c r="AU263" s="3"/>
      <c r="AV263" s="3"/>
      <c r="AW263" s="3"/>
      <c r="AX263" s="3"/>
      <c r="AY263" s="3"/>
      <c r="BN263" s="3"/>
    </row>
    <row r="264" spans="1:66" ht="13.2" customHeight="1">
      <c r="A264" s="13"/>
      <c r="B264" s="3"/>
      <c r="C264" s="3"/>
      <c r="D264" s="3" t="s">
        <v>1120</v>
      </c>
      <c r="E264" s="3"/>
      <c r="F264" s="3"/>
      <c r="M264" s="1473"/>
      <c r="N264" s="1473"/>
      <c r="O264" s="1473"/>
      <c r="P264" s="1473"/>
      <c r="Q264" s="1473"/>
      <c r="R264" s="1473"/>
      <c r="S264" s="1473"/>
      <c r="T264" s="1473"/>
      <c r="U264" s="1473"/>
      <c r="V264" s="1473"/>
      <c r="W264" s="1473"/>
      <c r="X264" s="1473"/>
      <c r="Y264" s="1473"/>
      <c r="Z264" s="1473"/>
      <c r="AA264" s="1488"/>
      <c r="AB264" s="1488"/>
      <c r="AC264" s="1488"/>
      <c r="AD264" s="1488"/>
      <c r="AE264" s="1488"/>
      <c r="AG264" s="3"/>
      <c r="AH264" s="3"/>
      <c r="AI264" s="3"/>
      <c r="AJ264" s="3"/>
      <c r="AK264" s="3"/>
      <c r="AL264" s="3"/>
      <c r="AM264" s="3"/>
      <c r="AN264" s="3"/>
      <c r="AO264" s="3"/>
      <c r="AP264" s="3"/>
      <c r="AQ264" s="3"/>
      <c r="AR264" s="3"/>
      <c r="AS264" s="3"/>
      <c r="AT264" s="3"/>
      <c r="AU264" s="3"/>
      <c r="AV264" s="3"/>
      <c r="AW264" s="3"/>
      <c r="AX264" s="3"/>
      <c r="AY264" s="3"/>
      <c r="BN264" s="3"/>
    </row>
    <row r="265" spans="1:66" ht="13.2" customHeight="1">
      <c r="A265" s="13"/>
      <c r="B265" s="3"/>
      <c r="C265" s="49"/>
      <c r="D265" s="3" t="s">
        <v>1136</v>
      </c>
      <c r="E265" s="3"/>
      <c r="F265" s="3"/>
      <c r="G265" s="3"/>
      <c r="H265" s="3"/>
      <c r="I265" s="3"/>
      <c r="J265" s="3"/>
      <c r="K265" s="3"/>
      <c r="L265" s="3"/>
      <c r="M265" s="1329" t="s">
        <v>294</v>
      </c>
      <c r="N265" s="1329"/>
      <c r="O265" s="1329"/>
      <c r="P265" s="1329"/>
      <c r="Q265" s="1329"/>
      <c r="R265" s="1329"/>
      <c r="S265" s="1329"/>
      <c r="T265" s="1329"/>
      <c r="U265" s="143" t="s">
        <v>1123</v>
      </c>
      <c r="V265" s="143"/>
      <c r="W265" s="143"/>
      <c r="X265" s="143"/>
      <c r="Y265" s="143"/>
      <c r="Z265" s="143"/>
      <c r="AA265" s="1494"/>
      <c r="AB265" s="1494"/>
      <c r="AC265" s="1494"/>
      <c r="AD265" s="1494"/>
      <c r="AE265" s="1494"/>
      <c r="AF265" s="1494"/>
      <c r="AG265" s="1494"/>
      <c r="AH265" s="1494"/>
      <c r="AI265" s="1494"/>
      <c r="AJ265" s="1494"/>
      <c r="AK265" s="1494"/>
      <c r="AL265" s="3"/>
      <c r="AM265" s="3"/>
      <c r="AN265" s="3"/>
      <c r="AO265" s="3"/>
      <c r="AP265" s="3"/>
      <c r="AQ265" s="3"/>
      <c r="AR265" s="3"/>
      <c r="AS265" s="3"/>
      <c r="AT265" s="3"/>
      <c r="BN265" s="3"/>
    </row>
    <row r="266" spans="1:66" ht="13.2" customHeight="1">
      <c r="A266" s="1150"/>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2" customHeight="1">
      <c r="A267" s="50" t="s">
        <v>1068</v>
      </c>
      <c r="B267" s="3"/>
      <c r="C267" s="2" t="s">
        <v>1148</v>
      </c>
      <c r="D267" s="3"/>
      <c r="E267" s="3"/>
      <c r="F267" s="3"/>
      <c r="G267" s="3"/>
      <c r="H267" s="3"/>
      <c r="I267" s="3"/>
      <c r="J267" s="3"/>
      <c r="K267" s="3"/>
      <c r="L267" s="3"/>
      <c r="M267" s="85"/>
      <c r="N267" s="85"/>
      <c r="O267" s="85"/>
      <c r="P267" s="85"/>
      <c r="Q267" s="85"/>
      <c r="T267" s="1475" t="str">
        <f>IFERROR(BO245,"")</f>
        <v>Joint Venture</v>
      </c>
      <c r="U267" s="1475"/>
      <c r="V267" s="1475"/>
      <c r="W267" s="1475"/>
      <c r="X267" s="1475"/>
      <c r="Z267" s="229" t="s">
        <v>1149</v>
      </c>
      <c r="AA267" s="230"/>
      <c r="AB267" s="230"/>
      <c r="AC267" s="230"/>
      <c r="AD267" s="231"/>
      <c r="AE267" s="231"/>
      <c r="AF267" s="231"/>
      <c r="AG267" s="231"/>
      <c r="AH267" s="231"/>
      <c r="AI267" s="231"/>
      <c r="AJ267" s="231"/>
      <c r="AK267" s="231"/>
      <c r="AL267" s="51"/>
      <c r="BN267" s="3"/>
    </row>
    <row r="268" spans="1:66" ht="13.2" customHeight="1">
      <c r="A268" s="2"/>
      <c r="B268" s="3"/>
      <c r="C268" s="2"/>
      <c r="I268" s="3"/>
      <c r="J268" s="3"/>
      <c r="K268" s="3"/>
      <c r="L268" s="3"/>
      <c r="M268" s="85"/>
      <c r="N268" s="85"/>
      <c r="O268" s="85"/>
      <c r="P268" s="85"/>
      <c r="Q268" s="85"/>
      <c r="T268" s="3"/>
      <c r="U268" s="3"/>
      <c r="V268" s="3"/>
      <c r="W268" s="85"/>
      <c r="Z268" s="232" t="s">
        <v>1150</v>
      </c>
      <c r="AF268" s="3"/>
      <c r="AG268" s="3"/>
      <c r="AH268" s="3"/>
      <c r="AI268" s="3"/>
      <c r="AJ268" s="3"/>
      <c r="AL268" s="57"/>
      <c r="BN268" s="3"/>
    </row>
    <row r="269" spans="1:66" ht="13.2" customHeight="1">
      <c r="A269" s="2" t="s">
        <v>1094</v>
      </c>
      <c r="B269" s="3"/>
      <c r="C269" s="2" t="s">
        <v>123</v>
      </c>
      <c r="D269" s="3"/>
      <c r="E269" s="3"/>
      <c r="F269" s="3"/>
      <c r="G269" s="3"/>
      <c r="H269" s="3"/>
      <c r="I269" s="3"/>
      <c r="J269" s="3"/>
      <c r="K269" s="3"/>
      <c r="L269" s="3"/>
      <c r="M269" s="3"/>
      <c r="N269" s="3"/>
      <c r="O269" s="3"/>
      <c r="P269" s="3"/>
      <c r="Q269" s="3"/>
      <c r="R269" s="3"/>
      <c r="S269" s="3"/>
      <c r="T269" s="3"/>
      <c r="U269" s="3"/>
      <c r="V269" s="3"/>
      <c r="W269" s="3"/>
      <c r="Z269" s="233" t="s">
        <v>1151</v>
      </c>
      <c r="AA269" s="41"/>
      <c r="AB269" s="41"/>
      <c r="AC269" s="41"/>
      <c r="AD269" s="41"/>
      <c r="AE269" s="41"/>
      <c r="AF269" s="817"/>
      <c r="AG269" s="817"/>
      <c r="AH269" s="817"/>
      <c r="AI269" s="817"/>
      <c r="AJ269" s="817"/>
      <c r="AK269" s="41"/>
      <c r="AL269" s="42"/>
      <c r="BN269" s="3"/>
    </row>
    <row r="270" spans="1:66" ht="13.2" customHeight="1">
      <c r="A270" s="3"/>
      <c r="B270" s="29">
        <v>0</v>
      </c>
      <c r="D270" s="1476" t="s">
        <v>1133</v>
      </c>
      <c r="E270" s="1476"/>
      <c r="F270" s="1476"/>
      <c r="G270" s="1476"/>
      <c r="H270" s="1476"/>
      <c r="J270" t="s">
        <v>1152</v>
      </c>
      <c r="X270" s="1487"/>
      <c r="Y270" s="1487"/>
      <c r="Z270" s="1487"/>
      <c r="AA270" s="1487"/>
      <c r="AB270" s="1487"/>
      <c r="AC270" s="1487"/>
      <c r="AU270" s="3"/>
      <c r="AV270" s="3"/>
      <c r="AW270" s="3"/>
      <c r="AX270" s="3"/>
      <c r="AY270" s="3"/>
      <c r="BN270" s="3"/>
    </row>
    <row r="271" spans="1:66" ht="13.2" customHeight="1">
      <c r="A271" s="3"/>
      <c r="B271" s="1150"/>
      <c r="D271" s="30" t="s">
        <v>1153</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2"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8"/>
      <c r="AA272" s="278"/>
      <c r="AB272" s="278"/>
      <c r="AC272" s="278"/>
      <c r="AD272" s="278"/>
      <c r="AE272" s="3"/>
      <c r="AK272" s="3"/>
      <c r="AL272" s="3"/>
      <c r="AM272" s="3"/>
      <c r="AN272" s="3"/>
      <c r="AO272" s="3"/>
      <c r="AP272" s="3"/>
      <c r="AQ272" s="3"/>
      <c r="AR272" s="3"/>
      <c r="AS272" s="3"/>
      <c r="AT272" s="3"/>
      <c r="BN272" s="3"/>
    </row>
    <row r="273" spans="1:66" ht="13.2" customHeight="1">
      <c r="A273" s="2" t="s">
        <v>1154</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2" customHeight="1">
      <c r="D274" s="3" t="s">
        <v>1155</v>
      </c>
      <c r="E274" s="3"/>
      <c r="F274" s="3"/>
      <c r="G274" s="3"/>
      <c r="H274" s="3"/>
      <c r="I274" s="3"/>
      <c r="J274" s="3"/>
      <c r="K274" s="3"/>
      <c r="L274" s="1477" t="s">
        <v>1156</v>
      </c>
      <c r="M274" s="1477"/>
      <c r="N274" s="1477"/>
      <c r="O274" s="1477"/>
      <c r="P274" s="1477"/>
      <c r="Q274" s="1477"/>
      <c r="R274" s="1477"/>
      <c r="S274" s="1477"/>
      <c r="T274" s="1477"/>
      <c r="U274" s="1477"/>
      <c r="V274" s="1477"/>
      <c r="W274" s="1477"/>
      <c r="X274" s="1477"/>
      <c r="Y274" s="1477"/>
      <c r="Z274" s="1477"/>
      <c r="AA274" s="1477"/>
      <c r="AB274" s="1477"/>
      <c r="AC274" s="1477"/>
      <c r="AD274" s="1477"/>
      <c r="AE274" s="1477"/>
      <c r="AF274" s="1477"/>
      <c r="AG274" s="1477"/>
      <c r="AH274" s="1477"/>
      <c r="AI274" s="1477"/>
      <c r="AJ274" s="1477"/>
      <c r="AK274" s="3"/>
      <c r="AL274" s="3"/>
      <c r="AM274" s="3"/>
      <c r="AN274" s="3"/>
      <c r="AO274" s="3"/>
      <c r="AP274" s="3"/>
      <c r="AQ274" s="3"/>
      <c r="AR274" s="3"/>
      <c r="AS274" s="3"/>
      <c r="AT274" s="3"/>
      <c r="AU274" s="3"/>
      <c r="AV274" s="3"/>
      <c r="AW274" s="3"/>
      <c r="AX274" s="3"/>
      <c r="AY274" s="3"/>
      <c r="BN274" s="3"/>
    </row>
    <row r="275" spans="1:66" ht="13.2" customHeight="1">
      <c r="D275" s="3" t="s">
        <v>1109</v>
      </c>
      <c r="E275" s="3"/>
      <c r="F275" s="3"/>
      <c r="G275" s="3"/>
      <c r="H275" s="3"/>
      <c r="I275" s="3"/>
      <c r="J275" s="3"/>
      <c r="K275" s="3"/>
      <c r="L275" s="1476" t="s">
        <v>1157</v>
      </c>
      <c r="M275" s="1476"/>
      <c r="N275" s="1476"/>
      <c r="O275" s="1476"/>
      <c r="P275" s="1476"/>
      <c r="Q275" s="1476"/>
      <c r="R275" s="1476"/>
      <c r="S275" s="1476"/>
      <c r="T275" s="1476"/>
      <c r="U275" s="1476"/>
      <c r="V275" s="1476"/>
      <c r="W275" s="1476"/>
      <c r="X275" s="1476"/>
      <c r="Y275" s="1476"/>
      <c r="Z275" s="1476"/>
      <c r="AA275" s="1476"/>
      <c r="AB275" s="1476"/>
      <c r="AC275" s="1476"/>
      <c r="AD275" s="1476"/>
      <c r="AK275" s="3"/>
      <c r="AL275" s="3"/>
      <c r="AM275" s="3"/>
      <c r="AN275" s="3"/>
      <c r="AO275" s="3"/>
      <c r="AP275" s="3"/>
      <c r="AQ275" s="3"/>
      <c r="AR275" s="3"/>
      <c r="AS275" s="3"/>
      <c r="AT275" s="3"/>
      <c r="AU275" s="3"/>
      <c r="AV275" s="3"/>
      <c r="AW275" s="3"/>
      <c r="AX275" s="3"/>
      <c r="AY275" s="3"/>
      <c r="BN275" s="3"/>
    </row>
    <row r="276" spans="1:66" ht="13.2" customHeight="1">
      <c r="D276" s="3" t="s">
        <v>979</v>
      </c>
      <c r="E276" s="3"/>
      <c r="L276" s="1476" t="s">
        <v>982</v>
      </c>
      <c r="M276" s="1476"/>
      <c r="N276" s="1476"/>
      <c r="O276" s="1476"/>
      <c r="P276" s="1476"/>
      <c r="Q276" s="1476"/>
      <c r="R276" s="1476"/>
      <c r="S276" s="1476"/>
      <c r="U276" s="948" t="s">
        <v>1111</v>
      </c>
      <c r="V276" s="1349" t="s">
        <v>1142</v>
      </c>
      <c r="W276" s="1349"/>
      <c r="X276" s="3" t="s">
        <v>983</v>
      </c>
      <c r="AB276" s="1476">
        <v>92507</v>
      </c>
      <c r="AC276" s="1476"/>
      <c r="AD276" s="1476"/>
      <c r="AK276" s="3"/>
      <c r="AL276" s="3"/>
      <c r="AM276" s="3"/>
      <c r="AN276" s="3"/>
      <c r="AO276" s="3"/>
      <c r="AP276" s="3"/>
      <c r="AQ276" s="3"/>
      <c r="AR276" s="3"/>
      <c r="AS276" s="3"/>
      <c r="AT276" s="3"/>
      <c r="AU276" s="3"/>
      <c r="AV276" s="3"/>
      <c r="AW276" s="3"/>
      <c r="AX276" s="3"/>
      <c r="AY276" s="3"/>
      <c r="BN276" s="3"/>
    </row>
    <row r="277" spans="1:66" ht="13.2" customHeight="1">
      <c r="D277" s="3" t="s">
        <v>1113</v>
      </c>
      <c r="E277" s="3"/>
      <c r="F277" s="3"/>
      <c r="G277" s="3"/>
      <c r="H277" s="3"/>
      <c r="I277" s="3"/>
      <c r="J277" s="3"/>
      <c r="K277" s="1150"/>
      <c r="L277" s="1476" t="s">
        <v>1158</v>
      </c>
      <c r="M277" s="1476"/>
      <c r="N277" s="1476"/>
      <c r="O277" s="1476"/>
      <c r="P277" s="1476"/>
      <c r="Q277" s="1476"/>
      <c r="R277" s="1476"/>
      <c r="S277" s="1476"/>
      <c r="T277" s="1476"/>
      <c r="U277" s="1476"/>
      <c r="V277" s="1476"/>
      <c r="W277" s="1476"/>
      <c r="X277" s="1476"/>
      <c r="Y277" s="1476"/>
      <c r="Z277" s="1476"/>
      <c r="AA277" s="1476"/>
      <c r="AB277" s="1476"/>
      <c r="AC277" s="1476"/>
      <c r="AD277" s="1476"/>
      <c r="AI277" s="3"/>
      <c r="AJ277" s="3"/>
      <c r="AK277" s="3"/>
      <c r="AL277" s="3"/>
      <c r="AM277" s="3"/>
      <c r="AN277" s="3"/>
      <c r="AO277" s="3"/>
      <c r="AP277" s="3"/>
      <c r="AQ277" s="3"/>
      <c r="AR277" s="3"/>
      <c r="AS277" s="3"/>
      <c r="AT277" s="3"/>
      <c r="BN277" s="3"/>
    </row>
    <row r="278" spans="1:66" ht="13.2" customHeight="1">
      <c r="D278" s="3" t="s">
        <v>1115</v>
      </c>
      <c r="E278" s="3"/>
      <c r="F278" s="3"/>
      <c r="L278" s="1378" t="s">
        <v>1159</v>
      </c>
      <c r="M278" s="1378"/>
      <c r="N278" s="1378"/>
      <c r="O278" s="1378"/>
      <c r="P278" s="1378"/>
      <c r="Q278" s="1378"/>
      <c r="R278" s="3" t="s">
        <v>1117</v>
      </c>
      <c r="S278" s="3"/>
      <c r="T278" s="1349"/>
      <c r="U278" s="1349"/>
      <c r="V278" s="1349"/>
      <c r="W278" s="3" t="s">
        <v>1118</v>
      </c>
      <c r="Y278" s="1378"/>
      <c r="Z278" s="1378"/>
      <c r="AA278" s="1378"/>
      <c r="AB278" s="1378"/>
      <c r="AC278" s="1378"/>
      <c r="AD278" s="1378"/>
      <c r="BN278" s="3"/>
    </row>
    <row r="279" spans="1:66" ht="13.2" customHeight="1">
      <c r="D279" s="3" t="s">
        <v>1120</v>
      </c>
      <c r="E279" s="3"/>
      <c r="F279" s="3"/>
      <c r="L279" s="1473" t="s">
        <v>1160</v>
      </c>
      <c r="M279" s="1473"/>
      <c r="N279" s="1473"/>
      <c r="O279" s="1473"/>
      <c r="P279" s="1473"/>
      <c r="Q279" s="1473"/>
      <c r="R279" s="1473"/>
      <c r="S279" s="1473"/>
      <c r="T279" s="1473"/>
      <c r="U279" s="1473"/>
      <c r="V279" s="1473"/>
      <c r="W279" s="1473"/>
      <c r="X279" s="1473"/>
      <c r="Y279" s="1473"/>
      <c r="Z279" s="1473"/>
      <c r="AA279" s="1473"/>
      <c r="AB279" s="1473"/>
      <c r="AC279" s="1473"/>
      <c r="AD279" s="1473"/>
      <c r="AF279" s="3"/>
      <c r="AG279" s="3"/>
      <c r="AH279" s="3"/>
      <c r="AI279" s="3"/>
      <c r="AJ279" s="3"/>
      <c r="AU279" s="3"/>
      <c r="AV279" s="3"/>
      <c r="AW279" s="3"/>
      <c r="AX279" s="3"/>
      <c r="AY279" s="3"/>
      <c r="BN279" s="3"/>
    </row>
    <row r="280" spans="1:66" ht="13.2" customHeight="1">
      <c r="D280" s="3" t="s">
        <v>1161</v>
      </c>
      <c r="E280" s="3"/>
      <c r="F280" s="3"/>
      <c r="G280" s="3"/>
      <c r="H280" s="3"/>
      <c r="I280" s="3"/>
      <c r="L280" s="1349" t="s">
        <v>1162</v>
      </c>
      <c r="M280" s="1349"/>
      <c r="N280" s="1349"/>
      <c r="O280" s="1349"/>
      <c r="P280" s="1349"/>
      <c r="Q280" s="1349"/>
      <c r="R280" s="1349"/>
      <c r="S280" s="1349"/>
      <c r="T280" s="1349"/>
      <c r="U280" s="1349"/>
      <c r="V280" s="1349"/>
      <c r="W280" s="1349"/>
      <c r="X280" s="1349"/>
      <c r="Y280" s="1349"/>
      <c r="Z280" s="1349"/>
      <c r="AA280" s="1349"/>
      <c r="AB280" s="1349"/>
      <c r="AC280" s="1349"/>
      <c r="AD280" s="1349"/>
      <c r="AK280" s="3"/>
      <c r="AL280" s="3"/>
      <c r="AM280" s="3"/>
      <c r="AN280" s="3"/>
      <c r="AO280" s="3"/>
      <c r="AP280" s="3"/>
      <c r="AQ280" s="3"/>
      <c r="AR280" s="3"/>
      <c r="AS280" s="3"/>
      <c r="AT280" s="3"/>
      <c r="BN280" s="3"/>
    </row>
    <row r="281" spans="1:66" ht="13.2" customHeight="1">
      <c r="L281" s="20" t="s">
        <v>1163</v>
      </c>
      <c r="AU281" s="71"/>
      <c r="AV281" s="71"/>
      <c r="AW281" s="71"/>
      <c r="AX281" s="71"/>
      <c r="AY281" s="71"/>
      <c r="BN281" s="3"/>
    </row>
    <row r="282" spans="1:66" ht="13.2" customHeight="1">
      <c r="A282" s="1478" t="s">
        <v>1164</v>
      </c>
      <c r="B282" s="1478"/>
      <c r="C282" s="1478"/>
      <c r="D282" s="1478"/>
      <c r="E282" s="1478"/>
      <c r="F282" s="1478"/>
      <c r="G282" s="1478"/>
      <c r="H282" s="1478"/>
      <c r="I282" s="1478"/>
      <c r="J282" s="1478"/>
      <c r="K282" s="1478"/>
      <c r="L282" s="1478"/>
      <c r="M282" s="1478"/>
      <c r="N282" s="1478"/>
      <c r="O282" s="1478"/>
      <c r="P282" s="1478"/>
      <c r="Q282" s="1478"/>
      <c r="R282" s="1478"/>
      <c r="S282" s="1478"/>
      <c r="T282" s="1478"/>
      <c r="U282" s="1478"/>
      <c r="V282" s="1478"/>
      <c r="W282" s="1478"/>
      <c r="X282" s="1478"/>
      <c r="Y282" s="1478"/>
      <c r="Z282" s="1478"/>
      <c r="AA282" s="1478"/>
      <c r="AB282" s="1478"/>
      <c r="AC282" s="1478"/>
      <c r="AD282" s="1478"/>
      <c r="AE282" s="1478"/>
      <c r="AF282" s="1478"/>
      <c r="AG282" s="1478"/>
      <c r="AH282" s="1478"/>
      <c r="AI282" s="1478"/>
      <c r="AJ282" s="1478"/>
      <c r="AK282" s="1478"/>
      <c r="AL282" s="1478"/>
      <c r="AM282" s="1478"/>
      <c r="AN282" s="1478"/>
      <c r="AO282" s="1478"/>
      <c r="AP282" s="1478"/>
      <c r="AQ282" s="1478"/>
      <c r="AR282" s="1478"/>
      <c r="AS282" s="1478"/>
      <c r="AT282" s="1478"/>
      <c r="AU282" s="71"/>
      <c r="AV282" s="71"/>
      <c r="AW282" s="71"/>
      <c r="AX282" s="71"/>
      <c r="AY282" s="71"/>
      <c r="BN282" s="3"/>
    </row>
    <row r="283" spans="1:66" ht="13.2" customHeight="1">
      <c r="A283" s="1478"/>
      <c r="B283" s="1478"/>
      <c r="C283" s="1478"/>
      <c r="D283" s="1478"/>
      <c r="E283" s="1478"/>
      <c r="F283" s="1478"/>
      <c r="G283" s="1478"/>
      <c r="H283" s="1478"/>
      <c r="I283" s="1478"/>
      <c r="J283" s="1478"/>
      <c r="K283" s="1478"/>
      <c r="L283" s="1478"/>
      <c r="M283" s="1478"/>
      <c r="N283" s="1478"/>
      <c r="O283" s="1478"/>
      <c r="P283" s="1478"/>
      <c r="Q283" s="1478"/>
      <c r="R283" s="1478"/>
      <c r="S283" s="1478"/>
      <c r="T283" s="1478"/>
      <c r="U283" s="1478"/>
      <c r="V283" s="1478"/>
      <c r="W283" s="1478"/>
      <c r="X283" s="1478"/>
      <c r="Y283" s="1478"/>
      <c r="Z283" s="1478"/>
      <c r="AA283" s="1478"/>
      <c r="AB283" s="1478"/>
      <c r="AC283" s="1478"/>
      <c r="AD283" s="1478"/>
      <c r="AE283" s="1478"/>
      <c r="AF283" s="1478"/>
      <c r="AG283" s="1478"/>
      <c r="AH283" s="1478"/>
      <c r="AI283" s="1478"/>
      <c r="AJ283" s="1478"/>
      <c r="AK283" s="1478"/>
      <c r="AL283" s="1478"/>
      <c r="AM283" s="1478"/>
      <c r="AN283" s="1478"/>
      <c r="AO283" s="1478"/>
      <c r="AP283" s="1478"/>
      <c r="AQ283" s="1478"/>
      <c r="AR283" s="1478"/>
      <c r="AS283" s="1478"/>
      <c r="AT283" s="1478"/>
      <c r="AU283" s="22"/>
      <c r="AV283" s="22"/>
      <c r="AW283" s="22"/>
      <c r="AX283" s="22"/>
      <c r="AY283" s="22"/>
      <c r="BN283" s="3"/>
    </row>
    <row r="284" spans="1:66" ht="13.2"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2" customHeight="1">
      <c r="A285" s="2" t="s">
        <v>919</v>
      </c>
      <c r="C285" s="2" t="s">
        <v>1165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2"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2" customHeight="1">
      <c r="B287" s="3" t="s">
        <v>1166</v>
      </c>
      <c r="C287" s="3"/>
      <c r="D287" s="3"/>
      <c r="E287" s="3"/>
      <c r="F287" s="3"/>
      <c r="H287" s="1381" t="s">
        <v>1146</v>
      </c>
      <c r="I287" s="1381"/>
      <c r="J287" s="1381"/>
      <c r="K287" s="1381"/>
      <c r="L287" s="1381"/>
      <c r="M287" s="1381"/>
      <c r="N287" s="1381"/>
      <c r="O287" s="1381"/>
      <c r="P287" s="1381"/>
      <c r="Q287" s="1381"/>
      <c r="R287" s="1381"/>
      <c r="T287" s="3" t="s">
        <v>1167</v>
      </c>
      <c r="V287" s="3"/>
      <c r="W287" s="3"/>
      <c r="X287" s="3"/>
      <c r="Y287" s="3"/>
      <c r="AA287" s="1381" t="s">
        <v>1168</v>
      </c>
      <c r="AB287" s="1381"/>
      <c r="AC287" s="1381"/>
      <c r="AD287" s="1381"/>
      <c r="AE287" s="1381"/>
      <c r="AF287" s="1381"/>
      <c r="AG287" s="1381"/>
      <c r="AH287" s="1381"/>
      <c r="AI287" s="1381"/>
      <c r="AJ287" s="1381"/>
      <c r="AK287" s="1381"/>
      <c r="BN287" s="3"/>
    </row>
    <row r="288" spans="1:66" ht="13.2" customHeight="1">
      <c r="B288" s="3" t="s">
        <v>1169</v>
      </c>
      <c r="C288" s="3"/>
      <c r="D288" s="3"/>
      <c r="E288" s="3"/>
      <c r="F288" s="3"/>
      <c r="H288" s="1329" t="s">
        <v>1170</v>
      </c>
      <c r="I288" s="1329"/>
      <c r="J288" s="1329"/>
      <c r="K288" s="1329"/>
      <c r="L288" s="1329"/>
      <c r="M288" s="1329"/>
      <c r="N288" s="1329"/>
      <c r="O288" s="1329"/>
      <c r="P288" s="1329"/>
      <c r="Q288" s="1329"/>
      <c r="R288" s="1329"/>
      <c r="T288" s="3" t="s">
        <v>1169</v>
      </c>
      <c r="V288" s="3"/>
      <c r="W288" s="3"/>
      <c r="X288" s="3"/>
      <c r="Y288" s="3"/>
      <c r="AA288" s="1329" t="s">
        <v>1171</v>
      </c>
      <c r="AB288" s="1329"/>
      <c r="AC288" s="1329"/>
      <c r="AD288" s="1329"/>
      <c r="AE288" s="1329"/>
      <c r="AF288" s="1329"/>
      <c r="AG288" s="1329"/>
      <c r="AH288" s="1329"/>
      <c r="AI288" s="1329"/>
      <c r="AJ288" s="1329"/>
      <c r="AK288" s="1329"/>
      <c r="BN288" s="3"/>
    </row>
    <row r="289" spans="2:66" ht="13.2" customHeight="1">
      <c r="B289" s="3" t="s">
        <v>1172</v>
      </c>
      <c r="C289" s="3"/>
      <c r="D289" s="3"/>
      <c r="E289" s="3"/>
      <c r="F289" s="3"/>
      <c r="H289" s="1329" t="s">
        <v>1173</v>
      </c>
      <c r="I289" s="1329"/>
      <c r="J289" s="1329"/>
      <c r="K289" s="1329"/>
      <c r="L289" s="1329"/>
      <c r="M289" s="1329"/>
      <c r="N289" s="1329"/>
      <c r="O289" s="1329"/>
      <c r="P289" s="1329"/>
      <c r="Q289" s="1329"/>
      <c r="R289" s="1329"/>
      <c r="T289" s="3" t="s">
        <v>1174</v>
      </c>
      <c r="V289" s="3"/>
      <c r="W289" s="3"/>
      <c r="X289" s="3"/>
      <c r="Y289" s="3"/>
      <c r="AA289" s="1329" t="s">
        <v>1175</v>
      </c>
      <c r="AB289" s="1329"/>
      <c r="AC289" s="1329"/>
      <c r="AD289" s="1329"/>
      <c r="AE289" s="1329"/>
      <c r="AF289" s="1329"/>
      <c r="AG289" s="1329"/>
      <c r="AH289" s="1329"/>
      <c r="AI289" s="1329"/>
      <c r="AJ289" s="1329"/>
      <c r="AK289" s="1329"/>
      <c r="BN289" s="3"/>
    </row>
    <row r="290" spans="2:66" ht="13.2" customHeight="1">
      <c r="B290" s="3" t="s">
        <v>1113</v>
      </c>
      <c r="C290" s="3"/>
      <c r="D290" s="3"/>
      <c r="E290" s="3"/>
      <c r="F290" s="3"/>
      <c r="H290" s="1329" t="s">
        <v>1143</v>
      </c>
      <c r="I290" s="1329"/>
      <c r="J290" s="1329"/>
      <c r="K290" s="1329"/>
      <c r="L290" s="1329"/>
      <c r="M290" s="1329"/>
      <c r="N290" s="1329"/>
      <c r="O290" s="1329"/>
      <c r="P290" s="1329"/>
      <c r="Q290" s="1329"/>
      <c r="R290" s="1329"/>
      <c r="T290" s="3" t="s">
        <v>1113</v>
      </c>
      <c r="V290" s="3"/>
      <c r="W290" s="3"/>
      <c r="X290" s="3"/>
      <c r="Y290" s="3"/>
      <c r="AA290" s="1329" t="s">
        <v>1176</v>
      </c>
      <c r="AB290" s="1329"/>
      <c r="AC290" s="1329"/>
      <c r="AD290" s="1329"/>
      <c r="AE290" s="1329"/>
      <c r="AF290" s="1329"/>
      <c r="AG290" s="1329"/>
      <c r="AH290" s="1329"/>
      <c r="AI290" s="1329"/>
      <c r="AJ290" s="1329"/>
      <c r="AK290" s="1329"/>
      <c r="BN290" s="3"/>
    </row>
    <row r="291" spans="2:66" ht="13.2" customHeight="1">
      <c r="B291" s="3" t="s">
        <v>1115</v>
      </c>
      <c r="C291" s="3"/>
      <c r="D291" s="3"/>
      <c r="E291" s="3"/>
      <c r="F291" s="3"/>
      <c r="G291" s="3"/>
      <c r="H291" s="1474" t="s">
        <v>1144</v>
      </c>
      <c r="I291" s="1474"/>
      <c r="J291" s="1474"/>
      <c r="K291" s="1474"/>
      <c r="L291" s="1474"/>
      <c r="M291" s="1474"/>
      <c r="N291" s="3" t="s">
        <v>1117</v>
      </c>
      <c r="O291" s="3"/>
      <c r="P291" s="1476"/>
      <c r="Q291" s="1476"/>
      <c r="R291" s="1476"/>
      <c r="S291" s="3"/>
      <c r="T291" s="3" t="s">
        <v>1115</v>
      </c>
      <c r="V291" s="3"/>
      <c r="W291" s="3"/>
      <c r="X291" s="3"/>
      <c r="Y291" s="3"/>
      <c r="AA291" s="1474" t="s">
        <v>1177</v>
      </c>
      <c r="AB291" s="1474"/>
      <c r="AC291" s="1474"/>
      <c r="AD291" s="1474"/>
      <c r="AE291" s="1474"/>
      <c r="AF291" s="1474"/>
      <c r="AG291" s="3" t="s">
        <v>1117</v>
      </c>
      <c r="AH291" s="3"/>
      <c r="AI291" s="1476"/>
      <c r="AJ291" s="1476"/>
      <c r="AK291" s="1476"/>
      <c r="BN291" s="3"/>
    </row>
    <row r="292" spans="2:66" ht="13.2" customHeight="1">
      <c r="B292" s="3" t="s">
        <v>1118</v>
      </c>
      <c r="C292" s="3"/>
      <c r="D292" s="3"/>
      <c r="E292" s="3"/>
      <c r="F292" s="3"/>
      <c r="G292" s="3"/>
      <c r="H292" s="1378"/>
      <c r="I292" s="1378"/>
      <c r="J292" s="1378"/>
      <c r="K292" s="1378"/>
      <c r="L292" s="1378"/>
      <c r="M292" s="1378"/>
      <c r="N292" s="3"/>
      <c r="O292" s="3"/>
      <c r="P292" s="85"/>
      <c r="Q292" s="85"/>
      <c r="R292" s="85"/>
      <c r="S292" s="3"/>
      <c r="T292" s="3" t="s">
        <v>1118</v>
      </c>
      <c r="V292" s="3"/>
      <c r="W292" s="3"/>
      <c r="X292" s="3"/>
      <c r="Y292" s="3"/>
      <c r="AA292" s="1378"/>
      <c r="AB292" s="1378"/>
      <c r="AC292" s="1378"/>
      <c r="AD292" s="1378"/>
      <c r="AE292" s="1378"/>
      <c r="AF292" s="1378"/>
      <c r="AG292" s="3"/>
      <c r="AH292" s="3"/>
      <c r="AI292" s="85"/>
      <c r="AJ292" s="85"/>
      <c r="AK292" s="85"/>
      <c r="BN292" s="3"/>
    </row>
    <row r="293" spans="2:66" ht="13.2" customHeight="1">
      <c r="B293" s="3" t="s">
        <v>1178</v>
      </c>
      <c r="C293" s="3"/>
      <c r="D293" s="3"/>
      <c r="E293" s="3"/>
      <c r="F293" s="3"/>
      <c r="G293" s="3"/>
      <c r="H293" s="1329" t="s">
        <v>1145</v>
      </c>
      <c r="I293" s="1329"/>
      <c r="J293" s="1329"/>
      <c r="K293" s="1329"/>
      <c r="L293" s="1329"/>
      <c r="M293" s="1329"/>
      <c r="N293" s="1381"/>
      <c r="O293" s="1381"/>
      <c r="P293" s="1381"/>
      <c r="Q293" s="1381"/>
      <c r="R293" s="1381"/>
      <c r="S293" s="3"/>
      <c r="T293" s="3" t="s">
        <v>1178</v>
      </c>
      <c r="V293" s="3"/>
      <c r="W293" s="3"/>
      <c r="X293" s="3"/>
      <c r="Y293" s="3"/>
      <c r="AA293" s="1329" t="s">
        <v>1179</v>
      </c>
      <c r="AB293" s="1329"/>
      <c r="AC293" s="1329"/>
      <c r="AD293" s="1329"/>
      <c r="AE293" s="1329"/>
      <c r="AF293" s="1329"/>
      <c r="AG293" s="1381"/>
      <c r="AH293" s="1381"/>
      <c r="AI293" s="1381"/>
      <c r="AJ293" s="1381"/>
      <c r="AK293" s="1381"/>
      <c r="BN293" s="3"/>
    </row>
    <row r="294" spans="2:66" ht="13.2"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2" customHeight="1">
      <c r="B295" s="3" t="s">
        <v>1180</v>
      </c>
      <c r="C295" s="3"/>
      <c r="D295" s="3"/>
      <c r="E295" s="3"/>
      <c r="F295" s="3"/>
      <c r="H295" s="1381" t="s">
        <v>1181</v>
      </c>
      <c r="I295" s="1381"/>
      <c r="J295" s="1381"/>
      <c r="K295" s="1381"/>
      <c r="L295" s="1381"/>
      <c r="M295" s="1381"/>
      <c r="N295" s="1381"/>
      <c r="O295" s="1381"/>
      <c r="P295" s="1381"/>
      <c r="Q295" s="1381"/>
      <c r="R295" s="1381"/>
      <c r="T295" s="3" t="s">
        <v>1182</v>
      </c>
      <c r="V295" s="3"/>
      <c r="W295" s="3"/>
      <c r="X295" s="3"/>
      <c r="Y295" s="3"/>
      <c r="AA295" s="1381" t="s">
        <v>1183</v>
      </c>
      <c r="AB295" s="1381"/>
      <c r="AC295" s="1381"/>
      <c r="AD295" s="1381"/>
      <c r="AE295" s="1381"/>
      <c r="AF295" s="1381"/>
      <c r="AG295" s="1381"/>
      <c r="AH295" s="1381"/>
      <c r="AI295" s="1381"/>
      <c r="AJ295" s="1381"/>
      <c r="AK295" s="1381"/>
      <c r="BN295" s="3"/>
    </row>
    <row r="296" spans="2:66" ht="13.2" customHeight="1">
      <c r="B296" s="3" t="s">
        <v>1169</v>
      </c>
      <c r="C296" s="3"/>
      <c r="D296" s="3"/>
      <c r="E296" s="3"/>
      <c r="F296" s="3"/>
      <c r="H296" s="1329" t="s">
        <v>1184</v>
      </c>
      <c r="I296" s="1329"/>
      <c r="J296" s="1329"/>
      <c r="K296" s="1329"/>
      <c r="L296" s="1329"/>
      <c r="M296" s="1329"/>
      <c r="N296" s="1329"/>
      <c r="O296" s="1329"/>
      <c r="P296" s="1329"/>
      <c r="Q296" s="1329"/>
      <c r="R296" s="1329"/>
      <c r="T296" s="3" t="s">
        <v>1169</v>
      </c>
      <c r="V296" s="3"/>
      <c r="W296" s="3"/>
      <c r="X296" s="3"/>
      <c r="Y296" s="3"/>
      <c r="AA296" s="1329" t="s">
        <v>1185</v>
      </c>
      <c r="AB296" s="1329"/>
      <c r="AC296" s="1329"/>
      <c r="AD296" s="1329"/>
      <c r="AE296" s="1329"/>
      <c r="AF296" s="1329"/>
      <c r="AG296" s="1329"/>
      <c r="AH296" s="1329"/>
      <c r="AI296" s="1329"/>
      <c r="AJ296" s="1329"/>
      <c r="AK296" s="1329"/>
      <c r="BN296" s="3"/>
    </row>
    <row r="297" spans="2:66" ht="13.2" customHeight="1">
      <c r="B297" s="3" t="s">
        <v>1172</v>
      </c>
      <c r="C297" s="3"/>
      <c r="D297" s="3"/>
      <c r="E297" s="3"/>
      <c r="F297" s="3"/>
      <c r="H297" s="1329" t="s">
        <v>1186</v>
      </c>
      <c r="I297" s="1329"/>
      <c r="J297" s="1329"/>
      <c r="K297" s="1329"/>
      <c r="L297" s="1329"/>
      <c r="M297" s="1329"/>
      <c r="N297" s="1329"/>
      <c r="O297" s="1329"/>
      <c r="P297" s="1329"/>
      <c r="Q297" s="1329"/>
      <c r="R297" s="1329"/>
      <c r="T297" s="3" t="s">
        <v>1174</v>
      </c>
      <c r="V297" s="3"/>
      <c r="W297" s="3"/>
      <c r="X297" s="3"/>
      <c r="Y297" s="3"/>
      <c r="AA297" s="1329" t="s">
        <v>1187</v>
      </c>
      <c r="AB297" s="1329"/>
      <c r="AC297" s="1329"/>
      <c r="AD297" s="1329"/>
      <c r="AE297" s="1329"/>
      <c r="AF297" s="1329"/>
      <c r="AG297" s="1329"/>
      <c r="AH297" s="1329"/>
      <c r="AI297" s="1329"/>
      <c r="AJ297" s="1329"/>
      <c r="AK297" s="1329"/>
      <c r="BN297" s="3"/>
    </row>
    <row r="298" spans="2:66" ht="13.2" customHeight="1">
      <c r="B298" s="3" t="s">
        <v>1113</v>
      </c>
      <c r="C298" s="3"/>
      <c r="D298" s="3"/>
      <c r="E298" s="3"/>
      <c r="F298" s="3"/>
      <c r="H298" s="1329" t="s">
        <v>1188</v>
      </c>
      <c r="I298" s="1329"/>
      <c r="J298" s="1329"/>
      <c r="K298" s="1329"/>
      <c r="L298" s="1329"/>
      <c r="M298" s="1329"/>
      <c r="N298" s="1329"/>
      <c r="O298" s="1329"/>
      <c r="P298" s="1329"/>
      <c r="Q298" s="1329"/>
      <c r="R298" s="1329"/>
      <c r="T298" s="3" t="s">
        <v>1113</v>
      </c>
      <c r="V298" s="3"/>
      <c r="W298" s="3"/>
      <c r="X298" s="3"/>
      <c r="Y298" s="3"/>
      <c r="AA298" s="1329" t="s">
        <v>1189</v>
      </c>
      <c r="AB298" s="1329"/>
      <c r="AC298" s="1329"/>
      <c r="AD298" s="1329"/>
      <c r="AE298" s="1329"/>
      <c r="AF298" s="1329"/>
      <c r="AG298" s="1329"/>
      <c r="AH298" s="1329"/>
      <c r="AI298" s="1329"/>
      <c r="AJ298" s="1329"/>
      <c r="AK298" s="1329"/>
      <c r="BN298" s="3"/>
    </row>
    <row r="299" spans="2:66" ht="13.2" customHeight="1">
      <c r="B299" s="3" t="s">
        <v>1115</v>
      </c>
      <c r="C299" s="3"/>
      <c r="D299" s="3"/>
      <c r="E299" s="3"/>
      <c r="F299" s="3"/>
      <c r="G299" s="3"/>
      <c r="H299" s="1474" t="s">
        <v>1190</v>
      </c>
      <c r="I299" s="1474"/>
      <c r="J299" s="1474"/>
      <c r="K299" s="1474"/>
      <c r="L299" s="1474"/>
      <c r="M299" s="1474"/>
      <c r="N299" s="3" t="s">
        <v>1117</v>
      </c>
      <c r="O299" s="3"/>
      <c r="P299" s="1476"/>
      <c r="Q299" s="1476"/>
      <c r="R299" s="1476"/>
      <c r="S299" s="3"/>
      <c r="T299" s="3" t="s">
        <v>1115</v>
      </c>
      <c r="V299" s="3"/>
      <c r="W299" s="3"/>
      <c r="X299" s="3"/>
      <c r="Y299" s="3"/>
      <c r="AA299" s="1474" t="s">
        <v>1191</v>
      </c>
      <c r="AB299" s="1474"/>
      <c r="AC299" s="1474"/>
      <c r="AD299" s="1474"/>
      <c r="AE299" s="1474"/>
      <c r="AF299" s="1474"/>
      <c r="AG299" s="3" t="s">
        <v>1117</v>
      </c>
      <c r="AH299" s="3"/>
      <c r="AI299" s="1476"/>
      <c r="AJ299" s="1476"/>
      <c r="AK299" s="1476"/>
      <c r="BN299" s="3"/>
    </row>
    <row r="300" spans="2:66" ht="13.2" customHeight="1">
      <c r="B300" s="3" t="s">
        <v>1118</v>
      </c>
      <c r="C300" s="3"/>
      <c r="D300" s="3"/>
      <c r="E300" s="3"/>
      <c r="F300" s="3"/>
      <c r="G300" s="3"/>
      <c r="H300" s="1378"/>
      <c r="I300" s="1378"/>
      <c r="J300" s="1378"/>
      <c r="K300" s="1378"/>
      <c r="L300" s="1378"/>
      <c r="M300" s="1378"/>
      <c r="N300" s="3"/>
      <c r="O300" s="3"/>
      <c r="P300" s="85"/>
      <c r="Q300" s="85"/>
      <c r="R300" s="85"/>
      <c r="S300" s="3"/>
      <c r="T300" s="3" t="s">
        <v>1118</v>
      </c>
      <c r="V300" s="3"/>
      <c r="W300" s="3"/>
      <c r="X300" s="3"/>
      <c r="Y300" s="3"/>
      <c r="AA300" s="1378"/>
      <c r="AB300" s="1378"/>
      <c r="AC300" s="1378"/>
      <c r="AD300" s="1378"/>
      <c r="AE300" s="1378"/>
      <c r="AF300" s="1378"/>
      <c r="AG300" s="3"/>
      <c r="AH300" s="3"/>
      <c r="AI300" s="85"/>
      <c r="AJ300" s="85"/>
      <c r="AK300" s="85"/>
      <c r="BN300" s="3"/>
    </row>
    <row r="301" spans="2:66" ht="13.2" customHeight="1">
      <c r="B301" s="3" t="s">
        <v>1178</v>
      </c>
      <c r="C301" s="3"/>
      <c r="D301" s="3"/>
      <c r="E301" s="3"/>
      <c r="F301" s="3"/>
      <c r="G301" s="3"/>
      <c r="H301" s="1329" t="s">
        <v>1192</v>
      </c>
      <c r="I301" s="1329"/>
      <c r="J301" s="1329"/>
      <c r="K301" s="1329"/>
      <c r="L301" s="1329"/>
      <c r="M301" s="1329"/>
      <c r="N301" s="1381"/>
      <c r="O301" s="1381"/>
      <c r="P301" s="1381"/>
      <c r="Q301" s="1381"/>
      <c r="R301" s="1381"/>
      <c r="S301" s="3"/>
      <c r="T301" s="3" t="s">
        <v>1178</v>
      </c>
      <c r="V301" s="3"/>
      <c r="W301" s="3"/>
      <c r="X301" s="3"/>
      <c r="Y301" s="3"/>
      <c r="AA301" s="1329" t="s">
        <v>1193</v>
      </c>
      <c r="AB301" s="1329"/>
      <c r="AC301" s="1329"/>
      <c r="AD301" s="1329"/>
      <c r="AE301" s="1329"/>
      <c r="AF301" s="1329"/>
      <c r="AG301" s="1381"/>
      <c r="AH301" s="1381"/>
      <c r="AI301" s="1381"/>
      <c r="AJ301" s="1381"/>
      <c r="AK301" s="1381"/>
      <c r="BN301" s="3"/>
    </row>
    <row r="302" spans="2:66" ht="13.2" customHeight="1">
      <c r="BN302" s="3"/>
    </row>
    <row r="303" spans="2:66" ht="13.2" customHeight="1">
      <c r="B303" s="3" t="s">
        <v>1194</v>
      </c>
      <c r="C303" s="3"/>
      <c r="D303" s="3"/>
      <c r="E303" s="3"/>
      <c r="F303" s="3"/>
      <c r="H303" s="1381" t="s">
        <v>1195</v>
      </c>
      <c r="I303" s="1381"/>
      <c r="J303" s="1381"/>
      <c r="K303" s="1381"/>
      <c r="L303" s="1381"/>
      <c r="M303" s="1381"/>
      <c r="N303" s="1381"/>
      <c r="O303" s="1381"/>
      <c r="P303" s="1381"/>
      <c r="Q303" s="1381"/>
      <c r="R303" s="1381"/>
      <c r="T303" s="3" t="s">
        <v>1196</v>
      </c>
      <c r="V303" s="3"/>
      <c r="W303" s="3"/>
      <c r="X303" s="3"/>
      <c r="Y303" s="3"/>
      <c r="AA303" s="1381" t="s">
        <v>1197</v>
      </c>
      <c r="AB303" s="1381"/>
      <c r="AC303" s="1381"/>
      <c r="AD303" s="1381"/>
      <c r="AE303" s="1381"/>
      <c r="AF303" s="1381"/>
      <c r="AG303" s="1381"/>
      <c r="AH303" s="1381"/>
      <c r="AI303" s="1381"/>
      <c r="AJ303" s="1381"/>
      <c r="AK303" s="1381"/>
      <c r="BN303" s="3"/>
    </row>
    <row r="304" spans="2:66" ht="13.2" customHeight="1">
      <c r="B304" s="3" t="s">
        <v>1169</v>
      </c>
      <c r="C304" s="3"/>
      <c r="D304" s="3"/>
      <c r="E304" s="3"/>
      <c r="F304" s="3"/>
      <c r="H304" s="1329" t="s">
        <v>1198</v>
      </c>
      <c r="I304" s="1329"/>
      <c r="J304" s="1329"/>
      <c r="K304" s="1329"/>
      <c r="L304" s="1329"/>
      <c r="M304" s="1329"/>
      <c r="N304" s="1329"/>
      <c r="O304" s="1329"/>
      <c r="P304" s="1329"/>
      <c r="Q304" s="1329"/>
      <c r="R304" s="1329"/>
      <c r="T304" s="3" t="s">
        <v>1169</v>
      </c>
      <c r="V304" s="3"/>
      <c r="W304" s="3"/>
      <c r="X304" s="3"/>
      <c r="Y304" s="3"/>
      <c r="AA304" s="1329" t="s">
        <v>1199</v>
      </c>
      <c r="AB304" s="1329"/>
      <c r="AC304" s="1329"/>
      <c r="AD304" s="1329"/>
      <c r="AE304" s="1329"/>
      <c r="AF304" s="1329"/>
      <c r="AG304" s="1329"/>
      <c r="AH304" s="1329"/>
      <c r="AI304" s="1329"/>
      <c r="AJ304" s="1329"/>
      <c r="AK304" s="1329"/>
      <c r="BN304" s="3"/>
    </row>
    <row r="305" spans="2:66" ht="13.2" customHeight="1">
      <c r="B305" s="3" t="s">
        <v>1172</v>
      </c>
      <c r="C305" s="3"/>
      <c r="D305" s="3"/>
      <c r="E305" s="3"/>
      <c r="F305" s="3"/>
      <c r="H305" s="1329" t="s">
        <v>1200</v>
      </c>
      <c r="I305" s="1329"/>
      <c r="J305" s="1329"/>
      <c r="K305" s="1329"/>
      <c r="L305" s="1329"/>
      <c r="M305" s="1329"/>
      <c r="N305" s="1329"/>
      <c r="O305" s="1329"/>
      <c r="P305" s="1329"/>
      <c r="Q305" s="1329"/>
      <c r="R305" s="1329"/>
      <c r="T305" s="3" t="s">
        <v>1174</v>
      </c>
      <c r="V305" s="3"/>
      <c r="W305" s="3"/>
      <c r="X305" s="3"/>
      <c r="Y305" s="3"/>
      <c r="AA305" s="1329" t="s">
        <v>1201</v>
      </c>
      <c r="AB305" s="1329"/>
      <c r="AC305" s="1329"/>
      <c r="AD305" s="1329"/>
      <c r="AE305" s="1329"/>
      <c r="AF305" s="1329"/>
      <c r="AG305" s="1329"/>
      <c r="AH305" s="1329"/>
      <c r="AI305" s="1329"/>
      <c r="AJ305" s="1329"/>
      <c r="AK305" s="1329"/>
      <c r="BN305" s="3"/>
    </row>
    <row r="306" spans="2:66" ht="13.2" customHeight="1">
      <c r="B306" s="3" t="s">
        <v>1113</v>
      </c>
      <c r="C306" s="3"/>
      <c r="D306" s="3"/>
      <c r="E306" s="3"/>
      <c r="F306" s="3"/>
      <c r="H306" s="1329" t="s">
        <v>1202</v>
      </c>
      <c r="I306" s="1329"/>
      <c r="J306" s="1329"/>
      <c r="K306" s="1329"/>
      <c r="L306" s="1329"/>
      <c r="M306" s="1329"/>
      <c r="N306" s="1329"/>
      <c r="O306" s="1329"/>
      <c r="P306" s="1329"/>
      <c r="Q306" s="1329"/>
      <c r="R306" s="1329"/>
      <c r="T306" s="3" t="s">
        <v>1113</v>
      </c>
      <c r="V306" s="3"/>
      <c r="W306" s="3"/>
      <c r="X306" s="3"/>
      <c r="Y306" s="3"/>
      <c r="AA306" s="1329" t="s">
        <v>1203</v>
      </c>
      <c r="AB306" s="1329"/>
      <c r="AC306" s="1329"/>
      <c r="AD306" s="1329"/>
      <c r="AE306" s="1329"/>
      <c r="AF306" s="1329"/>
      <c r="AG306" s="1329"/>
      <c r="AH306" s="1329"/>
      <c r="AI306" s="1329"/>
      <c r="AJ306" s="1329"/>
      <c r="AK306" s="1329"/>
      <c r="BN306" s="3"/>
    </row>
    <row r="307" spans="2:66" ht="13.2" customHeight="1">
      <c r="B307" s="3" t="s">
        <v>1115</v>
      </c>
      <c r="C307" s="3"/>
      <c r="D307" s="3"/>
      <c r="E307" s="3"/>
      <c r="F307" s="3"/>
      <c r="G307" s="3"/>
      <c r="H307" s="1474" t="s">
        <v>1204</v>
      </c>
      <c r="I307" s="1474"/>
      <c r="J307" s="1474"/>
      <c r="K307" s="1474"/>
      <c r="L307" s="1474"/>
      <c r="M307" s="1474"/>
      <c r="N307" s="3" t="s">
        <v>1117</v>
      </c>
      <c r="O307" s="3"/>
      <c r="P307" s="1476"/>
      <c r="Q307" s="1476"/>
      <c r="R307" s="1476"/>
      <c r="S307" s="3"/>
      <c r="T307" s="3" t="s">
        <v>1115</v>
      </c>
      <c r="V307" s="3"/>
      <c r="W307" s="3"/>
      <c r="X307" s="3"/>
      <c r="Y307" s="3"/>
      <c r="AA307" s="1474" t="s">
        <v>1205</v>
      </c>
      <c r="AB307" s="1474"/>
      <c r="AC307" s="1474"/>
      <c r="AD307" s="1474"/>
      <c r="AE307" s="1474"/>
      <c r="AF307" s="1474"/>
      <c r="AG307" s="3" t="s">
        <v>1117</v>
      </c>
      <c r="AH307" s="3"/>
      <c r="AI307" s="1476"/>
      <c r="AJ307" s="1476"/>
      <c r="AK307" s="1476"/>
      <c r="BN307" s="3"/>
    </row>
    <row r="308" spans="2:66" ht="13.2" customHeight="1">
      <c r="B308" s="3" t="s">
        <v>1118</v>
      </c>
      <c r="C308" s="3"/>
      <c r="D308" s="3"/>
      <c r="E308" s="3"/>
      <c r="F308" s="3"/>
      <c r="G308" s="3"/>
      <c r="H308" s="1378"/>
      <c r="I308" s="1378"/>
      <c r="J308" s="1378"/>
      <c r="K308" s="1378"/>
      <c r="L308" s="1378"/>
      <c r="M308" s="1378"/>
      <c r="N308" s="3"/>
      <c r="O308" s="3"/>
      <c r="P308" s="85"/>
      <c r="Q308" s="85"/>
      <c r="R308" s="85"/>
      <c r="S308" s="3"/>
      <c r="T308" s="3" t="s">
        <v>1118</v>
      </c>
      <c r="V308" s="3"/>
      <c r="W308" s="3"/>
      <c r="X308" s="3"/>
      <c r="Y308" s="3"/>
      <c r="AA308" s="1378"/>
      <c r="AB308" s="1378"/>
      <c r="AC308" s="1378"/>
      <c r="AD308" s="1378"/>
      <c r="AE308" s="1378"/>
      <c r="AF308" s="1378"/>
      <c r="AG308" s="3"/>
      <c r="AH308" s="3"/>
      <c r="AI308" s="85"/>
      <c r="AJ308" s="85"/>
      <c r="AK308" s="85"/>
      <c r="BN308" s="3"/>
    </row>
    <row r="309" spans="2:66" ht="13.2" customHeight="1">
      <c r="B309" s="3" t="s">
        <v>1178</v>
      </c>
      <c r="C309" s="3"/>
      <c r="D309" s="3"/>
      <c r="E309" s="3"/>
      <c r="F309" s="3"/>
      <c r="G309" s="3"/>
      <c r="H309" s="1329" t="s">
        <v>1206</v>
      </c>
      <c r="I309" s="1329"/>
      <c r="J309" s="1329"/>
      <c r="K309" s="1329"/>
      <c r="L309" s="1329"/>
      <c r="M309" s="1329"/>
      <c r="N309" s="1381"/>
      <c r="O309" s="1381"/>
      <c r="P309" s="1381"/>
      <c r="Q309" s="1381"/>
      <c r="R309" s="1381"/>
      <c r="S309" s="3"/>
      <c r="T309" s="3" t="s">
        <v>1178</v>
      </c>
      <c r="V309" s="3"/>
      <c r="W309" s="3"/>
      <c r="X309" s="3"/>
      <c r="Y309" s="3"/>
      <c r="AA309" s="1329" t="s">
        <v>1207</v>
      </c>
      <c r="AB309" s="1329"/>
      <c r="AC309" s="1329"/>
      <c r="AD309" s="1329"/>
      <c r="AE309" s="1329"/>
      <c r="AF309" s="1329"/>
      <c r="AG309" s="1381"/>
      <c r="AH309" s="1381"/>
      <c r="AI309" s="1381"/>
      <c r="AJ309" s="1381"/>
      <c r="AK309" s="1381"/>
      <c r="BN309" s="3"/>
    </row>
    <row r="310" spans="2:66" ht="13.2"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2" customHeight="1">
      <c r="B311" s="3" t="s">
        <v>1208</v>
      </c>
      <c r="C311" s="3"/>
      <c r="D311" s="3"/>
      <c r="E311" s="3"/>
      <c r="F311" s="3"/>
      <c r="H311" s="1381" t="s">
        <v>1195</v>
      </c>
      <c r="I311" s="1381"/>
      <c r="J311" s="1381"/>
      <c r="K311" s="1381"/>
      <c r="L311" s="1381"/>
      <c r="M311" s="1381"/>
      <c r="N311" s="1381"/>
      <c r="O311" s="1381"/>
      <c r="P311" s="1381"/>
      <c r="Q311" s="1381"/>
      <c r="R311" s="1381"/>
      <c r="S311" s="3"/>
      <c r="T311" s="3" t="s">
        <v>1209</v>
      </c>
      <c r="V311" s="3"/>
      <c r="W311" s="3"/>
      <c r="X311" s="3"/>
      <c r="Y311" s="3"/>
      <c r="AA311" s="1476" t="s">
        <v>1210</v>
      </c>
      <c r="AB311" s="1381"/>
      <c r="AC311" s="1381"/>
      <c r="AD311" s="1381"/>
      <c r="AE311" s="1381"/>
      <c r="AF311" s="1381"/>
      <c r="AG311" s="1381"/>
      <c r="AH311" s="1381"/>
      <c r="AI311" s="1381"/>
      <c r="AJ311" s="1381"/>
      <c r="AK311" s="1381"/>
      <c r="BN311" s="3"/>
    </row>
    <row r="312" spans="2:66" ht="13.2" customHeight="1">
      <c r="B312" s="3" t="s">
        <v>1169</v>
      </c>
      <c r="C312" s="3"/>
      <c r="D312" s="3"/>
      <c r="E312" s="3"/>
      <c r="F312" s="3"/>
      <c r="H312" s="1329" t="s">
        <v>1198</v>
      </c>
      <c r="I312" s="1329"/>
      <c r="J312" s="1329"/>
      <c r="K312" s="1329"/>
      <c r="L312" s="1329"/>
      <c r="M312" s="1329"/>
      <c r="N312" s="1329"/>
      <c r="O312" s="1329"/>
      <c r="P312" s="1329"/>
      <c r="Q312" s="1329"/>
      <c r="R312" s="1329"/>
      <c r="S312" s="3"/>
      <c r="T312" s="3" t="s">
        <v>1169</v>
      </c>
      <c r="V312" s="3"/>
      <c r="W312" s="3"/>
      <c r="X312" s="3"/>
      <c r="Y312" s="3"/>
      <c r="AA312" s="1349" t="s">
        <v>1211</v>
      </c>
      <c r="AB312" s="1329"/>
      <c r="AC312" s="1329"/>
      <c r="AD312" s="1329"/>
      <c r="AE312" s="1329"/>
      <c r="AF312" s="1329"/>
      <c r="AG312" s="1329"/>
      <c r="AH312" s="1329"/>
      <c r="AI312" s="1329"/>
      <c r="AJ312" s="1329"/>
      <c r="AK312" s="1329"/>
      <c r="BN312" s="3"/>
    </row>
    <row r="313" spans="2:66" ht="13.2" customHeight="1">
      <c r="B313" s="3" t="s">
        <v>1172</v>
      </c>
      <c r="C313" s="3"/>
      <c r="D313" s="3"/>
      <c r="E313" s="3"/>
      <c r="F313" s="3"/>
      <c r="H313" s="1329" t="s">
        <v>1200</v>
      </c>
      <c r="I313" s="1329"/>
      <c r="J313" s="1329"/>
      <c r="K313" s="1329"/>
      <c r="L313" s="1329"/>
      <c r="M313" s="1329"/>
      <c r="N313" s="1329"/>
      <c r="O313" s="1329"/>
      <c r="P313" s="1329"/>
      <c r="Q313" s="1329"/>
      <c r="R313" s="1329"/>
      <c r="S313" s="3"/>
      <c r="T313" s="3" t="s">
        <v>1174</v>
      </c>
      <c r="V313" s="3"/>
      <c r="W313" s="3"/>
      <c r="X313" s="3"/>
      <c r="Y313" s="3"/>
      <c r="AA313" s="1349" t="s">
        <v>1212</v>
      </c>
      <c r="AB313" s="1329"/>
      <c r="AC313" s="1329"/>
      <c r="AD313" s="1329"/>
      <c r="AE313" s="1329"/>
      <c r="AF313" s="1329"/>
      <c r="AG313" s="1329"/>
      <c r="AH313" s="1329"/>
      <c r="AI313" s="1329"/>
      <c r="AJ313" s="1329"/>
      <c r="AK313" s="1329"/>
      <c r="BN313" s="3"/>
    </row>
    <row r="314" spans="2:66" ht="13.2" customHeight="1">
      <c r="B314" s="3" t="s">
        <v>1113</v>
      </c>
      <c r="C314" s="3"/>
      <c r="D314" s="3"/>
      <c r="E314" s="3"/>
      <c r="F314" s="3"/>
      <c r="H314" s="1329" t="s">
        <v>1202</v>
      </c>
      <c r="I314" s="1329"/>
      <c r="J314" s="1329"/>
      <c r="K314" s="1329"/>
      <c r="L314" s="1329"/>
      <c r="M314" s="1329"/>
      <c r="N314" s="1329"/>
      <c r="O314" s="1329"/>
      <c r="P314" s="1329"/>
      <c r="Q314" s="1329"/>
      <c r="R314" s="1329"/>
      <c r="S314" s="3"/>
      <c r="T314" s="3" t="s">
        <v>1113</v>
      </c>
      <c r="V314" s="3"/>
      <c r="W314" s="3"/>
      <c r="X314" s="3"/>
      <c r="Y314" s="3"/>
      <c r="AA314" s="1349" t="s">
        <v>1213</v>
      </c>
      <c r="AB314" s="1329"/>
      <c r="AC314" s="1329"/>
      <c r="AD314" s="1329"/>
      <c r="AE314" s="1329"/>
      <c r="AF314" s="1329"/>
      <c r="AG314" s="1329"/>
      <c r="AH314" s="1329"/>
      <c r="AI314" s="1329"/>
      <c r="AJ314" s="1329"/>
      <c r="AK314" s="1329"/>
      <c r="BN314" s="3"/>
    </row>
    <row r="315" spans="2:66" ht="13.2" customHeight="1">
      <c r="B315" s="3" t="s">
        <v>1115</v>
      </c>
      <c r="C315" s="3"/>
      <c r="D315" s="3"/>
      <c r="E315" s="3"/>
      <c r="F315" s="3"/>
      <c r="G315" s="3"/>
      <c r="H315" s="1474" t="s">
        <v>1204</v>
      </c>
      <c r="I315" s="1474"/>
      <c r="J315" s="1474"/>
      <c r="K315" s="1474"/>
      <c r="L315" s="1474"/>
      <c r="M315" s="1474"/>
      <c r="N315" s="3" t="s">
        <v>1117</v>
      </c>
      <c r="O315" s="3"/>
      <c r="P315" s="1476"/>
      <c r="Q315" s="1476"/>
      <c r="R315" s="1476"/>
      <c r="S315" s="3"/>
      <c r="T315" s="3" t="s">
        <v>1115</v>
      </c>
      <c r="V315" s="3"/>
      <c r="W315" s="3"/>
      <c r="X315" s="3"/>
      <c r="Y315" s="3"/>
      <c r="AA315" s="1474" t="s">
        <v>1214</v>
      </c>
      <c r="AB315" s="1474"/>
      <c r="AC315" s="1474"/>
      <c r="AD315" s="1474"/>
      <c r="AE315" s="1474"/>
      <c r="AF315" s="1474"/>
      <c r="AG315" s="3" t="s">
        <v>1117</v>
      </c>
      <c r="AH315" s="3"/>
      <c r="AI315" s="1476"/>
      <c r="AJ315" s="1476"/>
      <c r="AK315" s="1476"/>
      <c r="BN315" s="3"/>
    </row>
    <row r="316" spans="2:66" ht="13.2" customHeight="1">
      <c r="B316" s="3" t="s">
        <v>1118</v>
      </c>
      <c r="C316" s="3"/>
      <c r="D316" s="3"/>
      <c r="E316" s="3"/>
      <c r="F316" s="3"/>
      <c r="G316" s="3"/>
      <c r="H316" s="1378"/>
      <c r="I316" s="1378"/>
      <c r="J316" s="1378"/>
      <c r="K316" s="1378"/>
      <c r="L316" s="1378"/>
      <c r="M316" s="1378"/>
      <c r="N316" s="3"/>
      <c r="O316" s="3"/>
      <c r="P316" s="85"/>
      <c r="Q316" s="85"/>
      <c r="R316" s="85"/>
      <c r="S316" s="3"/>
      <c r="T316" s="3" t="s">
        <v>1118</v>
      </c>
      <c r="V316" s="3"/>
      <c r="W316" s="3"/>
      <c r="X316" s="3"/>
      <c r="Y316" s="3"/>
      <c r="AA316" s="1378"/>
      <c r="AB316" s="1378"/>
      <c r="AC316" s="1378"/>
      <c r="AD316" s="1378"/>
      <c r="AE316" s="1378"/>
      <c r="AF316" s="1378"/>
      <c r="AG316" s="3"/>
      <c r="AH316" s="3"/>
      <c r="AI316" s="85"/>
      <c r="AJ316" s="85"/>
      <c r="AK316" s="85"/>
      <c r="BN316" s="3"/>
    </row>
    <row r="317" spans="2:66" ht="13.2" customHeight="1">
      <c r="B317" s="3" t="s">
        <v>1178</v>
      </c>
      <c r="C317" s="3"/>
      <c r="D317" s="3"/>
      <c r="E317" s="3"/>
      <c r="F317" s="3"/>
      <c r="G317" s="3"/>
      <c r="H317" s="1329" t="s">
        <v>1215</v>
      </c>
      <c r="I317" s="1329"/>
      <c r="J317" s="1329"/>
      <c r="K317" s="1329"/>
      <c r="L317" s="1329"/>
      <c r="M317" s="1329"/>
      <c r="N317" s="1381"/>
      <c r="O317" s="1381"/>
      <c r="P317" s="1381"/>
      <c r="Q317" s="1381"/>
      <c r="R317" s="1381"/>
      <c r="S317" s="3"/>
      <c r="T317" s="3" t="s">
        <v>1178</v>
      </c>
      <c r="V317" s="3"/>
      <c r="W317" s="3"/>
      <c r="X317" s="3"/>
      <c r="Y317" s="3"/>
      <c r="AA317" s="1329" t="s">
        <v>1216</v>
      </c>
      <c r="AB317" s="1329"/>
      <c r="AC317" s="1329"/>
      <c r="AD317" s="1329"/>
      <c r="AE317" s="1329"/>
      <c r="AF317" s="1329"/>
      <c r="AG317" s="1381"/>
      <c r="AH317" s="1381"/>
      <c r="AI317" s="1381"/>
      <c r="AJ317" s="1381"/>
      <c r="AK317" s="1381"/>
      <c r="BN317" s="3"/>
    </row>
    <row r="318" spans="2:66" ht="13.2" customHeight="1">
      <c r="BN318" s="3"/>
    </row>
    <row r="319" spans="2:66" ht="13.2" customHeight="1">
      <c r="B319" s="3" t="s">
        <v>1217</v>
      </c>
      <c r="C319" s="3"/>
      <c r="D319" s="3"/>
      <c r="E319" s="3"/>
      <c r="F319" s="3"/>
      <c r="H319" s="1381" t="s">
        <v>1218</v>
      </c>
      <c r="I319" s="1381"/>
      <c r="J319" s="1381"/>
      <c r="K319" s="1381"/>
      <c r="L319" s="1381"/>
      <c r="M319" s="1381"/>
      <c r="N319" s="1381"/>
      <c r="O319" s="1381"/>
      <c r="P319" s="1381"/>
      <c r="Q319" s="1381"/>
      <c r="R319" s="1381"/>
      <c r="T319" s="3" t="s">
        <v>1219</v>
      </c>
      <c r="V319" s="3"/>
      <c r="W319" s="3"/>
      <c r="X319" s="3"/>
      <c r="Y319" s="3"/>
      <c r="AA319" s="1381" t="s">
        <v>1220</v>
      </c>
      <c r="AB319" s="1381"/>
      <c r="AC319" s="1381"/>
      <c r="AD319" s="1381"/>
      <c r="AE319" s="1381"/>
      <c r="AF319" s="1381"/>
      <c r="AG319" s="1381"/>
      <c r="AH319" s="1381"/>
      <c r="AI319" s="1381"/>
      <c r="AJ319" s="1381"/>
      <c r="AK319" s="1381"/>
      <c r="BN319" s="3"/>
    </row>
    <row r="320" spans="2:66" ht="13.2" customHeight="1">
      <c r="B320" s="3" t="s">
        <v>1169</v>
      </c>
      <c r="C320" s="3"/>
      <c r="D320" s="3"/>
      <c r="E320" s="3"/>
      <c r="F320" s="3"/>
      <c r="H320" s="1329" t="s">
        <v>1221</v>
      </c>
      <c r="I320" s="1329"/>
      <c r="J320" s="1329"/>
      <c r="K320" s="1329"/>
      <c r="L320" s="1329"/>
      <c r="M320" s="1329"/>
      <c r="N320" s="1329"/>
      <c r="O320" s="1329"/>
      <c r="P320" s="1329"/>
      <c r="Q320" s="1329"/>
      <c r="R320" s="1329"/>
      <c r="T320" s="3" t="s">
        <v>1169</v>
      </c>
      <c r="V320" s="3"/>
      <c r="W320" s="3"/>
      <c r="X320" s="3"/>
      <c r="Y320" s="3"/>
      <c r="AA320" s="1329" t="s">
        <v>1222</v>
      </c>
      <c r="AB320" s="1329"/>
      <c r="AC320" s="1329"/>
      <c r="AD320" s="1329"/>
      <c r="AE320" s="1329"/>
      <c r="AF320" s="1329"/>
      <c r="AG320" s="1329"/>
      <c r="AH320" s="1329"/>
      <c r="AI320" s="1329"/>
      <c r="AJ320" s="1329"/>
      <c r="AK320" s="1329"/>
      <c r="BN320" s="3"/>
    </row>
    <row r="321" spans="2:66" ht="13.2" customHeight="1">
      <c r="B321" s="3" t="s">
        <v>1172</v>
      </c>
      <c r="C321" s="3"/>
      <c r="D321" s="3"/>
      <c r="E321" s="3"/>
      <c r="F321" s="3"/>
      <c r="H321" s="1329" t="s">
        <v>1223</v>
      </c>
      <c r="I321" s="1329"/>
      <c r="J321" s="1329"/>
      <c r="K321" s="1329"/>
      <c r="L321" s="1329"/>
      <c r="M321" s="1329"/>
      <c r="N321" s="1329"/>
      <c r="O321" s="1329"/>
      <c r="P321" s="1329"/>
      <c r="Q321" s="1329"/>
      <c r="R321" s="1329"/>
      <c r="T321" s="3" t="s">
        <v>1174</v>
      </c>
      <c r="V321" s="3"/>
      <c r="W321" s="3"/>
      <c r="X321" s="3"/>
      <c r="Y321" s="3"/>
      <c r="AA321" s="1329" t="s">
        <v>1224</v>
      </c>
      <c r="AB321" s="1329"/>
      <c r="AC321" s="1329"/>
      <c r="AD321" s="1329"/>
      <c r="AE321" s="1329"/>
      <c r="AF321" s="1329"/>
      <c r="AG321" s="1329"/>
      <c r="AH321" s="1329"/>
      <c r="AI321" s="1329"/>
      <c r="AJ321" s="1329"/>
      <c r="AK321" s="1329"/>
      <c r="BN321" s="3"/>
    </row>
    <row r="322" spans="2:66" ht="13.2" customHeight="1">
      <c r="B322" s="3" t="s">
        <v>1113</v>
      </c>
      <c r="C322" s="3"/>
      <c r="D322" s="3"/>
      <c r="E322" s="3"/>
      <c r="F322" s="3"/>
      <c r="H322" s="1329" t="s">
        <v>1158</v>
      </c>
      <c r="I322" s="1329"/>
      <c r="J322" s="1329"/>
      <c r="K322" s="1329"/>
      <c r="L322" s="1329"/>
      <c r="M322" s="1329"/>
      <c r="N322" s="1329"/>
      <c r="O322" s="1329"/>
      <c r="P322" s="1329"/>
      <c r="Q322" s="1329"/>
      <c r="R322" s="1329"/>
      <c r="T322" s="3" t="s">
        <v>1113</v>
      </c>
      <c r="V322" s="3"/>
      <c r="W322" s="3"/>
      <c r="X322" s="3"/>
      <c r="Y322" s="3"/>
      <c r="AA322" s="1329" t="s">
        <v>1225</v>
      </c>
      <c r="AB322" s="1329"/>
      <c r="AC322" s="1329"/>
      <c r="AD322" s="1329"/>
      <c r="AE322" s="1329"/>
      <c r="AF322" s="1329"/>
      <c r="AG322" s="1329"/>
      <c r="AH322" s="1329"/>
      <c r="AI322" s="1329"/>
      <c r="AJ322" s="1329"/>
      <c r="AK322" s="1329"/>
      <c r="BN322" s="3"/>
    </row>
    <row r="323" spans="2:66" ht="13.2" customHeight="1">
      <c r="B323" s="3" t="s">
        <v>1115</v>
      </c>
      <c r="C323" s="3"/>
      <c r="D323" s="3"/>
      <c r="E323" s="3"/>
      <c r="F323" s="3"/>
      <c r="G323" s="3"/>
      <c r="H323" s="1474" t="s">
        <v>1159</v>
      </c>
      <c r="I323" s="1474"/>
      <c r="J323" s="1474"/>
      <c r="K323" s="1474"/>
      <c r="L323" s="1474"/>
      <c r="M323" s="1474"/>
      <c r="N323" s="3" t="s">
        <v>1117</v>
      </c>
      <c r="O323" s="3"/>
      <c r="P323" s="1476"/>
      <c r="Q323" s="1476"/>
      <c r="R323" s="1476"/>
      <c r="S323" s="3"/>
      <c r="T323" s="3" t="s">
        <v>1115</v>
      </c>
      <c r="V323" s="3"/>
      <c r="W323" s="3"/>
      <c r="X323" s="3"/>
      <c r="Y323" s="3"/>
      <c r="AA323" s="1474" t="s">
        <v>1226</v>
      </c>
      <c r="AB323" s="1474"/>
      <c r="AC323" s="1474"/>
      <c r="AD323" s="1474"/>
      <c r="AE323" s="1474"/>
      <c r="AF323" s="1474"/>
      <c r="AG323" s="3" t="s">
        <v>1117</v>
      </c>
      <c r="AH323" s="3"/>
      <c r="AI323" s="1476"/>
      <c r="AJ323" s="1476"/>
      <c r="AK323" s="1476"/>
    </row>
    <row r="324" spans="2:66" ht="13.2" customHeight="1">
      <c r="B324" s="3" t="s">
        <v>1118</v>
      </c>
      <c r="C324" s="3"/>
      <c r="D324" s="3"/>
      <c r="E324" s="3"/>
      <c r="F324" s="3"/>
      <c r="G324" s="3"/>
      <c r="H324" s="1378"/>
      <c r="I324" s="1378"/>
      <c r="J324" s="1378"/>
      <c r="K324" s="1378"/>
      <c r="L324" s="1378"/>
      <c r="M324" s="1378"/>
      <c r="N324" s="3"/>
      <c r="O324" s="3"/>
      <c r="P324" s="85"/>
      <c r="Q324" s="85"/>
      <c r="R324" s="85"/>
      <c r="S324" s="3"/>
      <c r="T324" s="3" t="s">
        <v>1118</v>
      </c>
      <c r="V324" s="3"/>
      <c r="W324" s="3"/>
      <c r="X324" s="3"/>
      <c r="Y324" s="3"/>
      <c r="AA324" s="1378"/>
      <c r="AB324" s="1378"/>
      <c r="AC324" s="1378"/>
      <c r="AD324" s="1378"/>
      <c r="AE324" s="1378"/>
      <c r="AF324" s="1378"/>
      <c r="AG324" s="3"/>
      <c r="AH324" s="3"/>
      <c r="AI324" s="85"/>
      <c r="AJ324" s="85"/>
      <c r="AK324" s="85"/>
    </row>
    <row r="325" spans="2:66" ht="13.2" customHeight="1">
      <c r="B325" s="3" t="s">
        <v>1178</v>
      </c>
      <c r="C325" s="3"/>
      <c r="D325" s="3"/>
      <c r="E325" s="3"/>
      <c r="F325" s="3"/>
      <c r="G325" s="3"/>
      <c r="H325" s="1329" t="s">
        <v>1160</v>
      </c>
      <c r="I325" s="1329"/>
      <c r="J325" s="1329"/>
      <c r="K325" s="1329"/>
      <c r="L325" s="1329"/>
      <c r="M325" s="1329"/>
      <c r="N325" s="1381"/>
      <c r="O325" s="1381"/>
      <c r="P325" s="1381"/>
      <c r="Q325" s="1381"/>
      <c r="R325" s="1381"/>
      <c r="S325" s="3"/>
      <c r="T325" s="3" t="s">
        <v>1178</v>
      </c>
      <c r="V325" s="3"/>
      <c r="W325" s="3"/>
      <c r="X325" s="3"/>
      <c r="Y325" s="3"/>
      <c r="AA325" s="1329" t="s">
        <v>1227</v>
      </c>
      <c r="AB325" s="1329"/>
      <c r="AC325" s="1329"/>
      <c r="AD325" s="1329"/>
      <c r="AE325" s="1329"/>
      <c r="AF325" s="1329"/>
      <c r="AG325" s="1381"/>
      <c r="AH325" s="1381"/>
      <c r="AI325" s="1381"/>
      <c r="AJ325" s="1381"/>
      <c r="AK325" s="1381"/>
    </row>
    <row r="326" spans="2:66" ht="13.2" customHeight="1">
      <c r="B326" s="3"/>
      <c r="C326" s="3"/>
      <c r="D326" s="3"/>
      <c r="E326" s="3"/>
      <c r="F326" s="3"/>
      <c r="G326" s="3"/>
      <c r="P326" s="1153"/>
      <c r="Q326" s="1153"/>
      <c r="R326" s="1153"/>
      <c r="S326" s="1153"/>
      <c r="T326" s="1153"/>
      <c r="U326" s="1153"/>
      <c r="V326" s="3"/>
      <c r="W326" s="3"/>
      <c r="X326" s="85"/>
      <c r="Y326" s="85"/>
      <c r="Z326" s="85"/>
    </row>
    <row r="327" spans="2:66" ht="13.2" customHeight="1">
      <c r="B327" s="3" t="s">
        <v>1228</v>
      </c>
      <c r="C327" s="3"/>
      <c r="D327" s="3"/>
      <c r="E327" s="3"/>
      <c r="F327" s="3"/>
      <c r="H327" s="1381" t="s">
        <v>1220</v>
      </c>
      <c r="I327" s="1381"/>
      <c r="J327" s="1381"/>
      <c r="K327" s="1381"/>
      <c r="L327" s="1381"/>
      <c r="M327" s="1381"/>
      <c r="N327" s="1381"/>
      <c r="O327" s="1381"/>
      <c r="P327" s="1381"/>
      <c r="Q327" s="1381"/>
      <c r="R327" s="1381"/>
      <c r="T327" s="3" t="s">
        <v>1229</v>
      </c>
      <c r="V327" s="3"/>
      <c r="W327" s="3"/>
      <c r="X327" s="3"/>
      <c r="Y327" s="3"/>
      <c r="AA327" s="1381" t="s">
        <v>299</v>
      </c>
      <c r="AB327" s="1381"/>
      <c r="AC327" s="1381"/>
      <c r="AD327" s="1381"/>
      <c r="AE327" s="1381"/>
      <c r="AF327" s="1381"/>
      <c r="AG327" s="1381"/>
      <c r="AH327" s="1381"/>
      <c r="AI327" s="1381"/>
      <c r="AJ327" s="1381"/>
      <c r="AK327" s="1381"/>
    </row>
    <row r="328" spans="2:66" ht="13.2" customHeight="1">
      <c r="B328" s="3" t="s">
        <v>1169</v>
      </c>
      <c r="C328" s="3"/>
      <c r="D328" s="3"/>
      <c r="E328" s="3"/>
      <c r="F328" s="3"/>
      <c r="H328" s="1329" t="s">
        <v>1222</v>
      </c>
      <c r="I328" s="1329"/>
      <c r="J328" s="1329"/>
      <c r="K328" s="1329"/>
      <c r="L328" s="1329"/>
      <c r="M328" s="1329"/>
      <c r="N328" s="1329"/>
      <c r="O328" s="1329"/>
      <c r="P328" s="1329"/>
      <c r="Q328" s="1329"/>
      <c r="R328" s="1329"/>
      <c r="T328" s="3" t="s">
        <v>1169</v>
      </c>
      <c r="V328" s="3"/>
      <c r="W328" s="3"/>
      <c r="X328" s="3"/>
      <c r="Y328" s="3"/>
      <c r="AA328" s="1329"/>
      <c r="AB328" s="1329"/>
      <c r="AC328" s="1329"/>
      <c r="AD328" s="1329"/>
      <c r="AE328" s="1329"/>
      <c r="AF328" s="1329"/>
      <c r="AG328" s="1329"/>
      <c r="AH328" s="1329"/>
      <c r="AI328" s="1329"/>
      <c r="AJ328" s="1329"/>
      <c r="AK328" s="1329"/>
    </row>
    <row r="329" spans="2:66" ht="13.2" customHeight="1">
      <c r="B329" s="3" t="s">
        <v>1172</v>
      </c>
      <c r="C329" s="3"/>
      <c r="D329" s="3"/>
      <c r="E329" s="3"/>
      <c r="F329" s="3"/>
      <c r="H329" s="1329" t="s">
        <v>1224</v>
      </c>
      <c r="I329" s="1329"/>
      <c r="J329" s="1329"/>
      <c r="K329" s="1329"/>
      <c r="L329" s="1329"/>
      <c r="M329" s="1329"/>
      <c r="N329" s="1329"/>
      <c r="O329" s="1329"/>
      <c r="P329" s="1329"/>
      <c r="Q329" s="1329"/>
      <c r="R329" s="1329"/>
      <c r="T329" s="3" t="s">
        <v>1174</v>
      </c>
      <c r="V329" s="3"/>
      <c r="W329" s="3"/>
      <c r="X329" s="3"/>
      <c r="Y329" s="3"/>
      <c r="AA329" s="1329"/>
      <c r="AB329" s="1329"/>
      <c r="AC329" s="1329"/>
      <c r="AD329" s="1329"/>
      <c r="AE329" s="1329"/>
      <c r="AF329" s="1329"/>
      <c r="AG329" s="1329"/>
      <c r="AH329" s="1329"/>
      <c r="AI329" s="1329"/>
      <c r="AJ329" s="1329"/>
      <c r="AK329" s="1329"/>
    </row>
    <row r="330" spans="2:66" ht="13.2" customHeight="1">
      <c r="B330" s="3" t="s">
        <v>1113</v>
      </c>
      <c r="C330" s="3"/>
      <c r="D330" s="3"/>
      <c r="E330" s="3"/>
      <c r="F330" s="3"/>
      <c r="H330" s="1329" t="s">
        <v>1225</v>
      </c>
      <c r="I330" s="1329"/>
      <c r="J330" s="1329"/>
      <c r="K330" s="1329"/>
      <c r="L330" s="1329"/>
      <c r="M330" s="1329"/>
      <c r="N330" s="1329"/>
      <c r="O330" s="1329"/>
      <c r="P330" s="1329"/>
      <c r="Q330" s="1329"/>
      <c r="R330" s="1329"/>
      <c r="T330" s="3" t="s">
        <v>1113</v>
      </c>
      <c r="V330" s="3"/>
      <c r="W330" s="3"/>
      <c r="X330" s="3"/>
      <c r="Y330" s="3"/>
      <c r="AA330" s="1329"/>
      <c r="AB330" s="1329"/>
      <c r="AC330" s="1329"/>
      <c r="AD330" s="1329"/>
      <c r="AE330" s="1329"/>
      <c r="AF330" s="1329"/>
      <c r="AG330" s="1329"/>
      <c r="AH330" s="1329"/>
      <c r="AI330" s="1329"/>
      <c r="AJ330" s="1329"/>
      <c r="AK330" s="1329"/>
    </row>
    <row r="331" spans="2:66" ht="13.2" customHeight="1">
      <c r="B331" s="3" t="s">
        <v>1115</v>
      </c>
      <c r="C331" s="3"/>
      <c r="D331" s="3"/>
      <c r="E331" s="3"/>
      <c r="F331" s="3"/>
      <c r="G331" s="3"/>
      <c r="H331" s="1474" t="s">
        <v>1226</v>
      </c>
      <c r="I331" s="1474"/>
      <c r="J331" s="1474"/>
      <c r="K331" s="1474"/>
      <c r="L331" s="1474"/>
      <c r="M331" s="1474"/>
      <c r="N331" s="3" t="s">
        <v>1117</v>
      </c>
      <c r="O331" s="3"/>
      <c r="P331" s="1476"/>
      <c r="Q331" s="1476"/>
      <c r="R331" s="1476"/>
      <c r="S331" s="3"/>
      <c r="T331" s="3" t="s">
        <v>1115</v>
      </c>
      <c r="V331" s="3"/>
      <c r="W331" s="3"/>
      <c r="X331" s="3"/>
      <c r="Y331" s="3"/>
      <c r="AA331" s="1474"/>
      <c r="AB331" s="1474"/>
      <c r="AC331" s="1474"/>
      <c r="AD331" s="1474"/>
      <c r="AE331" s="1474"/>
      <c r="AF331" s="1474"/>
      <c r="AG331" s="3" t="s">
        <v>1117</v>
      </c>
      <c r="AH331" s="3"/>
      <c r="AI331" s="1476"/>
      <c r="AJ331" s="1476"/>
      <c r="AK331" s="1476"/>
    </row>
    <row r="332" spans="2:66" ht="13.2" customHeight="1">
      <c r="B332" s="3" t="s">
        <v>1118</v>
      </c>
      <c r="C332" s="3"/>
      <c r="D332" s="3"/>
      <c r="E332" s="3"/>
      <c r="F332" s="3"/>
      <c r="G332" s="3"/>
      <c r="H332" s="1378"/>
      <c r="I332" s="1378"/>
      <c r="J332" s="1378"/>
      <c r="K332" s="1378"/>
      <c r="L332" s="1378"/>
      <c r="M332" s="1378"/>
      <c r="N332" s="3"/>
      <c r="O332" s="3"/>
      <c r="P332" s="85"/>
      <c r="Q332" s="85"/>
      <c r="R332" s="85"/>
      <c r="S332" s="3"/>
      <c r="T332" s="3" t="s">
        <v>1118</v>
      </c>
      <c r="V332" s="3"/>
      <c r="W332" s="3"/>
      <c r="X332" s="3"/>
      <c r="Y332" s="3"/>
      <c r="AA332" s="1378"/>
      <c r="AB332" s="1378"/>
      <c r="AC332" s="1378"/>
      <c r="AD332" s="1378"/>
      <c r="AE332" s="1378"/>
      <c r="AF332" s="1378"/>
      <c r="AG332" s="3"/>
      <c r="AH332" s="3"/>
      <c r="AI332" s="85"/>
      <c r="AJ332" s="85"/>
      <c r="AK332" s="85"/>
    </row>
    <row r="333" spans="2:66" ht="13.2" customHeight="1">
      <c r="B333" s="3" t="s">
        <v>1178</v>
      </c>
      <c r="C333" s="3"/>
      <c r="D333" s="3"/>
      <c r="E333" s="3"/>
      <c r="F333" s="3"/>
      <c r="G333" s="3"/>
      <c r="H333" s="1329" t="s">
        <v>1227</v>
      </c>
      <c r="I333" s="1329"/>
      <c r="J333" s="1329"/>
      <c r="K333" s="1329"/>
      <c r="L333" s="1329"/>
      <c r="M333" s="1329"/>
      <c r="N333" s="1381"/>
      <c r="O333" s="1381"/>
      <c r="P333" s="1381"/>
      <c r="Q333" s="1381"/>
      <c r="R333" s="1381"/>
      <c r="S333" s="3"/>
      <c r="T333" s="3" t="s">
        <v>1178</v>
      </c>
      <c r="V333" s="3"/>
      <c r="W333" s="3"/>
      <c r="X333" s="3"/>
      <c r="Y333" s="3"/>
      <c r="AA333" s="1329"/>
      <c r="AB333" s="1329"/>
      <c r="AC333" s="1329"/>
      <c r="AD333" s="1329"/>
      <c r="AE333" s="1329"/>
      <c r="AF333" s="1329"/>
      <c r="AG333" s="1381"/>
      <c r="AH333" s="1381"/>
      <c r="AI333" s="1381"/>
      <c r="AJ333" s="1381"/>
      <c r="AK333" s="1381"/>
    </row>
    <row r="334" spans="2:66" ht="13.2" customHeight="1">
      <c r="B334" s="3"/>
      <c r="C334" s="3"/>
      <c r="D334" s="3"/>
      <c r="E334" s="3"/>
      <c r="F334" s="3"/>
      <c r="G334" s="3"/>
      <c r="P334" s="1153"/>
      <c r="Q334" s="1153"/>
      <c r="R334" s="1153"/>
      <c r="S334" s="1153"/>
      <c r="T334" s="1153"/>
      <c r="U334" s="1153"/>
      <c r="V334" s="3"/>
      <c r="W334" s="3"/>
      <c r="X334" s="85"/>
      <c r="Y334" s="85"/>
      <c r="Z334" s="85"/>
    </row>
    <row r="335" spans="2:66" ht="13.2" customHeight="1">
      <c r="B335" s="3" t="s">
        <v>1230</v>
      </c>
      <c r="C335" s="3"/>
      <c r="D335" s="3"/>
      <c r="E335" s="3"/>
      <c r="F335" s="3"/>
      <c r="H335" s="1381" t="s">
        <v>1231</v>
      </c>
      <c r="I335" s="1381"/>
      <c r="J335" s="1381"/>
      <c r="K335" s="1381"/>
      <c r="L335" s="1381"/>
      <c r="M335" s="1381"/>
      <c r="N335" s="1381"/>
      <c r="O335" s="1381"/>
      <c r="P335" s="1381"/>
      <c r="Q335" s="1381"/>
      <c r="R335" s="1381"/>
      <c r="T335" s="143" t="s">
        <v>1232</v>
      </c>
      <c r="V335" s="3"/>
      <c r="W335" s="3"/>
      <c r="X335" s="3"/>
      <c r="Y335" s="3"/>
      <c r="AA335" s="1381" t="s">
        <v>1233</v>
      </c>
      <c r="AB335" s="1381"/>
      <c r="AC335" s="1381"/>
      <c r="AD335" s="1381"/>
      <c r="AE335" s="1381"/>
      <c r="AF335" s="1381"/>
      <c r="AG335" s="1381"/>
      <c r="AH335" s="1381"/>
      <c r="AI335" s="1381"/>
      <c r="AJ335" s="1381"/>
      <c r="AK335" s="1381"/>
    </row>
    <row r="336" spans="2:66" ht="13.2" customHeight="1">
      <c r="B336" s="3" t="s">
        <v>1169</v>
      </c>
      <c r="C336" s="3"/>
      <c r="D336" s="3"/>
      <c r="E336" s="3"/>
      <c r="F336" s="3"/>
      <c r="H336" s="1329" t="s">
        <v>1234</v>
      </c>
      <c r="I336" s="1329"/>
      <c r="J336" s="1329"/>
      <c r="K336" s="1329"/>
      <c r="L336" s="1329"/>
      <c r="M336" s="1329"/>
      <c r="N336" s="1329"/>
      <c r="O336" s="1329"/>
      <c r="P336" s="1329"/>
      <c r="Q336" s="1329"/>
      <c r="R336" s="1329"/>
      <c r="T336" s="3" t="s">
        <v>1169</v>
      </c>
      <c r="V336" s="3"/>
      <c r="W336" s="3"/>
      <c r="X336" s="3"/>
      <c r="Y336" s="3"/>
      <c r="AA336" s="1329" t="s">
        <v>1141</v>
      </c>
      <c r="AB336" s="1329"/>
      <c r="AC336" s="1329"/>
      <c r="AD336" s="1329"/>
      <c r="AE336" s="1329"/>
      <c r="AF336" s="1329"/>
      <c r="AG336" s="1329"/>
      <c r="AH336" s="1329"/>
      <c r="AI336" s="1329"/>
      <c r="AJ336" s="1329"/>
      <c r="AK336" s="1329"/>
    </row>
    <row r="337" spans="1:66" ht="13.2" customHeight="1">
      <c r="B337" s="3" t="s">
        <v>1174</v>
      </c>
      <c r="C337" s="3"/>
      <c r="D337" s="3"/>
      <c r="E337" s="3"/>
      <c r="F337" s="3"/>
      <c r="H337" s="1329" t="s">
        <v>1235</v>
      </c>
      <c r="I337" s="1329"/>
      <c r="J337" s="1329"/>
      <c r="K337" s="1329"/>
      <c r="L337" s="1329"/>
      <c r="M337" s="1329"/>
      <c r="N337" s="1329"/>
      <c r="O337" s="1329"/>
      <c r="P337" s="1329"/>
      <c r="Q337" s="1329"/>
      <c r="R337" s="1329"/>
      <c r="T337" s="3" t="s">
        <v>1174</v>
      </c>
      <c r="V337" s="3"/>
      <c r="W337" s="3"/>
      <c r="X337" s="3"/>
      <c r="Y337" s="3"/>
      <c r="AA337" s="1329" t="s">
        <v>1173</v>
      </c>
      <c r="AB337" s="1329"/>
      <c r="AC337" s="1329"/>
      <c r="AD337" s="1329"/>
      <c r="AE337" s="1329"/>
      <c r="AF337" s="1329"/>
      <c r="AG337" s="1329"/>
      <c r="AH337" s="1329"/>
      <c r="AI337" s="1329"/>
      <c r="AJ337" s="1329"/>
      <c r="AK337" s="1329"/>
    </row>
    <row r="338" spans="1:66" ht="13.2" customHeight="1">
      <c r="B338" s="3" t="s">
        <v>1113</v>
      </c>
      <c r="C338" s="3"/>
      <c r="D338" s="3"/>
      <c r="E338" s="3"/>
      <c r="F338" s="3"/>
      <c r="G338" s="3"/>
      <c r="H338" s="1329" t="s">
        <v>1236</v>
      </c>
      <c r="I338" s="1329"/>
      <c r="J338" s="1329"/>
      <c r="K338" s="1329"/>
      <c r="L338" s="1329"/>
      <c r="M338" s="1329"/>
      <c r="N338" s="1329"/>
      <c r="O338" s="1329"/>
      <c r="P338" s="1329"/>
      <c r="Q338" s="1329"/>
      <c r="R338" s="1329"/>
      <c r="T338" s="3" t="s">
        <v>1113</v>
      </c>
      <c r="V338" s="3"/>
      <c r="W338" s="3"/>
      <c r="X338" s="3"/>
      <c r="Y338" s="3"/>
      <c r="AA338" s="1329" t="s">
        <v>1237</v>
      </c>
      <c r="AB338" s="1329"/>
      <c r="AC338" s="1329"/>
      <c r="AD338" s="1329"/>
      <c r="AE338" s="1329"/>
      <c r="AF338" s="1329"/>
      <c r="AG338" s="1329"/>
      <c r="AH338" s="1329"/>
      <c r="AI338" s="1329"/>
      <c r="AJ338" s="1329"/>
      <c r="AK338" s="1329"/>
    </row>
    <row r="339" spans="1:66" ht="13.2" customHeight="1">
      <c r="B339" s="3" t="s">
        <v>1115</v>
      </c>
      <c r="C339" s="3"/>
      <c r="D339" s="3"/>
      <c r="E339" s="3"/>
      <c r="F339" s="3"/>
      <c r="G339" s="3"/>
      <c r="H339" s="1474" t="s">
        <v>1238</v>
      </c>
      <c r="I339" s="1474"/>
      <c r="J339" s="1474"/>
      <c r="K339" s="1474"/>
      <c r="L339" s="1474"/>
      <c r="M339" s="1474"/>
      <c r="N339" s="3" t="s">
        <v>1117</v>
      </c>
      <c r="O339" s="3"/>
      <c r="P339" s="1476"/>
      <c r="Q339" s="1476"/>
      <c r="R339" s="1476"/>
      <c r="S339" s="3"/>
      <c r="T339" s="3" t="s">
        <v>1115</v>
      </c>
      <c r="V339" s="3"/>
      <c r="W339" s="3"/>
      <c r="X339" s="3"/>
      <c r="Y339" s="3"/>
      <c r="AA339" s="1474" t="s">
        <v>1239</v>
      </c>
      <c r="AB339" s="1474"/>
      <c r="AC339" s="1474"/>
      <c r="AD339" s="1474"/>
      <c r="AE339" s="1474"/>
      <c r="AF339" s="1474"/>
      <c r="AG339" s="3" t="s">
        <v>1117</v>
      </c>
      <c r="AH339" s="3"/>
      <c r="AI339" s="1476"/>
      <c r="AJ339" s="1476"/>
      <c r="AK339" s="1476"/>
    </row>
    <row r="340" spans="1:66" ht="13.2" customHeight="1">
      <c r="B340" s="3" t="s">
        <v>1118</v>
      </c>
      <c r="C340" s="3"/>
      <c r="D340" s="3"/>
      <c r="E340" s="3"/>
      <c r="F340" s="3"/>
      <c r="G340" s="3"/>
      <c r="H340" s="1378"/>
      <c r="I340" s="1378"/>
      <c r="J340" s="1378"/>
      <c r="K340" s="1378"/>
      <c r="L340" s="1378"/>
      <c r="M340" s="1378"/>
      <c r="N340" s="3"/>
      <c r="O340" s="3"/>
      <c r="P340" s="85"/>
      <c r="Q340" s="85"/>
      <c r="R340" s="85"/>
      <c r="S340" s="3"/>
      <c r="T340" s="3" t="s">
        <v>1118</v>
      </c>
      <c r="V340" s="3"/>
      <c r="W340" s="3"/>
      <c r="X340" s="3"/>
      <c r="Y340" s="3"/>
      <c r="AA340" s="1378"/>
      <c r="AB340" s="1378"/>
      <c r="AC340" s="1378"/>
      <c r="AD340" s="1378"/>
      <c r="AE340" s="1378"/>
      <c r="AF340" s="1378"/>
      <c r="AG340" s="3"/>
      <c r="AH340" s="3"/>
      <c r="AI340" s="85"/>
      <c r="AJ340" s="85"/>
      <c r="AK340" s="85"/>
    </row>
    <row r="341" spans="1:66" ht="13.2" customHeight="1">
      <c r="B341" s="3" t="s">
        <v>1178</v>
      </c>
      <c r="C341" s="3"/>
      <c r="D341" s="3"/>
      <c r="E341" s="3"/>
      <c r="F341" s="3"/>
      <c r="G341" s="3"/>
      <c r="H341" s="1329" t="s">
        <v>1240</v>
      </c>
      <c r="I341" s="1329"/>
      <c r="J341" s="1329"/>
      <c r="K341" s="1329"/>
      <c r="L341" s="1329"/>
      <c r="M341" s="1329"/>
      <c r="N341" s="1381"/>
      <c r="O341" s="1381"/>
      <c r="P341" s="1381"/>
      <c r="Q341" s="1381"/>
      <c r="R341" s="1381"/>
      <c r="S341" s="3"/>
      <c r="T341" s="3" t="s">
        <v>1178</v>
      </c>
      <c r="V341" s="3"/>
      <c r="W341" s="3"/>
      <c r="X341" s="3"/>
      <c r="Y341" s="3"/>
      <c r="AA341" s="1329" t="s">
        <v>1241</v>
      </c>
      <c r="AB341" s="1329"/>
      <c r="AC341" s="1329"/>
      <c r="AD341" s="1329"/>
      <c r="AE341" s="1329"/>
      <c r="AF341" s="1329"/>
      <c r="AG341" s="1381"/>
      <c r="AH341" s="1381"/>
      <c r="AI341" s="1381"/>
      <c r="AJ341" s="1381"/>
      <c r="AK341" s="1381"/>
    </row>
    <row r="342" spans="1:66" ht="13.2"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2" customHeight="1">
      <c r="B343" s="3"/>
      <c r="C343" s="3"/>
      <c r="D343" s="3"/>
      <c r="E343" s="3"/>
      <c r="F343" s="3"/>
      <c r="I343" s="143" t="s">
        <v>1242</v>
      </c>
      <c r="P343" s="1381"/>
      <c r="Q343" s="1381"/>
      <c r="R343" s="1381"/>
      <c r="S343" s="1381"/>
      <c r="T343" s="1381"/>
      <c r="U343" s="1381"/>
      <c r="V343" s="1381"/>
      <c r="W343" s="1381"/>
      <c r="X343" s="1381"/>
      <c r="Y343" s="1381"/>
      <c r="Z343" s="1381"/>
      <c r="AA343" s="1381"/>
      <c r="AB343" s="1381"/>
      <c r="AC343" s="1381"/>
      <c r="AD343" s="1381"/>
      <c r="AE343" s="1381"/>
      <c r="BN343" t="s">
        <v>892</v>
      </c>
    </row>
    <row r="344" spans="1:66" ht="13.2" customHeight="1">
      <c r="B344" s="3"/>
      <c r="C344" s="3"/>
      <c r="D344" s="3"/>
      <c r="E344" s="3"/>
      <c r="F344" s="3"/>
      <c r="I344" s="3" t="s">
        <v>1169</v>
      </c>
      <c r="P344" s="1329"/>
      <c r="Q344" s="1329"/>
      <c r="R344" s="1329"/>
      <c r="S344" s="1329"/>
      <c r="T344" s="1329"/>
      <c r="U344" s="1329"/>
      <c r="V344" s="1329"/>
      <c r="W344" s="1329"/>
      <c r="X344" s="1329"/>
      <c r="Y344" s="1329"/>
      <c r="Z344" s="1329"/>
      <c r="AA344" s="1329"/>
      <c r="AB344" s="1329"/>
      <c r="AC344" s="1329"/>
      <c r="AD344" s="1329"/>
      <c r="AE344" s="1329"/>
      <c r="BN344" t="s">
        <v>836</v>
      </c>
    </row>
    <row r="345" spans="1:66" ht="13.2" customHeight="1">
      <c r="B345" s="3"/>
      <c r="C345" s="3"/>
      <c r="D345" s="3"/>
      <c r="E345" s="3"/>
      <c r="F345" s="3"/>
      <c r="I345" s="3" t="s">
        <v>1174</v>
      </c>
      <c r="P345" s="1329"/>
      <c r="Q345" s="1329"/>
      <c r="R345" s="1329"/>
      <c r="S345" s="1329"/>
      <c r="T345" s="1329"/>
      <c r="U345" s="1329"/>
      <c r="V345" s="1329"/>
      <c r="W345" s="1329"/>
      <c r="X345" s="1329"/>
      <c r="Y345" s="1329"/>
      <c r="Z345" s="1329"/>
      <c r="AA345" s="1329"/>
      <c r="AB345" s="1329"/>
      <c r="AC345" s="1329"/>
      <c r="AD345" s="1329"/>
      <c r="AE345" s="1329"/>
    </row>
    <row r="346" spans="1:66" ht="13.2" customHeight="1">
      <c r="B346" s="3"/>
      <c r="C346" s="3"/>
      <c r="D346" s="3"/>
      <c r="E346" s="3"/>
      <c r="F346" s="3"/>
      <c r="G346" s="3"/>
      <c r="I346" s="3" t="s">
        <v>1113</v>
      </c>
      <c r="P346" s="1329"/>
      <c r="Q346" s="1329"/>
      <c r="R346" s="1329"/>
      <c r="S346" s="1329"/>
      <c r="T346" s="1329"/>
      <c r="U346" s="1329"/>
      <c r="V346" s="1329"/>
      <c r="W346" s="1329"/>
      <c r="X346" s="1329"/>
      <c r="Y346" s="1329"/>
      <c r="Z346" s="1329"/>
      <c r="AA346" s="1329"/>
      <c r="AB346" s="1329"/>
      <c r="AC346" s="1329"/>
      <c r="AD346" s="1329"/>
      <c r="AE346" s="1329"/>
    </row>
    <row r="347" spans="1:66" ht="13.2" customHeight="1">
      <c r="B347" s="3"/>
      <c r="C347" s="3"/>
      <c r="D347" s="3"/>
      <c r="E347" s="3"/>
      <c r="F347" s="3"/>
      <c r="G347" s="3"/>
      <c r="H347" s="1154"/>
      <c r="I347" s="3" t="s">
        <v>1115</v>
      </c>
      <c r="P347" s="1378"/>
      <c r="Q347" s="1378"/>
      <c r="R347" s="1378"/>
      <c r="S347" s="1378"/>
      <c r="T347" s="1378"/>
      <c r="U347" s="1378"/>
      <c r="V347" s="1378"/>
      <c r="W347" s="1378"/>
      <c r="X347" s="1378"/>
      <c r="Y347" s="1378"/>
      <c r="Z347" s="1378"/>
      <c r="AA347" s="3" t="s">
        <v>1117</v>
      </c>
      <c r="AB347" s="3"/>
      <c r="AC347" s="1349"/>
      <c r="AD347" s="1349"/>
      <c r="AE347" s="1349"/>
      <c r="AF347" s="1154"/>
      <c r="AG347" s="3"/>
      <c r="AH347" s="3"/>
      <c r="AI347" s="3"/>
      <c r="AJ347" s="3"/>
      <c r="AK347" s="3"/>
    </row>
    <row r="348" spans="1:66" ht="13.2" customHeight="1">
      <c r="B348" s="3"/>
      <c r="C348" s="3"/>
      <c r="D348" s="3"/>
      <c r="E348" s="3"/>
      <c r="F348" s="3"/>
      <c r="G348" s="3"/>
      <c r="H348" s="1154"/>
      <c r="I348" s="3" t="s">
        <v>1118</v>
      </c>
      <c r="P348" s="1378"/>
      <c r="Q348" s="1378"/>
      <c r="R348" s="1378"/>
      <c r="S348" s="1378"/>
      <c r="T348" s="1378"/>
      <c r="U348" s="1378"/>
      <c r="V348" s="1378"/>
      <c r="W348" s="1378"/>
      <c r="X348" s="1378"/>
      <c r="Y348" s="1378"/>
      <c r="Z348" s="1378"/>
      <c r="AF348" s="1154"/>
      <c r="AG348" s="3"/>
      <c r="AH348" s="3"/>
      <c r="AI348" s="85"/>
      <c r="AJ348" s="85"/>
      <c r="AK348" s="85"/>
    </row>
    <row r="349" spans="1:66" ht="13.2" customHeight="1">
      <c r="B349" s="3"/>
      <c r="C349" s="3"/>
      <c r="D349" s="3"/>
      <c r="E349" s="3"/>
      <c r="F349" s="3"/>
      <c r="G349" s="3"/>
      <c r="I349" s="3" t="s">
        <v>1178</v>
      </c>
      <c r="P349" s="1381"/>
      <c r="Q349" s="1381"/>
      <c r="R349" s="1381"/>
      <c r="S349" s="1381"/>
      <c r="T349" s="1381"/>
      <c r="U349" s="1381"/>
      <c r="V349" s="1381"/>
      <c r="W349" s="1381"/>
      <c r="X349" s="1381"/>
      <c r="Y349" s="1381"/>
      <c r="Z349" s="1381"/>
      <c r="AA349" s="1381"/>
      <c r="AB349" s="1381"/>
      <c r="AC349" s="1381"/>
      <c r="AD349" s="1381"/>
      <c r="AE349" s="1381"/>
    </row>
    <row r="350" spans="1:66" ht="13.2" customHeight="1">
      <c r="T350" s="8"/>
      <c r="U350" s="8"/>
      <c r="V350" s="8"/>
      <c r="W350" s="8"/>
      <c r="X350" s="8"/>
      <c r="Y350" s="8"/>
      <c r="Z350" s="8"/>
      <c r="AU350" s="71"/>
      <c r="AV350" s="71"/>
      <c r="AW350" s="71"/>
      <c r="AX350" s="71"/>
      <c r="AY350" s="71"/>
    </row>
    <row r="351" spans="1:66" ht="13.2" customHeight="1">
      <c r="A351" s="1478" t="s">
        <v>1243</v>
      </c>
      <c r="B351" s="1478"/>
      <c r="C351" s="1478"/>
      <c r="D351" s="1478"/>
      <c r="E351" s="1478"/>
      <c r="F351" s="1478"/>
      <c r="G351" s="1478"/>
      <c r="H351" s="1478"/>
      <c r="I351" s="1478"/>
      <c r="J351" s="1478"/>
      <c r="K351" s="1478"/>
      <c r="L351" s="1478"/>
      <c r="M351" s="1478"/>
      <c r="N351" s="1478"/>
      <c r="O351" s="1478"/>
      <c r="P351" s="1478"/>
      <c r="Q351" s="1478"/>
      <c r="R351" s="1478"/>
      <c r="S351" s="1478"/>
      <c r="T351" s="1478"/>
      <c r="U351" s="1478"/>
      <c r="V351" s="1478"/>
      <c r="W351" s="1478"/>
      <c r="X351" s="1478"/>
      <c r="Y351" s="1478"/>
      <c r="Z351" s="1478"/>
      <c r="AA351" s="1478"/>
      <c r="AB351" s="1478"/>
      <c r="AC351" s="1478"/>
      <c r="AD351" s="1478"/>
      <c r="AE351" s="1478"/>
      <c r="AF351" s="1478"/>
      <c r="AG351" s="1478"/>
      <c r="AH351" s="1478"/>
      <c r="AI351" s="1478"/>
      <c r="AJ351" s="1478"/>
      <c r="AK351" s="1478"/>
      <c r="AL351" s="1478"/>
      <c r="AM351" s="1478"/>
      <c r="AN351" s="1478"/>
      <c r="AO351" s="1478"/>
      <c r="AP351" s="1478"/>
      <c r="AQ351" s="1478"/>
      <c r="AR351" s="1478"/>
      <c r="AS351" s="1478"/>
      <c r="AT351" s="1478"/>
      <c r="AU351" s="71"/>
      <c r="AV351" s="71"/>
      <c r="AW351" s="71"/>
      <c r="AX351" s="71"/>
      <c r="AY351" s="71"/>
    </row>
    <row r="352" spans="1:66" ht="13.2" customHeight="1">
      <c r="A352" s="1478"/>
      <c r="B352" s="1478"/>
      <c r="C352" s="1478"/>
      <c r="D352" s="1478"/>
      <c r="E352" s="1478"/>
      <c r="F352" s="1478"/>
      <c r="G352" s="1478"/>
      <c r="H352" s="1478"/>
      <c r="I352" s="1478"/>
      <c r="J352" s="1478"/>
      <c r="K352" s="1478"/>
      <c r="L352" s="1478"/>
      <c r="M352" s="1478"/>
      <c r="N352" s="1478"/>
      <c r="O352" s="1478"/>
      <c r="P352" s="1478"/>
      <c r="Q352" s="1478"/>
      <c r="R352" s="1478"/>
      <c r="S352" s="1478"/>
      <c r="T352" s="1478"/>
      <c r="U352" s="1478"/>
      <c r="V352" s="1478"/>
      <c r="W352" s="1478"/>
      <c r="X352" s="1478"/>
      <c r="Y352" s="1478"/>
      <c r="Z352" s="1478"/>
      <c r="AA352" s="1478"/>
      <c r="AB352" s="1478"/>
      <c r="AC352" s="1478"/>
      <c r="AD352" s="1478"/>
      <c r="AE352" s="1478"/>
      <c r="AF352" s="1478"/>
      <c r="AG352" s="1478"/>
      <c r="AH352" s="1478"/>
      <c r="AI352" s="1478"/>
      <c r="AJ352" s="1478"/>
      <c r="AK352" s="1478"/>
      <c r="AL352" s="1478"/>
      <c r="AM352" s="1478"/>
      <c r="AN352" s="1478"/>
      <c r="AO352" s="1478"/>
      <c r="AP352" s="1478"/>
      <c r="AQ352" s="1478"/>
      <c r="AR352" s="1478"/>
      <c r="AS352" s="1478"/>
      <c r="AT352" s="1478"/>
      <c r="AU352" s="22"/>
      <c r="AV352" s="22"/>
      <c r="AW352" s="22"/>
      <c r="AX352" s="22"/>
      <c r="AY352" s="22"/>
    </row>
    <row r="353" spans="1:46" ht="13.2"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2" customHeight="1">
      <c r="A354" s="2" t="s">
        <v>919</v>
      </c>
      <c r="B354" s="2"/>
      <c r="C354" s="2" t="s">
        <v>1244</v>
      </c>
    </row>
    <row r="355" spans="1:46" ht="13.2" customHeight="1">
      <c r="D355" s="3" t="s">
        <v>1245</v>
      </c>
      <c r="M355" s="1348" t="s">
        <v>836</v>
      </c>
      <c r="N355" s="1348"/>
      <c r="P355" t="s">
        <v>1246</v>
      </c>
      <c r="AJ355" s="1348" t="s">
        <v>836</v>
      </c>
      <c r="AK355" s="1348"/>
    </row>
    <row r="356" spans="1:46" ht="13.2" customHeight="1">
      <c r="D356" s="3" t="s">
        <v>1247</v>
      </c>
      <c r="M356" s="1348" t="s">
        <v>299</v>
      </c>
      <c r="N356" s="1348"/>
      <c r="P356" s="3" t="s">
        <v>1248</v>
      </c>
      <c r="AJ356" s="1358"/>
      <c r="AK356" s="1358"/>
    </row>
    <row r="357" spans="1:46" ht="13.2" customHeight="1">
      <c r="D357" s="3" t="s">
        <v>1249</v>
      </c>
      <c r="M357" s="1348" t="s">
        <v>299</v>
      </c>
      <c r="N357" s="1348"/>
      <c r="P357" t="s">
        <v>1250</v>
      </c>
      <c r="AJ357" s="1348" t="s">
        <v>299</v>
      </c>
      <c r="AK357" s="1348"/>
    </row>
    <row r="358" spans="1:46" ht="13.2" customHeight="1">
      <c r="D358" s="3" t="s">
        <v>1251</v>
      </c>
      <c r="M358" s="1348" t="s">
        <v>299</v>
      </c>
      <c r="N358" s="1348"/>
      <c r="Q358" s="3"/>
    </row>
    <row r="359" spans="1:46" ht="13.2" customHeight="1">
      <c r="Q359" s="3"/>
    </row>
    <row r="360" spans="1:46" ht="13.2" customHeight="1">
      <c r="Q360" s="3"/>
    </row>
    <row r="361" spans="1:46" ht="13.2" customHeight="1">
      <c r="A361" s="2" t="s">
        <v>960</v>
      </c>
      <c r="B361" s="2"/>
      <c r="C361" s="2" t="s">
        <v>1252</v>
      </c>
      <c r="D361" s="2"/>
    </row>
    <row r="362" spans="1:46" ht="13.2" customHeight="1">
      <c r="D362" s="32" t="s">
        <v>1253</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2" customHeight="1">
      <c r="D363" s="32" t="s">
        <v>1254</v>
      </c>
      <c r="E363" s="33"/>
      <c r="F363" s="33"/>
      <c r="G363" s="33"/>
      <c r="H363" s="33"/>
      <c r="I363" s="33"/>
      <c r="J363" s="33"/>
      <c r="K363" s="33"/>
      <c r="L363" s="33"/>
      <c r="M363" s="33"/>
      <c r="N363" s="1348" t="s">
        <v>299</v>
      </c>
      <c r="O363" s="1348"/>
      <c r="P363" s="33"/>
      <c r="Q363" s="33"/>
      <c r="R363" s="33"/>
      <c r="S363" s="33"/>
      <c r="T363" s="33"/>
      <c r="U363" s="33"/>
      <c r="V363" s="33"/>
      <c r="W363" s="33"/>
      <c r="X363" s="33"/>
      <c r="Y363" s="33"/>
      <c r="Z363" s="33"/>
      <c r="AC363" s="33"/>
      <c r="AD363" s="33"/>
      <c r="AE363" s="33"/>
    </row>
    <row r="364" spans="1:46" ht="13.2" customHeight="1">
      <c r="E364" t="s">
        <v>1255</v>
      </c>
      <c r="Y364" s="1348" t="s">
        <v>299</v>
      </c>
      <c r="Z364" s="1348"/>
    </row>
    <row r="365" spans="1:46" ht="13.2" customHeight="1">
      <c r="D365" s="3" t="s">
        <v>1256</v>
      </c>
      <c r="Q365" s="1381"/>
      <c r="R365" s="1381"/>
      <c r="S365" s="1381"/>
      <c r="T365" s="1381"/>
      <c r="U365" s="1381"/>
      <c r="V365" s="1381"/>
      <c r="W365" s="1381"/>
      <c r="X365" s="1381"/>
      <c r="Y365" s="1381"/>
      <c r="Z365" s="1381"/>
      <c r="AA365" s="1381"/>
      <c r="AB365" s="1381"/>
      <c r="AC365" s="1381"/>
      <c r="AD365" s="1381"/>
      <c r="AE365" s="1381"/>
      <c r="AF365" s="1381"/>
      <c r="AG365" s="1381"/>
    </row>
    <row r="366" spans="1:46" ht="13.2" customHeight="1">
      <c r="D366" t="s">
        <v>1257</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2" customHeight="1">
      <c r="D367" t="s">
        <v>1258</v>
      </c>
      <c r="E367" s="33"/>
      <c r="F367" s="33"/>
      <c r="G367" s="33"/>
      <c r="H367" s="33"/>
      <c r="I367" s="33"/>
      <c r="J367" s="1348" t="s">
        <v>299</v>
      </c>
      <c r="K367" s="1348"/>
      <c r="L367" s="33"/>
      <c r="M367" s="33"/>
      <c r="N367" s="33"/>
      <c r="O367" s="33"/>
      <c r="P367" s="33"/>
      <c r="Q367" s="33"/>
      <c r="R367" s="33"/>
      <c r="S367" s="33"/>
      <c r="T367" s="33"/>
      <c r="U367" s="33"/>
      <c r="V367" s="33"/>
      <c r="W367" s="33"/>
      <c r="X367" s="33"/>
      <c r="Y367" s="33"/>
      <c r="Z367" s="33"/>
      <c r="AC367" s="33"/>
      <c r="AD367" s="33"/>
      <c r="AE367" s="33"/>
    </row>
    <row r="368" spans="1:46" ht="13.2" customHeight="1">
      <c r="E368" s="1220" t="s">
        <v>1259</v>
      </c>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row>
    <row r="369" spans="1:34" ht="13.2" customHeight="1">
      <c r="E369" s="1220"/>
      <c r="F369" s="1220"/>
      <c r="G369" s="1220"/>
      <c r="H369" s="1220"/>
      <c r="I369" s="1220"/>
      <c r="J369" s="1220"/>
      <c r="K369" s="1220"/>
      <c r="L369" s="1220"/>
      <c r="M369" s="1220"/>
      <c r="N369" s="1220"/>
      <c r="O369" s="1220"/>
      <c r="P369" s="1220"/>
      <c r="Q369" s="1220"/>
      <c r="R369" s="1220"/>
      <c r="S369" s="1220"/>
      <c r="T369" s="1220"/>
      <c r="U369" s="1220"/>
      <c r="V369" s="1220"/>
      <c r="W369" s="1220"/>
      <c r="X369" s="1220"/>
      <c r="Y369" s="1220"/>
      <c r="Z369" s="1220"/>
      <c r="AA369" s="1220"/>
      <c r="AB369" s="1220"/>
      <c r="AC369" s="1220"/>
      <c r="AD369" s="1220"/>
      <c r="AE369" s="1220"/>
      <c r="AF369" s="1220"/>
      <c r="AG369" s="1220"/>
      <c r="AH369" s="1220"/>
    </row>
    <row r="370" spans="1:34" ht="13.2" customHeight="1">
      <c r="E370" s="3" t="s">
        <v>1260</v>
      </c>
      <c r="F370" s="3"/>
      <c r="G370" s="3"/>
      <c r="H370" s="3"/>
      <c r="I370" s="3"/>
      <c r="J370" s="3"/>
      <c r="K370" s="3"/>
      <c r="L370" s="3"/>
      <c r="N370" s="1354"/>
      <c r="O370" s="1354"/>
      <c r="P370" s="1354"/>
      <c r="Q370" s="1354"/>
      <c r="R370" s="3"/>
      <c r="U370" s="3" t="s">
        <v>1261</v>
      </c>
      <c r="V370" s="3"/>
      <c r="W370" s="3"/>
      <c r="X370" s="3"/>
      <c r="Y370" s="3"/>
      <c r="Z370" s="3"/>
      <c r="AA370" s="3"/>
      <c r="AB370" s="3"/>
      <c r="AC370" s="1354"/>
      <c r="AD370" s="1354"/>
      <c r="AE370" s="1354"/>
      <c r="AF370" s="1354"/>
    </row>
    <row r="371" spans="1:34" ht="13.2" customHeight="1">
      <c r="E371" s="3" t="s">
        <v>1262</v>
      </c>
      <c r="F371" s="3"/>
      <c r="G371" s="3"/>
      <c r="H371" s="3"/>
      <c r="I371" s="3"/>
      <c r="J371" s="3"/>
      <c r="K371" s="3"/>
      <c r="L371" s="3"/>
      <c r="N371" s="1354"/>
      <c r="O371" s="1354"/>
      <c r="P371" s="1354"/>
      <c r="Q371" s="1354"/>
      <c r="R371" s="3"/>
      <c r="U371" s="3" t="s">
        <v>1263</v>
      </c>
      <c r="V371" s="3"/>
      <c r="W371" s="3"/>
      <c r="X371" s="3"/>
      <c r="Y371" s="3"/>
      <c r="Z371" s="3"/>
      <c r="AA371" s="3"/>
      <c r="AB371" s="3"/>
      <c r="AC371" s="1354"/>
      <c r="AD371" s="1354"/>
      <c r="AE371" s="1354"/>
      <c r="AF371" s="1354"/>
    </row>
    <row r="372" spans="1:34" ht="13.2" customHeight="1">
      <c r="E372" s="3" t="s">
        <v>1264</v>
      </c>
      <c r="F372" s="3"/>
      <c r="G372" s="3"/>
      <c r="H372" s="3"/>
      <c r="I372" s="3"/>
      <c r="J372" s="3"/>
      <c r="K372" s="3"/>
      <c r="L372" s="3"/>
      <c r="N372" s="1354"/>
      <c r="O372" s="1354"/>
      <c r="P372" s="1354"/>
      <c r="Q372" s="1354"/>
      <c r="R372" s="3"/>
      <c r="V372" s="3"/>
      <c r="W372" s="3"/>
      <c r="X372" s="3"/>
      <c r="Y372" s="3"/>
      <c r="Z372" s="3"/>
      <c r="AA372" s="3"/>
      <c r="AB372" s="3"/>
    </row>
    <row r="373" spans="1:34" ht="13.2" customHeight="1">
      <c r="E373" s="3" t="s">
        <v>1265</v>
      </c>
      <c r="F373" s="3"/>
      <c r="G373" s="3"/>
      <c r="H373" s="3"/>
      <c r="I373" s="3"/>
      <c r="J373" s="3"/>
      <c r="K373" s="3"/>
      <c r="L373" s="3"/>
      <c r="N373" s="1379"/>
      <c r="O373" s="1379"/>
      <c r="P373" s="1379"/>
      <c r="Q373" s="1379"/>
      <c r="R373" s="1379"/>
      <c r="S373" s="1379"/>
      <c r="T373" s="1379"/>
      <c r="U373" s="1379"/>
      <c r="V373" s="1379"/>
      <c r="W373" s="1379"/>
      <c r="X373" s="1379"/>
      <c r="Y373" s="1379"/>
      <c r="Z373" s="1379"/>
      <c r="AA373" s="1379"/>
      <c r="AB373" s="1379"/>
      <c r="AC373" s="1379"/>
      <c r="AD373" s="1379"/>
      <c r="AE373" s="1379"/>
      <c r="AF373" s="1379"/>
    </row>
    <row r="374" spans="1:34" ht="13.2" customHeight="1">
      <c r="E374" s="3"/>
      <c r="F374" s="3"/>
      <c r="G374" s="3"/>
      <c r="H374" s="3"/>
      <c r="I374" s="3"/>
      <c r="J374" s="3"/>
      <c r="K374" s="3"/>
      <c r="L374" s="3"/>
      <c r="N374" s="1380"/>
      <c r="O374" s="1380"/>
      <c r="P374" s="1380"/>
      <c r="Q374" s="1380"/>
      <c r="R374" s="1380"/>
      <c r="S374" s="1380"/>
      <c r="T374" s="1380"/>
      <c r="U374" s="1380"/>
      <c r="V374" s="1380"/>
      <c r="W374" s="1380"/>
      <c r="X374" s="1380"/>
      <c r="Y374" s="1380"/>
      <c r="Z374" s="1380"/>
      <c r="AA374" s="1380"/>
      <c r="AB374" s="1380"/>
      <c r="AC374" s="1380"/>
      <c r="AD374" s="1380"/>
      <c r="AE374" s="1380"/>
      <c r="AF374" s="1380"/>
    </row>
    <row r="375" spans="1:34" ht="13.2" customHeight="1">
      <c r="C375" s="436"/>
      <c r="E375" s="3"/>
      <c r="F375" s="3"/>
      <c r="G375" s="3"/>
      <c r="H375" s="3"/>
      <c r="I375" s="3"/>
      <c r="J375" s="3"/>
      <c r="K375" s="3"/>
      <c r="L375" s="3"/>
    </row>
    <row r="376" spans="1:34" ht="13.2" customHeight="1">
      <c r="D376" s="2" t="s">
        <v>1266</v>
      </c>
      <c r="E376" s="2"/>
      <c r="F376" s="3"/>
      <c r="G376" s="3"/>
      <c r="H376" s="3"/>
      <c r="I376" s="3"/>
      <c r="J376" s="3"/>
      <c r="K376" s="3"/>
      <c r="L376" s="3"/>
    </row>
    <row r="377" spans="1:34" ht="13.2" customHeight="1">
      <c r="E377" s="3" t="s">
        <v>1267</v>
      </c>
      <c r="F377" s="3"/>
      <c r="G377" s="3"/>
      <c r="H377" s="3"/>
      <c r="I377" s="3"/>
      <c r="J377" s="3"/>
      <c r="K377" s="3"/>
      <c r="L377" s="3"/>
      <c r="N377" t="s">
        <v>936</v>
      </c>
      <c r="R377" s="24" t="s">
        <v>937</v>
      </c>
      <c r="S377" s="1382"/>
      <c r="T377" s="1382"/>
      <c r="U377" s="1" t="s">
        <v>938</v>
      </c>
      <c r="V377" s="1382"/>
      <c r="W377" s="1382"/>
      <c r="Y377" t="s">
        <v>936</v>
      </c>
      <c r="AC377" s="24" t="s">
        <v>937</v>
      </c>
      <c r="AD377" s="1382"/>
      <c r="AE377" s="1382"/>
      <c r="AF377" s="1" t="s">
        <v>938</v>
      </c>
      <c r="AG377" s="1382"/>
      <c r="AH377" s="1382"/>
    </row>
    <row r="378" spans="1:34" ht="13.2" customHeight="1">
      <c r="E378" s="3" t="s">
        <v>1268</v>
      </c>
      <c r="F378" s="3"/>
      <c r="G378" s="3"/>
      <c r="H378" s="3"/>
      <c r="I378" s="3"/>
      <c r="J378" s="3"/>
      <c r="K378" s="3"/>
      <c r="L378" s="3"/>
      <c r="N378" s="1382"/>
      <c r="O378" s="1382"/>
      <c r="P378" s="1382"/>
    </row>
    <row r="379" spans="1:34" ht="13.2" customHeight="1">
      <c r="E379" s="143" t="s">
        <v>1269</v>
      </c>
      <c r="F379" s="3"/>
      <c r="G379" s="3"/>
      <c r="H379" s="3"/>
      <c r="I379" s="3"/>
      <c r="J379" s="3"/>
      <c r="K379" s="3"/>
      <c r="L379" s="3"/>
      <c r="AG379" s="1463" t="s">
        <v>299</v>
      </c>
      <c r="AH379" s="1463"/>
    </row>
    <row r="380" spans="1:34" ht="13.2" customHeight="1">
      <c r="E380" s="3"/>
      <c r="F380" s="3"/>
      <c r="G380" s="3" t="s">
        <v>1270</v>
      </c>
      <c r="H380" s="3"/>
      <c r="I380" s="3"/>
      <c r="J380" s="3"/>
      <c r="K380" s="3"/>
      <c r="L380" s="3"/>
      <c r="AG380" s="1463" t="s">
        <v>299</v>
      </c>
      <c r="AH380" s="1463"/>
    </row>
    <row r="381" spans="1:34" ht="13.2" customHeight="1">
      <c r="E381" s="3"/>
      <c r="F381" s="3"/>
      <c r="G381" s="243" t="s">
        <v>1271</v>
      </c>
      <c r="H381" s="3"/>
      <c r="I381" s="3"/>
      <c r="J381" s="3"/>
      <c r="K381" s="3"/>
      <c r="L381" s="3"/>
      <c r="V381" s="1348" t="s">
        <v>299</v>
      </c>
      <c r="W381" s="1348"/>
      <c r="Y381" s="20" t="s">
        <v>1272</v>
      </c>
    </row>
    <row r="382" spans="1:34" ht="13.2" customHeight="1">
      <c r="E382" s="3" t="s">
        <v>1273</v>
      </c>
      <c r="F382" s="3"/>
      <c r="G382" s="3"/>
      <c r="H382" s="3"/>
      <c r="I382" s="3"/>
      <c r="J382" s="3"/>
      <c r="K382" s="3"/>
      <c r="L382" s="3"/>
      <c r="V382" s="1348" t="s">
        <v>299</v>
      </c>
      <c r="W382" s="1348"/>
      <c r="Y382" s="3" t="s">
        <v>1274</v>
      </c>
    </row>
    <row r="383" spans="1:34" ht="13.2" customHeight="1"/>
    <row r="384" spans="1:34" ht="13.2" customHeight="1">
      <c r="A384" s="2" t="s">
        <v>1275</v>
      </c>
      <c r="B384" s="2"/>
    </row>
    <row r="385" spans="4:36" ht="13.2" customHeight="1">
      <c r="D385" t="s">
        <v>1276</v>
      </c>
      <c r="J385" s="1381"/>
      <c r="K385" s="1381"/>
      <c r="L385" s="1381"/>
      <c r="M385" s="1381"/>
      <c r="N385" s="1381"/>
      <c r="O385" s="1381"/>
      <c r="P385" s="1381"/>
      <c r="Q385" s="1381"/>
      <c r="R385" s="1381"/>
      <c r="S385" s="1381"/>
      <c r="T385" s="1381"/>
      <c r="U385" s="1381"/>
      <c r="V385" s="8" t="s">
        <v>1277</v>
      </c>
      <c r="W385" s="8"/>
      <c r="X385" s="8"/>
      <c r="Y385" s="8"/>
      <c r="Z385" s="8"/>
      <c r="AA385" s="8"/>
      <c r="AB385" s="8"/>
      <c r="AC385" s="1381"/>
      <c r="AD385" s="1381"/>
      <c r="AE385" s="1381"/>
      <c r="AF385" s="1381"/>
      <c r="AG385" s="1381"/>
      <c r="AH385" s="1381"/>
      <c r="AI385" s="1381"/>
      <c r="AJ385" s="1381"/>
    </row>
    <row r="386" spans="4:36" ht="13.2" customHeight="1">
      <c r="D386" s="3" t="s">
        <v>1278</v>
      </c>
      <c r="J386" s="1329"/>
      <c r="K386" s="1329"/>
      <c r="L386" s="1329"/>
      <c r="M386" s="1329"/>
      <c r="N386" s="1329"/>
      <c r="O386" s="1329"/>
      <c r="P386" s="1329"/>
      <c r="Q386" s="1329"/>
      <c r="R386" s="1329"/>
      <c r="S386" s="1329"/>
      <c r="T386" s="1329"/>
      <c r="U386" s="1329"/>
      <c r="V386" s="3" t="s">
        <v>1278</v>
      </c>
      <c r="W386" s="8"/>
      <c r="X386" s="8"/>
      <c r="Y386" s="8"/>
      <c r="Z386" s="8"/>
      <c r="AA386" s="8"/>
      <c r="AB386" s="8"/>
      <c r="AC386" s="1381"/>
      <c r="AD386" s="1381"/>
      <c r="AE386" s="1381"/>
      <c r="AF386" s="1381"/>
      <c r="AG386" s="1381"/>
      <c r="AH386" s="1381"/>
      <c r="AI386" s="1381"/>
      <c r="AJ386" s="1381"/>
    </row>
    <row r="387" spans="4:36" ht="13.2" customHeight="1">
      <c r="D387" s="3" t="s">
        <v>870</v>
      </c>
      <c r="J387" s="1329"/>
      <c r="K387" s="1329"/>
      <c r="L387" s="1329"/>
      <c r="M387" s="1329"/>
      <c r="N387" s="1329"/>
      <c r="O387" s="1329"/>
      <c r="P387" s="1329"/>
      <c r="Q387" s="1329"/>
      <c r="R387" s="1329"/>
      <c r="S387" s="1329"/>
      <c r="T387" s="1329"/>
      <c r="U387" s="1329"/>
      <c r="V387" s="3" t="s">
        <v>870</v>
      </c>
      <c r="W387" s="8"/>
      <c r="X387" s="8"/>
      <c r="Y387" s="8"/>
      <c r="Z387" s="8"/>
      <c r="AA387" s="8"/>
      <c r="AB387" s="8"/>
      <c r="AC387" s="1381"/>
      <c r="AD387" s="1381"/>
      <c r="AE387" s="1381"/>
      <c r="AF387" s="1381"/>
      <c r="AG387" s="1381"/>
      <c r="AH387" s="1381"/>
      <c r="AI387" s="1381"/>
      <c r="AJ387" s="1381"/>
    </row>
    <row r="388" spans="4:36" ht="13.2" customHeight="1">
      <c r="D388" t="s">
        <v>1279</v>
      </c>
      <c r="J388" s="1351"/>
      <c r="K388" s="1351"/>
      <c r="L388" s="1351"/>
      <c r="M388" s="1351"/>
      <c r="N388" s="1351"/>
      <c r="O388" s="1351"/>
      <c r="P388" s="1351"/>
      <c r="Q388" s="1351"/>
      <c r="R388" s="1351"/>
      <c r="S388" s="1351"/>
      <c r="T388" s="1351"/>
      <c r="U388" s="1351"/>
      <c r="V388" s="1381"/>
      <c r="W388" s="1381"/>
      <c r="X388" s="1381"/>
      <c r="Y388" s="1381"/>
      <c r="Z388" s="1381"/>
      <c r="AA388" s="1381"/>
      <c r="AB388" s="1381"/>
      <c r="AC388" s="1381"/>
      <c r="AD388" s="1381"/>
      <c r="AE388" s="1381"/>
      <c r="AF388" s="1381"/>
      <c r="AG388" s="1381"/>
      <c r="AH388" s="1381"/>
      <c r="AI388" s="1381"/>
      <c r="AJ388" s="1381"/>
    </row>
    <row r="389" spans="4:36" ht="13.2" customHeight="1">
      <c r="D389" t="s">
        <v>1280</v>
      </c>
      <c r="Q389" s="1666"/>
      <c r="R389" s="1666"/>
      <c r="S389" s="1666"/>
      <c r="T389" s="1666"/>
      <c r="U389" s="1666"/>
      <c r="V389" t="s">
        <v>1281</v>
      </c>
      <c r="AI389" s="1348"/>
      <c r="AJ389" s="1348"/>
    </row>
    <row r="390" spans="4:36" ht="13.2" customHeight="1">
      <c r="D390" t="s">
        <v>1282</v>
      </c>
      <c r="Q390" s="1614"/>
      <c r="R390" s="1663"/>
      <c r="S390" s="1663"/>
      <c r="T390" s="1663"/>
      <c r="U390" s="1663"/>
      <c r="W390" s="19" t="s">
        <v>1283</v>
      </c>
      <c r="AG390" s="1389"/>
      <c r="AH390" s="1389"/>
      <c r="AI390" s="1389"/>
      <c r="AJ390" s="1389"/>
    </row>
    <row r="391" spans="4:36" ht="13.2" customHeight="1">
      <c r="D391" t="s">
        <v>1284</v>
      </c>
      <c r="Q391" s="1608"/>
      <c r="R391" s="1608"/>
      <c r="S391" s="1608"/>
      <c r="T391" s="1608"/>
      <c r="U391" s="1608"/>
      <c r="V391" s="3" t="s">
        <v>1285</v>
      </c>
      <c r="AG391" s="1461"/>
      <c r="AH391" s="1461"/>
      <c r="AI391" s="1461"/>
      <c r="AJ391" s="1461"/>
    </row>
    <row r="392" spans="4:36" ht="13.2" customHeight="1">
      <c r="D392" t="s">
        <v>1115</v>
      </c>
      <c r="I392" s="1474"/>
      <c r="J392" s="1474"/>
      <c r="K392" s="1474"/>
      <c r="L392" s="1474"/>
      <c r="M392" s="1474"/>
      <c r="N392" s="1474"/>
      <c r="Q392" s="3" t="s">
        <v>1117</v>
      </c>
      <c r="S392" s="1665"/>
      <c r="T392" s="1665"/>
      <c r="U392" s="1665"/>
      <c r="V392" t="s">
        <v>1286</v>
      </c>
      <c r="AI392" s="1348"/>
      <c r="AJ392" s="1348"/>
    </row>
    <row r="393" spans="4:36" ht="13.2" customHeight="1">
      <c r="D393" t="s">
        <v>1287</v>
      </c>
      <c r="Q393" s="1462"/>
      <c r="R393" s="1462"/>
      <c r="S393" s="1462"/>
      <c r="T393" s="1462"/>
      <c r="U393" s="1462"/>
      <c r="V393" t="s">
        <v>1288</v>
      </c>
      <c r="AG393" s="1389"/>
      <c r="AH393" s="1389"/>
      <c r="AI393" s="1389"/>
      <c r="AJ393" s="1389"/>
    </row>
    <row r="394" spans="4:36" ht="13.2" customHeight="1">
      <c r="D394" t="s">
        <v>1289</v>
      </c>
      <c r="Q394" s="1516"/>
      <c r="R394" s="1516"/>
      <c r="S394" s="1516"/>
      <c r="T394" s="1516"/>
      <c r="U394" s="1516"/>
      <c r="V394" t="s">
        <v>1290</v>
      </c>
      <c r="AG394" s="1389"/>
      <c r="AH394" s="1389"/>
      <c r="AI394" s="1389"/>
      <c r="AJ394" s="1389"/>
    </row>
    <row r="395" spans="4:36" ht="13.2" customHeight="1">
      <c r="D395" t="s">
        <v>1291</v>
      </c>
      <c r="AG395" s="1389"/>
      <c r="AH395" s="1389"/>
      <c r="AI395" s="1389"/>
      <c r="AJ395" s="1389"/>
    </row>
    <row r="396" spans="4:36" ht="13.2" customHeight="1">
      <c r="AG396" s="1155"/>
      <c r="AH396" s="1155"/>
      <c r="AI396" s="1155"/>
      <c r="AJ396" s="1155"/>
    </row>
    <row r="397" spans="4:36" ht="13.2" customHeight="1">
      <c r="D397" s="3" t="s">
        <v>1292</v>
      </c>
      <c r="AG397" s="1155"/>
      <c r="AH397" s="1155"/>
      <c r="AI397" s="1348" t="s">
        <v>892</v>
      </c>
      <c r="AJ397" s="1348"/>
    </row>
    <row r="398" spans="4:36" ht="13.2" customHeight="1">
      <c r="D398" s="3" t="s">
        <v>1293</v>
      </c>
      <c r="T398" s="1356"/>
      <c r="U398" s="1356"/>
      <c r="V398" s="1356"/>
      <c r="W398" s="1356"/>
      <c r="X398" s="1356"/>
      <c r="Y398" s="1356"/>
      <c r="Z398" s="1356"/>
      <c r="AA398" s="1356"/>
      <c r="AB398" s="1356"/>
      <c r="AC398" s="1356"/>
      <c r="AD398" s="1356"/>
      <c r="AE398" s="1356"/>
      <c r="AF398" s="1356"/>
      <c r="AG398" s="1356"/>
      <c r="AH398" s="1356"/>
      <c r="AI398" s="1356"/>
      <c r="AJ398" s="1356"/>
    </row>
    <row r="399" spans="4:36" ht="13.2" customHeight="1">
      <c r="D399" s="3" t="s">
        <v>1294</v>
      </c>
      <c r="T399" s="1356"/>
      <c r="U399" s="1356"/>
      <c r="V399" s="1356"/>
      <c r="W399" s="1356"/>
      <c r="X399" s="1356"/>
      <c r="Y399" s="1356"/>
      <c r="Z399" s="1356"/>
      <c r="AA399" s="1356"/>
      <c r="AB399" s="1356"/>
      <c r="AC399" s="1356"/>
      <c r="AD399" s="1356"/>
      <c r="AE399" s="1356"/>
      <c r="AF399" s="1356"/>
      <c r="AG399" s="1356"/>
      <c r="AH399" s="1356"/>
      <c r="AI399" s="1356"/>
      <c r="AJ399" s="1356"/>
    </row>
    <row r="400" spans="4:36" ht="13.2" customHeight="1">
      <c r="AG400" s="1155"/>
      <c r="AH400" s="1155"/>
      <c r="AI400" s="1155"/>
      <c r="AJ400" s="1155"/>
    </row>
    <row r="401" spans="1:36" ht="13.2" customHeight="1">
      <c r="D401" s="3" t="s">
        <v>1295</v>
      </c>
      <c r="S401" s="1356" t="s">
        <v>836</v>
      </c>
      <c r="T401" s="1356"/>
      <c r="U401" s="1356"/>
      <c r="V401" t="s">
        <v>1296</v>
      </c>
      <c r="AG401" s="1383">
        <v>99</v>
      </c>
      <c r="AH401" s="1383"/>
      <c r="AI401" s="1383"/>
      <c r="AJ401" s="1383"/>
    </row>
    <row r="402" spans="1:36" ht="13.2" customHeight="1">
      <c r="D402" s="3" t="s">
        <v>1297</v>
      </c>
      <c r="S402" s="1356" t="s">
        <v>836</v>
      </c>
      <c r="T402" s="1356"/>
      <c r="U402" s="1356"/>
      <c r="V402" t="s">
        <v>1298</v>
      </c>
      <c r="AE402" s="1391">
        <v>1</v>
      </c>
      <c r="AF402" s="1391"/>
      <c r="AG402" s="1391"/>
      <c r="AH402" s="1391"/>
      <c r="AI402" s="1391"/>
      <c r="AJ402" s="1391"/>
    </row>
    <row r="403" spans="1:36" ht="13.2" customHeight="1">
      <c r="D403" s="3" t="s">
        <v>1299</v>
      </c>
      <c r="K403" s="1418"/>
      <c r="L403" s="1418"/>
      <c r="M403" s="1418"/>
      <c r="N403" s="1418"/>
      <c r="O403" s="1418"/>
      <c r="P403" s="1418"/>
      <c r="Q403" s="1418"/>
      <c r="R403" s="1418"/>
      <c r="S403" s="1418"/>
      <c r="T403" s="1418"/>
      <c r="U403" s="1418"/>
      <c r="V403" s="1418"/>
      <c r="W403" s="1418"/>
      <c r="X403" s="1418"/>
      <c r="Y403" s="1418"/>
      <c r="Z403" s="1418"/>
      <c r="AA403" s="1418"/>
      <c r="AB403" s="1418"/>
      <c r="AC403" s="1418"/>
      <c r="AD403" s="1418"/>
      <c r="AE403" s="1418"/>
      <c r="AF403" s="1418"/>
      <c r="AG403" s="1418"/>
      <c r="AH403" s="1418"/>
      <c r="AI403" s="1418"/>
      <c r="AJ403" s="1418"/>
    </row>
    <row r="404" spans="1:36" ht="13.2" customHeight="1">
      <c r="D404" s="3" t="s">
        <v>1300</v>
      </c>
      <c r="K404" s="1418" t="s">
        <v>1301</v>
      </c>
      <c r="L404" s="1418"/>
      <c r="M404" s="1418"/>
      <c r="N404" s="1418"/>
      <c r="O404" s="1418"/>
      <c r="P404" s="1418"/>
      <c r="Q404" s="1418"/>
      <c r="R404" s="1418"/>
      <c r="S404" s="1418"/>
      <c r="T404" s="1418"/>
      <c r="U404" s="1418"/>
      <c r="V404" s="1418"/>
      <c r="W404" s="1418"/>
      <c r="X404" s="1418"/>
      <c r="Y404" s="1418"/>
      <c r="Z404" s="1418"/>
      <c r="AA404" s="1418"/>
      <c r="AB404" s="1418"/>
      <c r="AC404" s="1418"/>
      <c r="AD404" s="1418"/>
      <c r="AE404" s="1418"/>
      <c r="AF404" s="1418"/>
      <c r="AG404" s="1418"/>
      <c r="AH404" s="1418"/>
      <c r="AI404" s="1418"/>
      <c r="AJ404" s="1418"/>
    </row>
    <row r="405" spans="1:36" ht="13.2" customHeight="1">
      <c r="D405" s="3" t="s">
        <v>1302</v>
      </c>
      <c r="E405" s="402"/>
      <c r="F405" s="402"/>
      <c r="G405" s="402"/>
      <c r="H405" s="402"/>
      <c r="I405" s="402"/>
      <c r="J405" s="402"/>
      <c r="K405" s="402"/>
      <c r="L405" s="402"/>
      <c r="M405" s="402"/>
      <c r="N405" s="402"/>
      <c r="O405" s="402"/>
      <c r="P405" s="402"/>
      <c r="Q405" s="402"/>
      <c r="R405" s="402"/>
      <c r="S405" s="1467" t="s">
        <v>1303</v>
      </c>
      <c r="T405" s="1467"/>
      <c r="U405" s="1467"/>
      <c r="V405" s="1467"/>
      <c r="W405" s="1467"/>
      <c r="X405" s="1467"/>
      <c r="Y405" s="1467"/>
      <c r="Z405" s="1467"/>
      <c r="AA405" s="1467"/>
      <c r="AB405" s="1467"/>
      <c r="AC405" s="1467"/>
      <c r="AD405" s="1467"/>
      <c r="AE405" s="1467"/>
      <c r="AF405" s="1467"/>
      <c r="AG405" s="1467"/>
      <c r="AH405" s="1467"/>
      <c r="AI405" s="1467"/>
      <c r="AJ405" s="1467"/>
    </row>
    <row r="406" spans="1:36" ht="13.2" customHeight="1">
      <c r="D406" s="1226" t="s">
        <v>1304</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3.2"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3.2" customHeight="1">
      <c r="AG408" s="1155"/>
      <c r="AH408" s="1155"/>
      <c r="AI408" s="1155"/>
      <c r="AJ408" s="1155"/>
    </row>
    <row r="409" spans="1:36" ht="13.2" customHeight="1">
      <c r="A409" s="2" t="s">
        <v>1056</v>
      </c>
      <c r="B409" s="2"/>
      <c r="C409" s="2" t="s">
        <v>144</v>
      </c>
    </row>
    <row r="410" spans="1:36" ht="13.2" customHeight="1">
      <c r="B410" s="2"/>
      <c r="C410" s="2"/>
      <c r="D410" s="2" t="s">
        <v>1305</v>
      </c>
      <c r="I410" s="1476" t="s">
        <v>1306</v>
      </c>
      <c r="J410" s="1476"/>
      <c r="K410" s="1476"/>
      <c r="L410" s="1476"/>
      <c r="M410" s="1476"/>
      <c r="N410" s="1476"/>
      <c r="O410" s="1476"/>
      <c r="P410" s="1476"/>
      <c r="Q410" s="1476"/>
      <c r="R410" s="1476"/>
      <c r="S410" s="1476"/>
      <c r="T410" s="1476"/>
      <c r="U410" s="1476"/>
      <c r="V410" s="1476"/>
      <c r="W410" s="1476"/>
      <c r="X410" s="1476"/>
      <c r="Y410" s="1476"/>
      <c r="Z410" s="1476"/>
      <c r="AA410" s="1476"/>
      <c r="AB410" s="1476"/>
      <c r="AC410" s="1476"/>
      <c r="AD410" s="1476"/>
      <c r="AE410" s="1476"/>
    </row>
    <row r="411" spans="1:36" ht="13.2" customHeight="1">
      <c r="E411" t="s">
        <v>1307</v>
      </c>
      <c r="R411" s="1348" t="s">
        <v>836</v>
      </c>
      <c r="S411" s="1348"/>
      <c r="AC411" s="24" t="s">
        <v>1308</v>
      </c>
      <c r="AD411" s="1354">
        <v>4</v>
      </c>
      <c r="AE411" s="1354"/>
    </row>
    <row r="412" spans="1:36" ht="13.2" customHeight="1">
      <c r="E412" t="s">
        <v>1309</v>
      </c>
      <c r="R412" s="1348" t="s">
        <v>299</v>
      </c>
      <c r="S412" s="1348"/>
      <c r="AC412" s="24" t="s">
        <v>1308</v>
      </c>
      <c r="AD412" s="1354"/>
      <c r="AE412" s="1354"/>
    </row>
    <row r="413" spans="1:36" ht="13.2" customHeight="1">
      <c r="E413" t="s">
        <v>1310</v>
      </c>
      <c r="S413" s="1348" t="s">
        <v>299</v>
      </c>
      <c r="T413" s="1348"/>
    </row>
    <row r="414" spans="1:36" ht="13.2" customHeight="1">
      <c r="E414" t="s">
        <v>232</v>
      </c>
      <c r="H414" s="1416" t="s">
        <v>2795</v>
      </c>
      <c r="I414" s="1416"/>
      <c r="J414" s="1416"/>
      <c r="K414" s="1416"/>
      <c r="L414" s="1416"/>
      <c r="M414" s="1416"/>
      <c r="N414" s="1416"/>
      <c r="O414" s="1416"/>
      <c r="P414" s="1416"/>
      <c r="Q414" s="1416"/>
      <c r="R414" s="1416"/>
      <c r="S414" s="1416"/>
      <c r="T414" s="1416"/>
      <c r="U414" s="1416"/>
      <c r="V414" s="1416"/>
      <c r="W414" s="1416"/>
      <c r="X414" s="1416"/>
      <c r="Y414" s="1416"/>
      <c r="Z414" s="1416"/>
      <c r="AA414" s="1416"/>
      <c r="AB414" s="1416"/>
      <c r="AC414" s="1416"/>
      <c r="AD414" s="1416"/>
      <c r="AE414" s="1416"/>
    </row>
    <row r="415" spans="1:36" ht="13.2" customHeight="1">
      <c r="H415" s="1417"/>
      <c r="I415" s="1417"/>
      <c r="J415" s="1417"/>
      <c r="K415" s="1417"/>
      <c r="L415" s="1417"/>
      <c r="M415" s="1417"/>
      <c r="N415" s="1417"/>
      <c r="O415" s="1417"/>
      <c r="P415" s="1417"/>
      <c r="Q415" s="1417"/>
      <c r="R415" s="1417"/>
      <c r="S415" s="1417"/>
      <c r="T415" s="1417"/>
      <c r="U415" s="1417"/>
      <c r="V415" s="1417"/>
      <c r="W415" s="1417"/>
      <c r="X415" s="1417"/>
      <c r="Y415" s="1417"/>
      <c r="Z415" s="1417"/>
      <c r="AA415" s="1417"/>
      <c r="AB415" s="1417"/>
      <c r="AC415" s="1417"/>
      <c r="AD415" s="1417"/>
      <c r="AE415" s="1417"/>
    </row>
    <row r="416" spans="1:36" ht="13.2" customHeight="1"/>
    <row r="417" spans="1:39" ht="13.2" customHeight="1">
      <c r="A417" s="2" t="s">
        <v>1068</v>
      </c>
      <c r="B417" s="2"/>
      <c r="C417" s="2"/>
      <c r="D417" s="2" t="s">
        <v>149</v>
      </c>
      <c r="AF417" s="2" t="s">
        <v>1311</v>
      </c>
    </row>
    <row r="418" spans="1:39" ht="13.2" customHeight="1">
      <c r="E418" s="1382"/>
      <c r="F418" s="1382"/>
      <c r="G418" s="1382"/>
      <c r="H418" s="13" t="s">
        <v>1312</v>
      </c>
      <c r="I418" s="1382"/>
      <c r="J418" s="1382"/>
      <c r="K418" s="1382"/>
      <c r="L418" t="s">
        <v>1313</v>
      </c>
      <c r="N418" s="24" t="s">
        <v>35</v>
      </c>
      <c r="P418" s="1664">
        <v>1.554</v>
      </c>
      <c r="Q418" s="1664"/>
      <c r="R418" s="1664"/>
      <c r="S418" t="s">
        <v>1314</v>
      </c>
      <c r="W418" s="1392">
        <f>IF(E418&gt;0,(E418*I418),(P418*43560))</f>
        <v>67692.240000000005</v>
      </c>
      <c r="X418" s="1392"/>
      <c r="Y418" s="1392"/>
      <c r="Z418" t="s">
        <v>1315</v>
      </c>
      <c r="AF418" s="1662">
        <f>IFERROR(IF(P418&gt;0,(AG437/P418),(AG437/(W418/43560))),0)</f>
        <v>64.993564993564988</v>
      </c>
      <c r="AG418" s="1662"/>
      <c r="AH418" s="1662"/>
      <c r="AM418" s="3"/>
    </row>
    <row r="419" spans="1:39" ht="13.2" customHeight="1">
      <c r="E419" t="s">
        <v>1316</v>
      </c>
    </row>
    <row r="420" spans="1:39" ht="13.2" customHeight="1">
      <c r="E420" s="1390"/>
      <c r="F420" s="1390"/>
      <c r="G420" s="1390"/>
      <c r="H420" s="1390"/>
      <c r="I420" s="1390"/>
      <c r="J420" s="1390"/>
      <c r="K420" s="1390"/>
      <c r="L420" s="1390"/>
      <c r="M420" s="1390"/>
      <c r="N420" s="1390"/>
      <c r="O420" s="1390"/>
      <c r="P420" s="1390"/>
      <c r="Q420" s="1390"/>
      <c r="R420" s="1390"/>
      <c r="S420" s="1390"/>
      <c r="T420" s="1390"/>
      <c r="U420" s="1390"/>
      <c r="V420" s="1390"/>
      <c r="W420" s="1390"/>
      <c r="X420" s="1390"/>
      <c r="Y420" s="1390"/>
      <c r="Z420" s="1390"/>
      <c r="AA420" s="1390"/>
      <c r="AB420" s="1390"/>
      <c r="AC420" s="1390"/>
      <c r="AD420" s="1390"/>
      <c r="AE420" s="1390"/>
      <c r="AF420" s="1390"/>
      <c r="AG420" s="1390"/>
      <c r="AH420" s="1390"/>
      <c r="AI420" s="1390"/>
      <c r="AJ420" s="1390"/>
    </row>
    <row r="421" spans="1:39" ht="13.2" customHeight="1">
      <c r="E421" s="85" t="s">
        <v>1317</v>
      </c>
      <c r="F421" s="19"/>
      <c r="G421" s="19"/>
      <c r="H421" s="19"/>
      <c r="I421" s="1457">
        <v>1.55</v>
      </c>
      <c r="J421" s="1457"/>
      <c r="K421" s="1457"/>
      <c r="L421" s="19"/>
      <c r="M421" s="85"/>
      <c r="N421" s="19"/>
      <c r="O421" s="19"/>
      <c r="P421" s="1768">
        <f>(CS634+CS642+CS658)/I421</f>
        <v>67.741935483870961</v>
      </c>
      <c r="Q421" s="1768"/>
      <c r="R421" s="1768"/>
      <c r="S421" s="85" t="s">
        <v>1318</v>
      </c>
      <c r="T421" s="19"/>
      <c r="U421" s="19"/>
      <c r="V421" s="19"/>
      <c r="W421" s="19"/>
      <c r="X421" s="19"/>
      <c r="Y421" s="19"/>
      <c r="Z421" s="19"/>
      <c r="AA421" s="19"/>
      <c r="AB421" s="19"/>
      <c r="AC421" s="19"/>
      <c r="AD421" s="19"/>
      <c r="AE421" s="19"/>
      <c r="AF421" s="19"/>
      <c r="AG421" s="19"/>
      <c r="AH421" s="19"/>
      <c r="AI421" s="19"/>
      <c r="AJ421" s="19"/>
    </row>
    <row r="422" spans="1:39" ht="13.2" customHeight="1"/>
    <row r="423" spans="1:39" ht="13.2" customHeight="1">
      <c r="A423" s="2" t="s">
        <v>1094</v>
      </c>
      <c r="B423" s="2"/>
      <c r="C423" s="2"/>
      <c r="D423" s="2" t="s">
        <v>151</v>
      </c>
    </row>
    <row r="424" spans="1:39" ht="13.2" customHeight="1">
      <c r="E424" t="s">
        <v>1319</v>
      </c>
      <c r="P424" s="1348">
        <v>1</v>
      </c>
      <c r="Q424" s="1348"/>
      <c r="S424" t="s">
        <v>1320</v>
      </c>
      <c r="AE424" s="1348">
        <v>1</v>
      </c>
      <c r="AF424" s="1348"/>
    </row>
    <row r="425" spans="1:39" ht="13.2" customHeight="1">
      <c r="E425" t="s">
        <v>1321</v>
      </c>
      <c r="P425" s="1348">
        <v>1</v>
      </c>
      <c r="Q425" s="1348"/>
      <c r="S425" t="s">
        <v>1322</v>
      </c>
      <c r="AE425" s="1348" t="s">
        <v>299</v>
      </c>
      <c r="AF425" s="1348"/>
    </row>
    <row r="426" spans="1:39" ht="13.2" customHeight="1">
      <c r="F426" s="20" t="s">
        <v>1323</v>
      </c>
    </row>
    <row r="427" spans="1:39" ht="13.2" customHeight="1">
      <c r="F427" s="1414" t="s">
        <v>1324</v>
      </c>
      <c r="G427" s="1414"/>
      <c r="H427" s="1414"/>
      <c r="I427" s="1414"/>
      <c r="J427" s="1414"/>
      <c r="K427" s="1414"/>
      <c r="L427" s="1414"/>
      <c r="M427" s="1414"/>
      <c r="N427" s="1414"/>
      <c r="O427" s="1414"/>
      <c r="P427" s="1414"/>
      <c r="Q427" s="1414"/>
      <c r="R427" s="1414"/>
      <c r="S427" s="1414"/>
      <c r="T427" s="1414"/>
      <c r="U427" s="1414"/>
      <c r="V427" s="1414"/>
      <c r="W427" s="1414"/>
      <c r="X427" s="1414"/>
      <c r="Y427" s="1414"/>
      <c r="Z427" s="1414"/>
      <c r="AA427" s="1414"/>
      <c r="AB427" s="1414"/>
      <c r="AC427" s="1414"/>
      <c r="AD427" s="1414"/>
      <c r="AE427" s="1414"/>
      <c r="AF427" s="1414"/>
      <c r="AG427" s="1414"/>
      <c r="AH427" s="1414"/>
    </row>
    <row r="428" spans="1:39" ht="13.2" customHeight="1">
      <c r="F428" s="1397"/>
      <c r="G428" s="1397"/>
      <c r="H428" s="1397"/>
      <c r="I428" s="1397"/>
      <c r="J428" s="1397"/>
      <c r="K428" s="1397"/>
      <c r="L428" s="1397"/>
      <c r="M428" s="1397"/>
      <c r="N428" s="1397"/>
      <c r="O428" s="1397"/>
      <c r="P428" s="1397"/>
      <c r="Q428" s="1397"/>
      <c r="R428" s="1397"/>
      <c r="S428" s="1397"/>
      <c r="T428" s="1397"/>
      <c r="U428" s="1397"/>
      <c r="V428" s="1397"/>
      <c r="W428" s="1397"/>
      <c r="X428" s="1397"/>
      <c r="Y428" s="1397"/>
      <c r="Z428" s="1397"/>
      <c r="AA428" s="1397"/>
      <c r="AB428" s="1397"/>
      <c r="AC428" s="1397"/>
      <c r="AD428" s="1397"/>
      <c r="AE428" s="1397"/>
      <c r="AF428" s="1397"/>
      <c r="AG428" s="1397"/>
      <c r="AH428" s="1397"/>
    </row>
    <row r="429" spans="1:39" ht="13.2" customHeight="1">
      <c r="E429" t="s">
        <v>1325</v>
      </c>
      <c r="P429" s="1"/>
      <c r="Q429" s="1348" t="s">
        <v>836</v>
      </c>
      <c r="R429" s="1348"/>
    </row>
    <row r="430" spans="1:39" ht="13.2" customHeight="1">
      <c r="F430" t="s">
        <v>1326</v>
      </c>
      <c r="P430" s="1"/>
      <c r="Q430" s="1"/>
      <c r="AF430" s="1348" t="s">
        <v>299</v>
      </c>
      <c r="AG430" s="1415"/>
    </row>
    <row r="431" spans="1:39" ht="13.2" customHeight="1"/>
    <row r="432" spans="1:39" ht="13.2" customHeight="1">
      <c r="A432" s="2"/>
      <c r="B432" s="2"/>
      <c r="C432" s="2"/>
      <c r="E432" s="3" t="s">
        <v>1327</v>
      </c>
      <c r="Z432" s="1348" t="s">
        <v>892</v>
      </c>
      <c r="AA432" s="1348"/>
    </row>
    <row r="433" spans="1:110" ht="13.2" customHeight="1">
      <c r="F433" s="32" t="s">
        <v>1328</v>
      </c>
      <c r="G433" s="33"/>
      <c r="H433" s="33"/>
      <c r="I433" s="33"/>
      <c r="J433" s="33"/>
      <c r="K433" s="33"/>
      <c r="L433" s="33"/>
      <c r="M433" s="33"/>
      <c r="N433" s="33"/>
      <c r="O433" s="33"/>
      <c r="P433" s="33"/>
      <c r="Q433" s="33"/>
      <c r="R433" s="33"/>
      <c r="S433" s="33"/>
      <c r="T433" s="33"/>
      <c r="U433" s="33"/>
      <c r="V433" s="33"/>
      <c r="W433" s="33"/>
      <c r="AB433" s="33"/>
    </row>
    <row r="434" spans="1:110" ht="13.2" customHeight="1">
      <c r="F434" t="s">
        <v>1329</v>
      </c>
      <c r="G434" s="33"/>
      <c r="I434" s="33"/>
      <c r="J434" s="33"/>
      <c r="K434" s="33"/>
      <c r="L434" s="33"/>
      <c r="M434" s="33"/>
      <c r="N434" s="33"/>
      <c r="O434" s="20"/>
      <c r="P434" s="33"/>
      <c r="Q434" s="33"/>
      <c r="R434" s="33"/>
      <c r="S434" s="33"/>
      <c r="T434" s="33"/>
      <c r="U434" s="33"/>
      <c r="V434" s="33"/>
      <c r="W434" s="33"/>
      <c r="Z434" s="1348" t="s">
        <v>299</v>
      </c>
      <c r="AA434" s="1348"/>
    </row>
    <row r="435" spans="1:110" ht="13.2" customHeight="1"/>
    <row r="436" spans="1:110" ht="13.2" customHeight="1">
      <c r="A436" s="2" t="s">
        <v>1154</v>
      </c>
      <c r="B436" s="2"/>
      <c r="C436" s="2"/>
      <c r="D436" s="2" t="s">
        <v>158</v>
      </c>
      <c r="AF436" s="41"/>
    </row>
    <row r="437" spans="1:110" ht="13.2" customHeight="1">
      <c r="D437" s="1386" t="s">
        <v>1330</v>
      </c>
      <c r="E437" s="1384"/>
      <c r="F437" s="1384"/>
      <c r="G437" s="1384"/>
      <c r="H437" s="1384"/>
      <c r="I437" s="1384"/>
      <c r="J437" s="1384"/>
      <c r="K437" s="1384"/>
      <c r="L437" s="1384"/>
      <c r="M437" s="1384"/>
      <c r="N437" s="1384"/>
      <c r="O437" s="1384"/>
      <c r="P437" s="1384"/>
      <c r="Q437" s="1384"/>
      <c r="R437" s="1384"/>
      <c r="S437" s="1384"/>
      <c r="T437" s="1384"/>
      <c r="U437" s="1384"/>
      <c r="V437" s="1384"/>
      <c r="W437" s="1384"/>
      <c r="X437" s="1384"/>
      <c r="Y437" s="1384"/>
      <c r="Z437" s="1384"/>
      <c r="AA437" s="1384"/>
      <c r="AB437" s="1384"/>
      <c r="AC437" s="1384"/>
      <c r="AD437" s="1384"/>
      <c r="AE437" s="1384"/>
      <c r="AF437" s="1385"/>
      <c r="AG437" s="1363">
        <v>101</v>
      </c>
      <c r="AH437" s="1363"/>
      <c r="AI437" s="1363"/>
      <c r="AJ437" s="1363"/>
    </row>
    <row r="438" spans="1:110" ht="13.2" customHeight="1">
      <c r="D438" s="1364" t="s">
        <v>1331</v>
      </c>
      <c r="E438" s="1365"/>
      <c r="F438" s="1365"/>
      <c r="G438" s="1365"/>
      <c r="H438" s="1365"/>
      <c r="I438" s="1365"/>
      <c r="J438" s="1365"/>
      <c r="K438" s="1365"/>
      <c r="L438" s="1365"/>
      <c r="M438" s="1365"/>
      <c r="N438" s="1365"/>
      <c r="O438" s="1365"/>
      <c r="P438" s="1365"/>
      <c r="Q438" s="1365"/>
      <c r="R438" s="1365"/>
      <c r="S438" s="1365"/>
      <c r="T438" s="1365"/>
      <c r="U438" s="1365"/>
      <c r="V438" s="1365"/>
      <c r="W438" s="1365"/>
      <c r="X438" s="1365"/>
      <c r="Y438" s="1365"/>
      <c r="Z438" s="1365"/>
      <c r="AA438" s="1365"/>
      <c r="AB438" s="1365"/>
      <c r="AC438" s="1365"/>
      <c r="AD438" s="1365"/>
      <c r="AE438" s="1365"/>
      <c r="AF438" s="1366"/>
      <c r="AG438" s="1387">
        <v>0</v>
      </c>
      <c r="AH438" s="1388"/>
      <c r="AI438" s="1388"/>
      <c r="AJ438" s="1388"/>
    </row>
    <row r="439" spans="1:110" ht="13.2" customHeight="1">
      <c r="D439" s="1364" t="s">
        <v>1332</v>
      </c>
      <c r="E439" s="1365"/>
      <c r="F439" s="1365"/>
      <c r="G439" s="1365"/>
      <c r="H439" s="1365"/>
      <c r="I439" s="1365"/>
      <c r="J439" s="1365"/>
      <c r="K439" s="1365"/>
      <c r="L439" s="1365"/>
      <c r="M439" s="1365"/>
      <c r="N439" s="1365"/>
      <c r="O439" s="1365"/>
      <c r="P439" s="1365"/>
      <c r="Q439" s="1365"/>
      <c r="R439" s="1365"/>
      <c r="S439" s="1365"/>
      <c r="T439" s="1365"/>
      <c r="U439" s="1365"/>
      <c r="V439" s="1365"/>
      <c r="W439" s="1365"/>
      <c r="X439" s="1365"/>
      <c r="Y439" s="1365"/>
      <c r="Z439" s="1365"/>
      <c r="AA439" s="1365"/>
      <c r="AB439" s="1365"/>
      <c r="AC439" s="1365"/>
      <c r="AD439" s="1365"/>
      <c r="AE439" s="1365"/>
      <c r="AF439" s="1366"/>
      <c r="AG439" s="1363">
        <v>100</v>
      </c>
      <c r="AH439" s="1363"/>
      <c r="AI439" s="1363"/>
      <c r="AJ439" s="1363"/>
    </row>
    <row r="440" spans="1:110" ht="13.2" customHeight="1">
      <c r="D440" s="1364" t="s">
        <v>1333</v>
      </c>
      <c r="E440" s="1365"/>
      <c r="F440" s="1365"/>
      <c r="G440" s="1365"/>
      <c r="H440" s="1365"/>
      <c r="I440" s="1365"/>
      <c r="J440" s="1365"/>
      <c r="K440" s="1365"/>
      <c r="L440" s="1365"/>
      <c r="M440" s="1365"/>
      <c r="N440" s="1365"/>
      <c r="O440" s="1365"/>
      <c r="P440" s="1365"/>
      <c r="Q440" s="1365"/>
      <c r="R440" s="1365"/>
      <c r="S440" s="1365"/>
      <c r="T440" s="1365"/>
      <c r="U440" s="1365"/>
      <c r="V440" s="1365"/>
      <c r="W440" s="1365"/>
      <c r="X440" s="1365"/>
      <c r="Y440" s="1365"/>
      <c r="Z440" s="1365"/>
      <c r="AA440" s="1365"/>
      <c r="AB440" s="1365"/>
      <c r="AC440" s="1365"/>
      <c r="AD440" s="1365"/>
      <c r="AE440" s="1365"/>
      <c r="AF440" s="1366"/>
      <c r="AG440" s="1363">
        <v>100</v>
      </c>
      <c r="AH440" s="1363"/>
      <c r="AI440" s="1363"/>
      <c r="AJ440" s="1363"/>
    </row>
    <row r="441" spans="1:110" ht="13.2" customHeight="1">
      <c r="D441" s="1364" t="s">
        <v>1334</v>
      </c>
      <c r="E441" s="1365"/>
      <c r="F441" s="1365"/>
      <c r="G441" s="1365"/>
      <c r="H441" s="1365"/>
      <c r="I441" s="1365"/>
      <c r="J441" s="1365"/>
      <c r="K441" s="1365"/>
      <c r="L441" s="1365"/>
      <c r="M441" s="1365"/>
      <c r="N441" s="1365"/>
      <c r="O441" s="1365"/>
      <c r="P441" s="1365"/>
      <c r="Q441" s="1365"/>
      <c r="R441" s="1365"/>
      <c r="S441" s="1365"/>
      <c r="T441" s="1365"/>
      <c r="U441" s="1365"/>
      <c r="V441" s="1365"/>
      <c r="W441" s="1365"/>
      <c r="X441" s="1365"/>
      <c r="Y441" s="1365"/>
      <c r="Z441" s="1365"/>
      <c r="AA441" s="1365"/>
      <c r="AB441" s="1365"/>
      <c r="AC441" s="1365"/>
      <c r="AD441" s="1365"/>
      <c r="AE441" s="1365"/>
      <c r="AF441" s="1366"/>
      <c r="AG441" s="1401">
        <f>IF(ISERROR(AG440/AG439),"",AG440/AG439)</f>
        <v>1</v>
      </c>
      <c r="AH441" s="1401"/>
      <c r="AI441" s="1401"/>
      <c r="AJ441" s="1401"/>
    </row>
    <row r="442" spans="1:110" ht="13.2" customHeight="1">
      <c r="D442" s="1364" t="s">
        <v>1335</v>
      </c>
      <c r="E442" s="1365"/>
      <c r="F442" s="1365"/>
      <c r="G442" s="1365"/>
      <c r="H442" s="1365"/>
      <c r="I442" s="1365"/>
      <c r="J442" s="1365"/>
      <c r="K442" s="1365"/>
      <c r="L442" s="1365"/>
      <c r="M442" s="1365"/>
      <c r="N442" s="1365"/>
      <c r="O442" s="1365"/>
      <c r="P442" s="1365"/>
      <c r="Q442" s="1365"/>
      <c r="R442" s="1365"/>
      <c r="S442" s="1365"/>
      <c r="T442" s="1365"/>
      <c r="U442" s="1365"/>
      <c r="V442" s="1365"/>
      <c r="W442" s="1365"/>
      <c r="X442" s="1365"/>
      <c r="Y442" s="1365"/>
      <c r="Z442" s="1365"/>
      <c r="AA442" s="1365"/>
      <c r="AB442" s="1365"/>
      <c r="AC442" s="1365"/>
      <c r="AD442" s="1365"/>
      <c r="AE442" s="1365"/>
      <c r="AF442" s="1366"/>
      <c r="AG442" s="1371">
        <v>53021</v>
      </c>
      <c r="AH442" s="1371"/>
      <c r="AI442" s="1371"/>
      <c r="AJ442" s="1371"/>
    </row>
    <row r="443" spans="1:110" ht="13.2" customHeight="1">
      <c r="D443" s="1364" t="s">
        <v>1336</v>
      </c>
      <c r="E443" s="1365"/>
      <c r="F443" s="1365"/>
      <c r="G443" s="1365"/>
      <c r="H443" s="1365"/>
      <c r="I443" s="1365"/>
      <c r="J443" s="1365"/>
      <c r="K443" s="1365"/>
      <c r="L443" s="1365"/>
      <c r="M443" s="1365"/>
      <c r="N443" s="1365"/>
      <c r="O443" s="1365"/>
      <c r="P443" s="1365"/>
      <c r="Q443" s="1365"/>
      <c r="R443" s="1365"/>
      <c r="S443" s="1365"/>
      <c r="T443" s="1365"/>
      <c r="U443" s="1365"/>
      <c r="V443" s="1365"/>
      <c r="W443" s="1365"/>
      <c r="X443" s="1365"/>
      <c r="Y443" s="1365"/>
      <c r="Z443" s="1365"/>
      <c r="AA443" s="1365"/>
      <c r="AB443" s="1365"/>
      <c r="AC443" s="1365"/>
      <c r="AD443" s="1365"/>
      <c r="AE443" s="1365"/>
      <c r="AF443" s="1366"/>
      <c r="AG443" s="1371">
        <v>53021</v>
      </c>
      <c r="AH443" s="1371"/>
      <c r="AI443" s="1371"/>
      <c r="AJ443" s="1371"/>
    </row>
    <row r="444" spans="1:110" ht="13.2" customHeight="1">
      <c r="D444" s="1364" t="s">
        <v>1337</v>
      </c>
      <c r="E444" s="1365"/>
      <c r="F444" s="1365"/>
      <c r="G444" s="1365"/>
      <c r="H444" s="1365"/>
      <c r="I444" s="1365"/>
      <c r="J444" s="1365"/>
      <c r="K444" s="1365"/>
      <c r="L444" s="1365"/>
      <c r="M444" s="1365"/>
      <c r="N444" s="1365"/>
      <c r="O444" s="1365"/>
      <c r="P444" s="1365"/>
      <c r="Q444" s="1365"/>
      <c r="R444" s="1365"/>
      <c r="S444" s="1365"/>
      <c r="T444" s="1365"/>
      <c r="U444" s="1365"/>
      <c r="V444" s="1365"/>
      <c r="W444" s="1365"/>
      <c r="X444" s="1365"/>
      <c r="Y444" s="1365"/>
      <c r="Z444" s="1365"/>
      <c r="AA444" s="1365"/>
      <c r="AB444" s="1365"/>
      <c r="AC444" s="1365"/>
      <c r="AD444" s="1365"/>
      <c r="AE444" s="1365"/>
      <c r="AF444" s="1366"/>
      <c r="AG444" s="1401">
        <f>IF(ISERROR(AG443/AG442),"",AG443/AG442)</f>
        <v>1</v>
      </c>
      <c r="AH444" s="1401"/>
      <c r="AI444" s="1401"/>
      <c r="AJ444" s="1401"/>
    </row>
    <row r="445" spans="1:110" ht="13.2" customHeight="1">
      <c r="D445" s="1364" t="s">
        <v>1338</v>
      </c>
      <c r="E445" s="1365"/>
      <c r="F445" s="1365"/>
      <c r="G445" s="1365"/>
      <c r="H445" s="1365"/>
      <c r="I445" s="1365"/>
      <c r="J445" s="1365"/>
      <c r="K445" s="1365"/>
      <c r="L445" s="1365"/>
      <c r="M445" s="1365"/>
      <c r="N445" s="1365"/>
      <c r="O445" s="1365"/>
      <c r="P445" s="1365"/>
      <c r="Q445" s="1365"/>
      <c r="R445" s="1365"/>
      <c r="S445" s="1365"/>
      <c r="T445" s="1365"/>
      <c r="U445" s="1365"/>
      <c r="V445" s="1365"/>
      <c r="W445" s="1365"/>
      <c r="X445" s="1365"/>
      <c r="Y445" s="1365"/>
      <c r="Z445" s="1365"/>
      <c r="AA445" s="1365"/>
      <c r="AB445" s="1365"/>
      <c r="AC445" s="1365"/>
      <c r="AD445" s="1365"/>
      <c r="AE445" s="1365"/>
      <c r="AF445" s="1366"/>
      <c r="AG445" s="1401">
        <f>MIN(IF(AG441&gt;AG444,AG444,AG441),1)</f>
        <v>1</v>
      </c>
      <c r="AH445" s="1401"/>
      <c r="AI445" s="1401"/>
      <c r="AJ445" s="1401"/>
    </row>
    <row r="446" spans="1:110" ht="13.2" customHeight="1">
      <c r="D446" s="1364" t="s">
        <v>1339</v>
      </c>
      <c r="E446" s="1384"/>
      <c r="F446" s="1384"/>
      <c r="G446" s="1384"/>
      <c r="H446" s="1384"/>
      <c r="I446" s="1384"/>
      <c r="J446" s="1384"/>
      <c r="K446" s="1384"/>
      <c r="L446" s="1384"/>
      <c r="M446" s="1384"/>
      <c r="N446" s="1384"/>
      <c r="O446" s="1384"/>
      <c r="P446" s="1384"/>
      <c r="Q446" s="1384"/>
      <c r="R446" s="1384"/>
      <c r="S446" s="1384"/>
      <c r="T446" s="1384"/>
      <c r="U446" s="1384"/>
      <c r="V446" s="1384"/>
      <c r="W446" s="1384"/>
      <c r="X446" s="1384"/>
      <c r="Y446" s="1384"/>
      <c r="Z446" s="1384"/>
      <c r="AA446" s="1384"/>
      <c r="AB446" s="1384"/>
      <c r="AC446" s="1384"/>
      <c r="AD446" s="1384"/>
      <c r="AE446" s="1384"/>
      <c r="AF446" s="1385"/>
      <c r="AG446" s="1371">
        <v>9175</v>
      </c>
      <c r="AH446" s="1371"/>
      <c r="AI446" s="1371"/>
      <c r="AJ446" s="1371"/>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2" customHeight="1">
      <c r="D447" s="1386" t="s">
        <v>1340</v>
      </c>
      <c r="E447" s="1384"/>
      <c r="F447" s="1384"/>
      <c r="G447" s="1384"/>
      <c r="H447" s="1384"/>
      <c r="I447" s="1384"/>
      <c r="J447" s="1384"/>
      <c r="K447" s="1384"/>
      <c r="L447" s="1384"/>
      <c r="M447" s="1384"/>
      <c r="N447" s="1384"/>
      <c r="O447" s="1384"/>
      <c r="P447" s="1384"/>
      <c r="Q447" s="1384"/>
      <c r="R447" s="1384"/>
      <c r="S447" s="1384"/>
      <c r="T447" s="1384"/>
      <c r="U447" s="1384"/>
      <c r="V447" s="1384"/>
      <c r="W447" s="1384"/>
      <c r="X447" s="1384"/>
      <c r="Y447" s="1384"/>
      <c r="Z447" s="1384"/>
      <c r="AA447" s="1384"/>
      <c r="AB447" s="1384"/>
      <c r="AC447" s="1384"/>
      <c r="AD447" s="1384"/>
      <c r="AE447" s="1384"/>
      <c r="AF447" s="1385"/>
      <c r="AG447" s="1371">
        <v>0</v>
      </c>
      <c r="AH447" s="1371"/>
      <c r="AI447" s="1371"/>
      <c r="AJ447" s="137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2" customHeight="1">
      <c r="D448" s="1364" t="s">
        <v>1341</v>
      </c>
      <c r="E448" s="1384"/>
      <c r="F448" s="1384"/>
      <c r="G448" s="1384"/>
      <c r="H448" s="1384"/>
      <c r="I448" s="1384"/>
      <c r="J448" s="1384"/>
      <c r="K448" s="1384"/>
      <c r="L448" s="1384"/>
      <c r="M448" s="1384"/>
      <c r="N448" s="1384"/>
      <c r="O448" s="1384"/>
      <c r="P448" s="1384"/>
      <c r="Q448" s="1384"/>
      <c r="R448" s="1384"/>
      <c r="S448" s="1384"/>
      <c r="T448" s="1384"/>
      <c r="U448" s="1384"/>
      <c r="V448" s="1384"/>
      <c r="W448" s="1384"/>
      <c r="X448" s="1384"/>
      <c r="Y448" s="1384"/>
      <c r="Z448" s="1384"/>
      <c r="AA448" s="1384"/>
      <c r="AB448" s="1384"/>
      <c r="AC448" s="1384"/>
      <c r="AD448" s="1384"/>
      <c r="AE448" s="1384"/>
      <c r="AF448" s="1385"/>
      <c r="AG448" s="1371">
        <f>86776-SUM(AG443,AG446:AJ447)</f>
        <v>24580</v>
      </c>
      <c r="AH448" s="1371"/>
      <c r="AI448" s="1371"/>
      <c r="AJ448" s="137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2" customHeight="1">
      <c r="D449" s="1364" t="s">
        <v>1342</v>
      </c>
      <c r="E449" s="1384"/>
      <c r="F449" s="1384"/>
      <c r="G449" s="1384"/>
      <c r="H449" s="1384"/>
      <c r="I449" s="1384"/>
      <c r="J449" s="1384"/>
      <c r="K449" s="1384"/>
      <c r="L449" s="1384"/>
      <c r="M449" s="1384"/>
      <c r="N449" s="1384"/>
      <c r="O449" s="1384"/>
      <c r="P449" s="1384"/>
      <c r="Q449" s="1384"/>
      <c r="R449" s="1384"/>
      <c r="S449" s="1384"/>
      <c r="T449" s="1384"/>
      <c r="U449" s="1384"/>
      <c r="V449" s="1384"/>
      <c r="W449" s="1384"/>
      <c r="X449" s="1384"/>
      <c r="Y449" s="1384"/>
      <c r="Z449" s="1384"/>
      <c r="AA449" s="1384"/>
      <c r="AB449" s="1384"/>
      <c r="AC449" s="1384"/>
      <c r="AD449" s="1384"/>
      <c r="AE449" s="1384"/>
      <c r="AF449" s="1385"/>
      <c r="AG449" s="1371">
        <v>0</v>
      </c>
      <c r="AH449" s="1371"/>
      <c r="AI449" s="1371"/>
      <c r="AJ449" s="137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2" customHeight="1">
      <c r="D450" s="1409" t="s">
        <v>1343</v>
      </c>
      <c r="E450" s="1410"/>
      <c r="F450" s="1410"/>
      <c r="G450" s="1410"/>
      <c r="H450" s="1410"/>
      <c r="I450" s="1410"/>
      <c r="J450" s="1410"/>
      <c r="K450" s="1410"/>
      <c r="L450" s="1410"/>
      <c r="M450" s="1410"/>
      <c r="N450" s="1410"/>
      <c r="O450" s="1410"/>
      <c r="P450" s="1410"/>
      <c r="Q450" s="1410"/>
      <c r="R450" s="1410"/>
      <c r="S450" s="1410"/>
      <c r="T450" s="1410"/>
      <c r="U450" s="1410"/>
      <c r="V450" s="1410"/>
      <c r="W450" s="1410"/>
      <c r="X450" s="1410"/>
      <c r="Y450" s="1410"/>
      <c r="Z450" s="1410"/>
      <c r="AA450" s="1410"/>
      <c r="AB450" s="1410"/>
      <c r="AC450" s="1410"/>
      <c r="AD450" s="1410"/>
      <c r="AE450" s="1410"/>
      <c r="AF450" s="1411"/>
      <c r="AG450" s="1402">
        <f>AG442+AG446+AG448+AG449</f>
        <v>86776</v>
      </c>
      <c r="AH450" s="1402"/>
      <c r="AI450" s="1402"/>
      <c r="AJ450" s="140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2" customHeight="1">
      <c r="D451" s="1412" t="s">
        <v>1344</v>
      </c>
      <c r="E451" s="1412"/>
      <c r="F451" s="1412"/>
      <c r="G451" s="1412"/>
      <c r="H451" s="1412"/>
      <c r="I451" s="1412"/>
      <c r="J451" s="1412"/>
      <c r="K451" s="1412"/>
      <c r="L451" s="1412"/>
      <c r="M451" s="1412"/>
      <c r="N451" s="1412"/>
      <c r="O451" s="1412"/>
      <c r="P451" s="1412"/>
      <c r="Q451" s="1412"/>
      <c r="R451" s="1412"/>
      <c r="S451" s="1412"/>
      <c r="T451" s="1412"/>
      <c r="U451" s="1412"/>
      <c r="V451" s="1412"/>
      <c r="W451" s="1412"/>
      <c r="X451" s="1412"/>
      <c r="Y451" s="1412"/>
      <c r="Z451" s="1412"/>
      <c r="AA451" s="1412"/>
      <c r="AB451" s="1412"/>
      <c r="AC451" s="1412"/>
      <c r="AD451" s="1412"/>
      <c r="AE451" s="1412"/>
      <c r="AF451" s="1412"/>
      <c r="AG451" s="1412"/>
      <c r="AH451" s="1412"/>
      <c r="AI451" s="1412"/>
      <c r="AJ451" s="141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2" customHeight="1">
      <c r="D452" s="1413"/>
      <c r="E452" s="1413"/>
      <c r="F452" s="1413"/>
      <c r="G452" s="1413"/>
      <c r="H452" s="1413"/>
      <c r="I452" s="1413"/>
      <c r="J452" s="1413"/>
      <c r="K452" s="1413"/>
      <c r="L452" s="1413"/>
      <c r="M452" s="1413"/>
      <c r="N452" s="1413"/>
      <c r="O452" s="1413"/>
      <c r="P452" s="1413"/>
      <c r="Q452" s="1413"/>
      <c r="R452" s="1413"/>
      <c r="S452" s="1413"/>
      <c r="T452" s="1413"/>
      <c r="U452" s="1413"/>
      <c r="V452" s="1413"/>
      <c r="W452" s="1413"/>
      <c r="X452" s="1413"/>
      <c r="Y452" s="1413"/>
      <c r="Z452" s="1413"/>
      <c r="AA452" s="1413"/>
      <c r="AB452" s="1413"/>
      <c r="AC452" s="1413"/>
      <c r="AD452" s="1413"/>
      <c r="AE452" s="1413"/>
      <c r="AF452" s="1413"/>
      <c r="AG452" s="1413"/>
      <c r="AH452" s="1413"/>
      <c r="AI452" s="1413"/>
      <c r="AJ452" s="141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2" customHeight="1">
      <c r="D453" s="455"/>
      <c r="E453" s="439"/>
      <c r="F453" s="439"/>
      <c r="G453" s="439"/>
      <c r="H453" s="439"/>
      <c r="I453" s="439"/>
      <c r="J453" s="439"/>
      <c r="K453" s="439"/>
      <c r="L453" s="439"/>
      <c r="M453" s="439"/>
      <c r="N453" s="439"/>
      <c r="O453" s="439"/>
      <c r="P453" s="439"/>
      <c r="Q453" s="439"/>
      <c r="R453" s="439"/>
      <c r="S453" s="439"/>
      <c r="T453" s="439"/>
      <c r="U453" s="439"/>
      <c r="V453" s="439"/>
      <c r="W453" s="439"/>
      <c r="X453" s="439"/>
      <c r="Y453" s="439"/>
      <c r="Z453" s="439"/>
      <c r="AA453" s="439"/>
      <c r="AB453" s="439"/>
      <c r="AC453" s="439"/>
      <c r="AD453" s="439"/>
      <c r="AE453" s="439"/>
      <c r="AF453" s="439"/>
      <c r="AG453" s="439"/>
      <c r="AH453" s="439"/>
      <c r="AI453" s="439"/>
      <c r="AJ453" s="889"/>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2" customHeight="1">
      <c r="D454" s="144" t="s">
        <v>1345</v>
      </c>
      <c r="E454" s="439"/>
      <c r="F454" s="439"/>
      <c r="G454" s="439"/>
      <c r="H454" s="439"/>
      <c r="I454" s="439"/>
      <c r="J454" s="439"/>
      <c r="K454" s="439"/>
      <c r="L454" s="439"/>
      <c r="M454" s="439"/>
      <c r="N454" s="439"/>
      <c r="O454" s="439"/>
      <c r="P454" s="439"/>
      <c r="Q454" s="439"/>
      <c r="R454" s="439"/>
      <c r="S454" s="439"/>
      <c r="T454" s="439"/>
      <c r="U454" s="439"/>
      <c r="V454" s="439"/>
      <c r="W454" s="439"/>
      <c r="X454" s="439"/>
      <c r="Y454" s="439"/>
      <c r="Z454" s="439"/>
      <c r="AA454" s="439"/>
      <c r="AB454" s="439"/>
      <c r="AC454" s="1350">
        <f>IF(AG437=0,"",'Sources and Uses Budget'!B105/Application!AG437)</f>
        <v>725605.28712871287</v>
      </c>
      <c r="AD454" s="1350"/>
      <c r="AE454" s="1350"/>
      <c r="AF454" s="1350"/>
      <c r="AG454" s="439"/>
      <c r="AH454" s="439"/>
      <c r="AI454" s="439"/>
      <c r="AJ454" s="889"/>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2" customHeight="1">
      <c r="D455" s="144" t="s">
        <v>1346</v>
      </c>
      <c r="E455" s="439"/>
      <c r="F455" s="439"/>
      <c r="G455" s="439"/>
      <c r="H455" s="439"/>
      <c r="I455" s="439"/>
      <c r="J455" s="439"/>
      <c r="K455" s="439"/>
      <c r="L455" s="439"/>
      <c r="M455" s="439"/>
      <c r="N455" s="439"/>
      <c r="O455" s="439"/>
      <c r="P455" s="439"/>
      <c r="Q455" s="439"/>
      <c r="R455" s="439"/>
      <c r="S455" s="439"/>
      <c r="T455" s="439"/>
      <c r="U455" s="439"/>
      <c r="V455" s="439"/>
      <c r="W455" s="439"/>
      <c r="X455" s="439"/>
      <c r="Y455" s="439"/>
      <c r="Z455" s="439"/>
      <c r="AA455" s="439"/>
      <c r="AB455" s="439"/>
      <c r="AC455" s="1350">
        <f>IF(AG437=0,"",'Sources and Uses Budget'!C105/Application!AG437)</f>
        <v>725605.28712871287</v>
      </c>
      <c r="AD455" s="1350"/>
      <c r="AE455" s="1350"/>
      <c r="AF455" s="1350"/>
      <c r="AG455" s="439"/>
      <c r="AH455" s="439"/>
      <c r="AI455" s="439"/>
      <c r="AJ455" s="889"/>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2" customHeight="1">
      <c r="D456" s="144" t="s">
        <v>1347</v>
      </c>
      <c r="E456" s="439"/>
      <c r="F456" s="439"/>
      <c r="G456" s="439"/>
      <c r="H456" s="439"/>
      <c r="I456" s="439"/>
      <c r="J456" s="439"/>
      <c r="K456" s="439"/>
      <c r="L456" s="439"/>
      <c r="M456" s="439"/>
      <c r="N456" s="439"/>
      <c r="O456" s="439"/>
      <c r="P456" s="439"/>
      <c r="Q456" s="439"/>
      <c r="R456" s="439"/>
      <c r="S456" s="439"/>
      <c r="T456" s="439"/>
      <c r="U456" s="439"/>
      <c r="V456" s="439"/>
      <c r="W456" s="439"/>
      <c r="X456" s="439"/>
      <c r="Y456" s="439"/>
      <c r="Z456" s="439"/>
      <c r="AA456" s="439"/>
      <c r="AB456" s="439"/>
      <c r="AC456" s="1350">
        <f>IF(AG437=0,"",('Sources and Uses Budget'!$S$107+'Sources and Uses Budget'!$T$107)/Application!AG437)</f>
        <v>669032.29792871303</v>
      </c>
      <c r="AD456" s="1350"/>
      <c r="AE456" s="1350"/>
      <c r="AF456" s="1350"/>
      <c r="AG456" s="439"/>
      <c r="AH456" s="439"/>
      <c r="AI456" s="439"/>
      <c r="AJ456" s="889"/>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2" customHeight="1">
      <c r="D457" s="439"/>
      <c r="E457" s="439"/>
      <c r="F457" s="136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67"/>
      <c r="H457" s="1367"/>
      <c r="I457" s="1367"/>
      <c r="J457" s="1367"/>
      <c r="K457" s="1367"/>
      <c r="L457" s="1367"/>
      <c r="M457" s="1367"/>
      <c r="N457" s="1367"/>
      <c r="O457" s="1367"/>
      <c r="P457" s="1367"/>
      <c r="Q457" s="1367"/>
      <c r="R457" s="1367"/>
      <c r="S457" s="1367"/>
      <c r="T457" s="1367"/>
      <c r="U457" s="1367"/>
      <c r="V457" s="1367"/>
      <c r="W457" s="1367"/>
      <c r="X457" s="1367"/>
      <c r="Y457" s="1367"/>
      <c r="Z457" s="1367"/>
      <c r="AA457" s="1367"/>
      <c r="AB457" s="1367"/>
      <c r="AC457" s="439"/>
      <c r="AD457" s="439"/>
      <c r="AE457" s="439"/>
      <c r="AF457" s="439"/>
      <c r="AG457" s="439"/>
      <c r="AH457" s="439"/>
      <c r="AI457" s="439"/>
      <c r="AJ457" s="889"/>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2" customHeight="1">
      <c r="A458" s="2"/>
      <c r="D458" s="2"/>
      <c r="E458" s="439"/>
      <c r="F458" s="1367"/>
      <c r="G458" s="1367"/>
      <c r="H458" s="1367"/>
      <c r="I458" s="1367"/>
      <c r="J458" s="1367"/>
      <c r="K458" s="1367"/>
      <c r="L458" s="1367"/>
      <c r="M458" s="1367"/>
      <c r="N458" s="1367"/>
      <c r="O458" s="1367"/>
      <c r="P458" s="1367"/>
      <c r="Q458" s="1367"/>
      <c r="R458" s="1367"/>
      <c r="S458" s="1367"/>
      <c r="T458" s="1367"/>
      <c r="U458" s="1367"/>
      <c r="V458" s="1367"/>
      <c r="W458" s="1367"/>
      <c r="X458" s="1367"/>
      <c r="Y458" s="1367"/>
      <c r="Z458" s="1367"/>
      <c r="AA458" s="1367"/>
      <c r="AB458" s="1367"/>
      <c r="AC458" s="439"/>
      <c r="AD458" s="439"/>
      <c r="AE458" s="439"/>
      <c r="AF458" s="439"/>
      <c r="AG458" s="439"/>
      <c r="AH458" s="439"/>
      <c r="AI458" s="439"/>
      <c r="AJ458" s="889"/>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2" customHeight="1">
      <c r="A459" s="2" t="s">
        <v>1348</v>
      </c>
      <c r="D459" s="2" t="s">
        <v>161</v>
      </c>
      <c r="E459" s="439"/>
      <c r="F459" s="439"/>
      <c r="G459" s="439"/>
      <c r="H459" s="439"/>
      <c r="I459" s="439"/>
      <c r="J459" s="439"/>
      <c r="K459" s="439"/>
      <c r="L459" s="439"/>
      <c r="M459" s="439"/>
      <c r="N459" s="439"/>
      <c r="O459" s="439"/>
      <c r="P459" s="439"/>
      <c r="Q459" s="439"/>
      <c r="R459" s="439"/>
      <c r="S459" s="439"/>
      <c r="T459" s="439"/>
      <c r="U459" s="439"/>
      <c r="V459" s="439"/>
      <c r="W459" s="439"/>
      <c r="X459" s="439"/>
      <c r="Y459" s="439"/>
      <c r="Z459" s="439"/>
      <c r="AA459" s="439"/>
      <c r="AB459" s="439"/>
      <c r="AC459" s="439"/>
      <c r="AD459" s="439"/>
      <c r="AE459" s="439"/>
      <c r="AF459" s="439"/>
      <c r="AG459" s="439"/>
      <c r="AH459" s="439"/>
      <c r="AI459" s="439"/>
      <c r="AJ459" s="889"/>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2" customHeight="1">
      <c r="D460" s="133" t="s">
        <v>1349</v>
      </c>
      <c r="E460" s="439"/>
      <c r="F460" s="439"/>
      <c r="G460" s="439"/>
      <c r="H460" s="439"/>
      <c r="I460" s="439"/>
      <c r="J460" s="439"/>
      <c r="K460" s="439"/>
      <c r="L460" s="439"/>
      <c r="M460" s="439"/>
      <c r="N460" s="439"/>
      <c r="O460" s="439"/>
      <c r="P460" s="439"/>
      <c r="Q460" s="439"/>
      <c r="R460" s="439"/>
      <c r="S460" s="439"/>
      <c r="T460" s="439"/>
      <c r="U460" s="439"/>
      <c r="V460" s="439"/>
      <c r="W460" s="439"/>
      <c r="X460" s="439"/>
      <c r="Y460" s="439"/>
      <c r="Z460" s="439"/>
      <c r="AA460" s="439"/>
      <c r="AB460" s="439"/>
      <c r="AC460" s="439"/>
      <c r="AD460" s="439"/>
      <c r="AE460" s="439"/>
      <c r="AF460" s="439"/>
      <c r="AG460" s="439"/>
      <c r="AH460" s="439"/>
      <c r="AI460" s="439"/>
      <c r="AJ460" s="889"/>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2" customHeight="1">
      <c r="D461" s="133" t="s">
        <v>1350</v>
      </c>
      <c r="E461" s="439"/>
      <c r="F461" s="439"/>
      <c r="G461" s="439"/>
      <c r="H461" s="439"/>
      <c r="I461" s="439"/>
      <c r="J461" s="439"/>
      <c r="K461" s="439"/>
      <c r="L461" s="439"/>
      <c r="M461" s="439"/>
      <c r="N461" s="439"/>
      <c r="O461" s="439"/>
      <c r="P461" s="439"/>
      <c r="Q461" s="439"/>
      <c r="R461" s="439"/>
      <c r="S461" s="439"/>
      <c r="T461" s="439"/>
      <c r="U461" s="439"/>
      <c r="V461" s="439"/>
      <c r="W461" s="439"/>
      <c r="X461" s="439"/>
      <c r="Y461" s="439"/>
      <c r="Z461" s="439"/>
      <c r="AA461" s="439"/>
      <c r="AB461" s="439"/>
      <c r="AC461" s="439"/>
      <c r="AD461" s="439"/>
      <c r="AE461" s="439"/>
      <c r="AF461" s="439"/>
      <c r="AG461" s="439"/>
      <c r="AH461" s="439"/>
      <c r="AI461" s="439"/>
      <c r="AJ461" s="889"/>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2" customHeight="1">
      <c r="D462" s="133" t="s">
        <v>1351</v>
      </c>
      <c r="E462" s="439"/>
      <c r="F462" s="439"/>
      <c r="G462" s="439"/>
      <c r="H462" s="439"/>
      <c r="I462" s="439"/>
      <c r="J462" s="439"/>
      <c r="K462" s="439"/>
      <c r="L462" s="439"/>
      <c r="M462" s="439"/>
      <c r="N462" s="439"/>
      <c r="O462" s="439"/>
      <c r="P462" s="439"/>
      <c r="Q462" s="439"/>
      <c r="R462" s="439"/>
      <c r="S462" s="439"/>
      <c r="T462" s="439"/>
      <c r="U462" s="439"/>
      <c r="V462" s="439"/>
      <c r="W462" s="439"/>
      <c r="X462" s="439"/>
      <c r="Y462" s="439"/>
      <c r="Z462" s="439"/>
      <c r="AA462" s="439"/>
      <c r="AB462" s="439"/>
      <c r="AC462" s="439"/>
      <c r="AD462" s="439"/>
      <c r="AE462" s="439"/>
      <c r="AF462" s="439"/>
      <c r="AG462" s="439"/>
      <c r="AH462" s="439"/>
      <c r="AI462" s="439"/>
      <c r="AJ462" s="889"/>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2" customHeight="1">
      <c r="D463" s="455"/>
      <c r="E463" s="439"/>
      <c r="F463" s="439"/>
      <c r="G463" s="439"/>
      <c r="H463" s="439"/>
      <c r="I463" s="439"/>
      <c r="J463" s="439"/>
      <c r="K463" s="439"/>
      <c r="L463" s="439"/>
      <c r="M463" s="439"/>
      <c r="N463" s="439"/>
      <c r="O463" s="439"/>
      <c r="P463" s="439"/>
      <c r="Q463" s="439"/>
      <c r="R463" s="439"/>
      <c r="S463" s="439"/>
      <c r="T463" s="439"/>
      <c r="U463" s="439"/>
      <c r="V463" s="439"/>
      <c r="W463" s="439"/>
      <c r="X463" s="439"/>
      <c r="Y463" s="439"/>
      <c r="Z463" s="439"/>
      <c r="AA463" s="439"/>
      <c r="AB463" s="439"/>
      <c r="AC463" s="439"/>
      <c r="AD463" s="439"/>
      <c r="AE463" s="439"/>
      <c r="AF463" s="439"/>
      <c r="AG463" s="439"/>
      <c r="AH463" s="439"/>
      <c r="AI463" s="439"/>
      <c r="AJ463" s="889"/>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2" customHeight="1">
      <c r="A464" s="3"/>
      <c r="B464" s="3"/>
      <c r="C464" s="3"/>
      <c r="D464" s="133" t="s">
        <v>1352</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39"/>
      <c r="AE464" s="439"/>
      <c r="AF464" s="439"/>
      <c r="AG464" s="439"/>
      <c r="AH464" s="439"/>
      <c r="AI464" s="439"/>
      <c r="AJ464" s="889"/>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2" customHeight="1">
      <c r="A465" s="3"/>
      <c r="B465" s="3"/>
      <c r="C465" s="3"/>
      <c r="D465" s="1360" t="s">
        <v>1353</v>
      </c>
      <c r="E465" s="1361"/>
      <c r="F465" s="1361"/>
      <c r="G465" s="1361"/>
      <c r="H465" s="1361"/>
      <c r="I465" s="1361"/>
      <c r="J465" s="1361"/>
      <c r="K465" s="1361"/>
      <c r="L465" s="1361"/>
      <c r="M465" s="1361"/>
      <c r="N465" s="1361"/>
      <c r="O465" s="1361"/>
      <c r="P465" s="1361"/>
      <c r="Q465" s="1361"/>
      <c r="R465" s="1361"/>
      <c r="S465" s="1361"/>
      <c r="T465" s="1361"/>
      <c r="U465" s="1361"/>
      <c r="V465" s="1362"/>
      <c r="W465" s="1375">
        <v>100</v>
      </c>
      <c r="X465" s="1376"/>
      <c r="Y465" s="1377"/>
      <c r="Z465" s="133"/>
      <c r="AA465" s="133"/>
      <c r="AB465" s="133"/>
      <c r="AC465" s="133"/>
      <c r="AD465" s="439"/>
      <c r="AE465" s="439"/>
      <c r="AF465" s="439"/>
      <c r="AG465" s="439"/>
      <c r="AH465" s="439"/>
      <c r="AI465" s="439"/>
      <c r="AJ465" s="889"/>
      <c r="AZ465" s="3"/>
      <c r="BA465" s="3"/>
      <c r="BB465" s="3"/>
      <c r="BC465" s="3"/>
      <c r="BD465" s="3"/>
      <c r="BE465" s="3"/>
      <c r="BF465" s="3"/>
      <c r="BG465" s="3"/>
      <c r="BH465" s="3"/>
      <c r="BI465" s="815"/>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2" customHeight="1">
      <c r="A466" s="3"/>
      <c r="B466" s="3"/>
      <c r="C466" s="3"/>
      <c r="D466" s="1360" t="s">
        <v>1354</v>
      </c>
      <c r="E466" s="1361"/>
      <c r="F466" s="1361"/>
      <c r="G466" s="1361"/>
      <c r="H466" s="1361"/>
      <c r="I466" s="1361"/>
      <c r="J466" s="1361"/>
      <c r="K466" s="1361"/>
      <c r="L466" s="1361"/>
      <c r="M466" s="1361"/>
      <c r="N466" s="1361"/>
      <c r="O466" s="1361"/>
      <c r="P466" s="1361"/>
      <c r="Q466" s="1361"/>
      <c r="R466" s="1361"/>
      <c r="S466" s="1361"/>
      <c r="T466" s="1361"/>
      <c r="U466" s="1361"/>
      <c r="V466" s="1362"/>
      <c r="W466" s="1375">
        <v>0</v>
      </c>
      <c r="X466" s="1376"/>
      <c r="Y466" s="1377"/>
      <c r="Z466" s="133"/>
      <c r="AA466" s="133"/>
      <c r="AB466" s="133"/>
      <c r="AC466" s="133"/>
      <c r="AD466" s="439"/>
      <c r="AE466" s="439"/>
      <c r="AF466" s="439"/>
      <c r="AG466" s="439"/>
      <c r="AH466" s="439"/>
      <c r="AI466" s="439"/>
      <c r="AJ466" s="889"/>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2" customHeight="1">
      <c r="A467" s="3"/>
      <c r="B467" s="3"/>
      <c r="C467" s="3"/>
      <c r="D467" s="1360" t="s">
        <v>1355</v>
      </c>
      <c r="E467" s="1361"/>
      <c r="F467" s="1361"/>
      <c r="G467" s="1361"/>
      <c r="H467" s="1361"/>
      <c r="I467" s="1361"/>
      <c r="J467" s="1361"/>
      <c r="K467" s="1361"/>
      <c r="L467" s="1361"/>
      <c r="M467" s="1361"/>
      <c r="N467" s="1361"/>
      <c r="O467" s="1361"/>
      <c r="P467" s="1361"/>
      <c r="Q467" s="1361"/>
      <c r="R467" s="1361"/>
      <c r="S467" s="1361"/>
      <c r="T467" s="1361"/>
      <c r="U467" s="1361"/>
      <c r="V467" s="1362"/>
      <c r="W467" s="1375">
        <v>0</v>
      </c>
      <c r="X467" s="1376"/>
      <c r="Y467" s="1377"/>
      <c r="Z467" s="133"/>
      <c r="AA467" s="133"/>
      <c r="AB467" s="133"/>
      <c r="AC467" s="133"/>
      <c r="AD467" s="439"/>
      <c r="AE467" s="439"/>
      <c r="AF467" s="439"/>
      <c r="AG467" s="439"/>
      <c r="AH467" s="439"/>
      <c r="AI467" s="439"/>
      <c r="AJ467" s="889"/>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2" customHeight="1">
      <c r="A468" s="3"/>
      <c r="B468" s="3"/>
      <c r="C468" s="3"/>
      <c r="D468" s="1360" t="s">
        <v>1356</v>
      </c>
      <c r="E468" s="1361"/>
      <c r="F468" s="1361"/>
      <c r="G468" s="1361"/>
      <c r="H468" s="1361"/>
      <c r="I468" s="1361"/>
      <c r="J468" s="1361"/>
      <c r="K468" s="1361"/>
      <c r="L468" s="1361"/>
      <c r="M468" s="1361"/>
      <c r="N468" s="1361"/>
      <c r="O468" s="1361"/>
      <c r="P468" s="1361"/>
      <c r="Q468" s="1361"/>
      <c r="R468" s="1361"/>
      <c r="S468" s="1361"/>
      <c r="T468" s="1361"/>
      <c r="U468" s="1361"/>
      <c r="V468" s="1362"/>
      <c r="W468" s="1375">
        <v>0</v>
      </c>
      <c r="X468" s="1376"/>
      <c r="Y468" s="1377"/>
      <c r="Z468" s="133"/>
      <c r="AA468" s="133"/>
      <c r="AB468" s="133"/>
      <c r="AC468" s="133"/>
      <c r="AD468" s="439"/>
      <c r="AE468" s="439"/>
      <c r="AF468" s="439"/>
      <c r="AG468" s="439"/>
      <c r="AH468" s="439"/>
      <c r="AI468" s="439"/>
      <c r="AJ468" s="889"/>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2" customHeight="1">
      <c r="A469" s="3"/>
      <c r="B469" s="3"/>
      <c r="C469" s="3"/>
      <c r="D469" s="1360" t="s">
        <v>1357</v>
      </c>
      <c r="E469" s="1361"/>
      <c r="F469" s="1361"/>
      <c r="G469" s="1361"/>
      <c r="H469" s="1361"/>
      <c r="I469" s="1361"/>
      <c r="J469" s="1361"/>
      <c r="K469" s="1361"/>
      <c r="L469" s="1361"/>
      <c r="M469" s="1361"/>
      <c r="N469" s="1361"/>
      <c r="O469" s="1361"/>
      <c r="P469" s="1361"/>
      <c r="Q469" s="1361"/>
      <c r="R469" s="1361"/>
      <c r="S469" s="1361"/>
      <c r="T469" s="1361"/>
      <c r="U469" s="1361"/>
      <c r="V469" s="1362"/>
      <c r="W469" s="1375">
        <v>0</v>
      </c>
      <c r="X469" s="1376"/>
      <c r="Y469" s="1377"/>
      <c r="Z469" s="133"/>
      <c r="AA469" s="133"/>
      <c r="AB469" s="133"/>
      <c r="AC469" s="133"/>
      <c r="AD469" s="439"/>
      <c r="AE469" s="439"/>
      <c r="AF469" s="439"/>
      <c r="AG469" s="439"/>
      <c r="AH469" s="439"/>
      <c r="AI469" s="439"/>
      <c r="AJ469" s="889"/>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2" customHeight="1">
      <c r="A470" s="3"/>
      <c r="B470" s="3"/>
      <c r="C470" s="3"/>
      <c r="D470" s="1360" t="s">
        <v>1358</v>
      </c>
      <c r="E470" s="1361"/>
      <c r="F470" s="1361"/>
      <c r="G470" s="1361"/>
      <c r="H470" s="1361"/>
      <c r="I470" s="1361"/>
      <c r="J470" s="1361"/>
      <c r="K470" s="1361"/>
      <c r="L470" s="1361"/>
      <c r="M470" s="1361"/>
      <c r="N470" s="1361"/>
      <c r="O470" s="1361"/>
      <c r="P470" s="1361"/>
      <c r="Q470" s="1361"/>
      <c r="R470" s="1361"/>
      <c r="S470" s="1361"/>
      <c r="T470" s="1361"/>
      <c r="U470" s="1361"/>
      <c r="V470" s="1362"/>
      <c r="W470" s="1375">
        <v>0</v>
      </c>
      <c r="X470" s="1376"/>
      <c r="Y470" s="1377"/>
      <c r="Z470" s="133"/>
      <c r="AA470" s="133"/>
      <c r="AB470" s="133"/>
      <c r="AC470" s="133"/>
      <c r="AD470" s="439"/>
      <c r="AE470" s="439"/>
      <c r="AF470" s="439"/>
      <c r="AG470" s="439"/>
      <c r="AH470" s="439"/>
      <c r="AI470" s="439"/>
      <c r="AJ470" s="889"/>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2" customHeight="1">
      <c r="A471" s="3"/>
      <c r="B471" s="3"/>
      <c r="C471" s="3"/>
      <c r="D471" s="1360" t="s">
        <v>1359</v>
      </c>
      <c r="E471" s="1361"/>
      <c r="F471" s="1361"/>
      <c r="G471" s="1361"/>
      <c r="H471" s="1361"/>
      <c r="I471" s="1361"/>
      <c r="J471" s="1361"/>
      <c r="K471" s="1361"/>
      <c r="L471" s="1361"/>
      <c r="M471" s="1361"/>
      <c r="N471" s="1361"/>
      <c r="O471" s="1361"/>
      <c r="P471" s="1361"/>
      <c r="Q471" s="1361"/>
      <c r="R471" s="1361"/>
      <c r="S471" s="1361"/>
      <c r="T471" s="1361"/>
      <c r="U471" s="1361"/>
      <c r="V471" s="1362"/>
      <c r="W471" s="1375">
        <v>0</v>
      </c>
      <c r="X471" s="1376"/>
      <c r="Y471" s="1377"/>
      <c r="Z471" s="133"/>
      <c r="AA471" s="133"/>
      <c r="AB471" s="133"/>
      <c r="AC471" s="133"/>
      <c r="AD471" s="439"/>
      <c r="AE471" s="439"/>
      <c r="AF471" s="439"/>
      <c r="AG471" s="439"/>
      <c r="AH471" s="439"/>
      <c r="AI471" s="439"/>
      <c r="AJ471" s="889"/>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2" customHeight="1">
      <c r="A472" s="3"/>
      <c r="B472" s="3"/>
      <c r="C472" s="3"/>
      <c r="D472" s="1360" t="s">
        <v>1360</v>
      </c>
      <c r="E472" s="1361"/>
      <c r="F472" s="1361"/>
      <c r="G472" s="1361"/>
      <c r="H472" s="1361"/>
      <c r="I472" s="1361"/>
      <c r="J472" s="1361"/>
      <c r="K472" s="1361"/>
      <c r="L472" s="1361"/>
      <c r="M472" s="1361"/>
      <c r="N472" s="1361"/>
      <c r="O472" s="1361"/>
      <c r="P472" s="1361"/>
      <c r="Q472" s="1361"/>
      <c r="R472" s="1361"/>
      <c r="S472" s="1361"/>
      <c r="T472" s="1361"/>
      <c r="U472" s="1361"/>
      <c r="V472" s="1362"/>
      <c r="W472" s="1375">
        <v>100</v>
      </c>
      <c r="X472" s="1376"/>
      <c r="Y472" s="1377"/>
      <c r="Z472" s="133"/>
      <c r="AA472" s="133"/>
      <c r="AB472" s="133"/>
      <c r="AC472" s="133"/>
      <c r="AD472" s="439"/>
      <c r="AE472" s="439"/>
      <c r="AF472" s="439"/>
      <c r="AG472" s="439"/>
      <c r="AH472" s="439"/>
      <c r="AI472" s="439"/>
      <c r="AJ472" s="889"/>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2" customHeight="1">
      <c r="A473" s="3"/>
      <c r="B473" s="3"/>
      <c r="C473" s="3"/>
      <c r="D473" s="1360" t="s">
        <v>1361</v>
      </c>
      <c r="E473" s="1361"/>
      <c r="F473" s="1361"/>
      <c r="G473" s="1361"/>
      <c r="H473" s="1361"/>
      <c r="I473" s="1361"/>
      <c r="J473" s="1361"/>
      <c r="K473" s="1361"/>
      <c r="L473" s="1361"/>
      <c r="M473" s="1361"/>
      <c r="N473" s="1361"/>
      <c r="O473" s="1361"/>
      <c r="P473" s="1361"/>
      <c r="Q473" s="1361"/>
      <c r="R473" s="1361"/>
      <c r="S473" s="1361"/>
      <c r="T473" s="1361"/>
      <c r="U473" s="1361"/>
      <c r="V473" s="1362"/>
      <c r="W473" s="1375">
        <v>25</v>
      </c>
      <c r="X473" s="1376"/>
      <c r="Y473" s="1377"/>
      <c r="Z473" s="133"/>
      <c r="AA473" s="133"/>
      <c r="AB473" s="133"/>
      <c r="AC473" s="133"/>
      <c r="AD473" s="439"/>
      <c r="AE473" s="439"/>
      <c r="AF473" s="439"/>
      <c r="AG473" s="439"/>
      <c r="AH473" s="439"/>
      <c r="AI473" s="439"/>
      <c r="AJ473" s="889"/>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2" customHeight="1">
      <c r="A474" s="3"/>
      <c r="B474" s="3"/>
      <c r="C474" s="3"/>
      <c r="D474" s="1156" t="s">
        <v>232</v>
      </c>
      <c r="E474" s="1157"/>
      <c r="F474" s="1158"/>
      <c r="G474" s="1464"/>
      <c r="H474" s="1465"/>
      <c r="I474" s="1465"/>
      <c r="J474" s="1465"/>
      <c r="K474" s="1465"/>
      <c r="L474" s="1465"/>
      <c r="M474" s="1465"/>
      <c r="N474" s="1465"/>
      <c r="O474" s="1465"/>
      <c r="P474" s="1465"/>
      <c r="Q474" s="1465"/>
      <c r="R474" s="1465"/>
      <c r="S474" s="1465"/>
      <c r="T474" s="1465"/>
      <c r="U474" s="1465"/>
      <c r="V474" s="1466"/>
      <c r="W474" s="1375">
        <v>0</v>
      </c>
      <c r="X474" s="1376"/>
      <c r="Y474" s="1377"/>
      <c r="Z474" s="133"/>
      <c r="AA474" s="133"/>
      <c r="AB474" s="133"/>
      <c r="AC474" s="133"/>
      <c r="AD474" s="439"/>
      <c r="AE474" s="439"/>
      <c r="AF474" s="439"/>
      <c r="AG474" s="439"/>
      <c r="AH474" s="439"/>
      <c r="AI474" s="439"/>
      <c r="AJ474" s="889"/>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2" customHeight="1">
      <c r="A475" s="3"/>
      <c r="B475" s="3"/>
      <c r="C475" s="3"/>
      <c r="D475" s="1159" t="s">
        <v>1362</v>
      </c>
      <c r="E475" s="1160"/>
      <c r="F475" s="1160"/>
      <c r="G475" s="133"/>
      <c r="H475" s="133"/>
      <c r="I475" s="133"/>
      <c r="J475" s="133"/>
      <c r="K475" s="133"/>
      <c r="L475" s="133"/>
      <c r="M475" s="133"/>
      <c r="N475" s="133"/>
      <c r="O475" s="133"/>
      <c r="P475" s="133"/>
      <c r="Q475" s="133"/>
      <c r="R475" s="133"/>
      <c r="S475" s="133"/>
      <c r="T475" s="133"/>
      <c r="U475" s="133"/>
      <c r="V475" s="133"/>
      <c r="W475" s="1161"/>
      <c r="X475" s="1161"/>
      <c r="Y475" s="1162"/>
      <c r="Z475" s="133"/>
      <c r="AA475" s="133"/>
      <c r="AB475" s="133"/>
      <c r="AC475" s="133"/>
      <c r="AD475" s="439"/>
      <c r="AE475" s="439"/>
      <c r="AF475" s="439"/>
      <c r="AG475" s="439"/>
      <c r="AH475" s="439"/>
      <c r="AI475" s="439"/>
      <c r="AJ475" s="889"/>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2" customHeight="1">
      <c r="A476" s="3"/>
      <c r="B476" s="3"/>
      <c r="C476" s="3"/>
      <c r="D476" s="1219" t="s">
        <v>1363</v>
      </c>
      <c r="E476" s="178"/>
      <c r="F476" s="178"/>
      <c r="G476" s="178"/>
      <c r="H476" s="178"/>
      <c r="I476" s="178"/>
      <c r="J476" s="178"/>
      <c r="K476" s="178"/>
      <c r="L476" s="178"/>
      <c r="M476" s="178"/>
      <c r="N476" s="178"/>
      <c r="O476" s="178"/>
      <c r="P476" s="178"/>
      <c r="Q476" s="178"/>
      <c r="R476" s="178"/>
      <c r="S476" s="178"/>
      <c r="T476" s="178"/>
      <c r="U476" s="178"/>
      <c r="V476" s="178"/>
      <c r="W476" s="1163"/>
      <c r="X476" s="1163"/>
      <c r="Y476" s="1164"/>
      <c r="Z476" s="133"/>
      <c r="AA476" s="133"/>
      <c r="AB476" s="133"/>
      <c r="AC476" s="133"/>
      <c r="AD476" s="439"/>
      <c r="AE476" s="439"/>
      <c r="AF476" s="439"/>
      <c r="AG476" s="439"/>
      <c r="AH476" s="439"/>
      <c r="AI476" s="439"/>
      <c r="AJ476" s="889"/>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2" customHeight="1">
      <c r="A477" s="3"/>
      <c r="B477" s="3"/>
      <c r="C477" s="3"/>
      <c r="D477" s="1219" t="s">
        <v>1364</v>
      </c>
      <c r="E477" s="178"/>
      <c r="F477" s="178"/>
      <c r="G477" s="178"/>
      <c r="H477" s="178"/>
      <c r="I477" s="178"/>
      <c r="J477" s="178"/>
      <c r="K477" s="178"/>
      <c r="L477" s="178"/>
      <c r="M477" s="178"/>
      <c r="N477" s="178"/>
      <c r="O477" s="178"/>
      <c r="P477" s="178"/>
      <c r="Q477" s="178"/>
      <c r="R477" s="178"/>
      <c r="S477" s="178"/>
      <c r="T477" s="178"/>
      <c r="U477" s="178"/>
      <c r="V477" s="178"/>
      <c r="W477" s="1163"/>
      <c r="X477" s="1163"/>
      <c r="Y477" s="1164"/>
      <c r="Z477" s="133"/>
      <c r="AA477" s="133"/>
      <c r="AB477" s="133"/>
      <c r="AC477" s="133"/>
      <c r="AD477" s="439"/>
      <c r="AE477" s="439"/>
      <c r="AF477" s="439"/>
      <c r="AG477" s="439"/>
      <c r="AH477" s="439"/>
      <c r="AI477" s="439"/>
      <c r="AJ477" s="889"/>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2" customHeight="1">
      <c r="A478" s="3"/>
      <c r="B478" s="3"/>
      <c r="C478" s="3"/>
      <c r="D478" s="1219" t="s">
        <v>1365</v>
      </c>
      <c r="E478" s="178"/>
      <c r="F478" s="178"/>
      <c r="G478" s="178"/>
      <c r="H478" s="178"/>
      <c r="I478" s="178"/>
      <c r="J478" s="178"/>
      <c r="K478" s="178"/>
      <c r="L478" s="178"/>
      <c r="M478" s="178"/>
      <c r="N478" s="178"/>
      <c r="O478" s="178"/>
      <c r="P478" s="178"/>
      <c r="Q478" s="178"/>
      <c r="R478" s="178"/>
      <c r="S478" s="178"/>
      <c r="T478" s="178"/>
      <c r="U478" s="178"/>
      <c r="V478" s="178"/>
      <c r="W478" s="1163"/>
      <c r="X478" s="1163"/>
      <c r="Y478" s="1164"/>
      <c r="Z478" s="133"/>
      <c r="AA478" s="133"/>
      <c r="AB478" s="133"/>
      <c r="AC478" s="133"/>
      <c r="AD478" s="439"/>
      <c r="AE478" s="439"/>
      <c r="AF478" s="439"/>
      <c r="AG478" s="439"/>
      <c r="AH478" s="439"/>
      <c r="AI478" s="439"/>
      <c r="AJ478" s="889"/>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2"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2" customHeight="1">
      <c r="A480" s="1478" t="s">
        <v>1366</v>
      </c>
      <c r="B480" s="1478"/>
      <c r="C480" s="1478"/>
      <c r="D480" s="1478"/>
      <c r="E480" s="1478"/>
      <c r="F480" s="1478"/>
      <c r="G480" s="1478"/>
      <c r="H480" s="1478"/>
      <c r="I480" s="1478"/>
      <c r="J480" s="1478"/>
      <c r="K480" s="1478"/>
      <c r="L480" s="1478"/>
      <c r="M480" s="1478"/>
      <c r="N480" s="1478"/>
      <c r="O480" s="1478"/>
      <c r="P480" s="1478"/>
      <c r="Q480" s="1478"/>
      <c r="R480" s="1478"/>
      <c r="S480" s="1478"/>
      <c r="T480" s="1478"/>
      <c r="U480" s="1478"/>
      <c r="V480" s="1478"/>
      <c r="W480" s="1478"/>
      <c r="X480" s="1478"/>
      <c r="Y480" s="1478"/>
      <c r="Z480" s="1478"/>
      <c r="AA480" s="1478"/>
      <c r="AB480" s="1478"/>
      <c r="AC480" s="1478"/>
      <c r="AD480" s="1478"/>
      <c r="AE480" s="1478"/>
      <c r="AF480" s="1478"/>
      <c r="AG480" s="1478"/>
      <c r="AH480" s="1478"/>
      <c r="AI480" s="1478"/>
      <c r="AJ480" s="1478"/>
      <c r="AK480" s="1478"/>
      <c r="AL480" s="1478"/>
      <c r="AM480" s="1478"/>
      <c r="AN480" s="1478"/>
      <c r="AO480" s="1478"/>
      <c r="AP480" s="1478"/>
      <c r="AQ480" s="1478"/>
      <c r="AR480" s="1478"/>
      <c r="AS480" s="1478"/>
      <c r="AT480" s="1478"/>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2" customHeight="1">
      <c r="A481" s="1478"/>
      <c r="B481" s="1478"/>
      <c r="C481" s="1478"/>
      <c r="D481" s="1478"/>
      <c r="E481" s="1478"/>
      <c r="F481" s="1478"/>
      <c r="G481" s="1478"/>
      <c r="H481" s="1478"/>
      <c r="I481" s="1478"/>
      <c r="J481" s="1478"/>
      <c r="K481" s="1478"/>
      <c r="L481" s="1478"/>
      <c r="M481" s="1478"/>
      <c r="N481" s="1478"/>
      <c r="O481" s="1478"/>
      <c r="P481" s="1478"/>
      <c r="Q481" s="1478"/>
      <c r="R481" s="1478"/>
      <c r="S481" s="1478"/>
      <c r="T481" s="1478"/>
      <c r="U481" s="1478"/>
      <c r="V481" s="1478"/>
      <c r="W481" s="1478"/>
      <c r="X481" s="1478"/>
      <c r="Y481" s="1478"/>
      <c r="Z481" s="1478"/>
      <c r="AA481" s="1478"/>
      <c r="AB481" s="1478"/>
      <c r="AC481" s="1478"/>
      <c r="AD481" s="1478"/>
      <c r="AE481" s="1478"/>
      <c r="AF481" s="1478"/>
      <c r="AG481" s="1478"/>
      <c r="AH481" s="1478"/>
      <c r="AI481" s="1478"/>
      <c r="AJ481" s="1478"/>
      <c r="AK481" s="1478"/>
      <c r="AL481" s="1478"/>
      <c r="AM481" s="1478"/>
      <c r="AN481" s="1478"/>
      <c r="AO481" s="1478"/>
      <c r="AP481" s="1478"/>
      <c r="AQ481" s="1478"/>
      <c r="AR481" s="1478"/>
      <c r="AS481" s="1478"/>
      <c r="AT481" s="147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2"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2" customHeight="1">
      <c r="A483" s="2" t="s">
        <v>919</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2"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2" customHeight="1">
      <c r="B485" s="38"/>
      <c r="C485" s="5"/>
      <c r="D485" s="5"/>
      <c r="E485" s="5"/>
      <c r="F485" s="5"/>
      <c r="G485" s="5"/>
      <c r="H485" s="5"/>
      <c r="I485" s="5"/>
      <c r="J485" s="5"/>
      <c r="K485" s="5"/>
      <c r="L485" s="5"/>
      <c r="M485" s="5"/>
      <c r="N485" s="5"/>
      <c r="O485" s="5"/>
      <c r="P485" s="39"/>
      <c r="Q485" s="1372" t="s">
        <v>1367</v>
      </c>
      <c r="R485" s="1373"/>
      <c r="S485" s="1373"/>
      <c r="T485" s="1373"/>
      <c r="U485" s="1373"/>
      <c r="V485" s="1373"/>
      <c r="W485" s="1373"/>
      <c r="X485" s="1373"/>
      <c r="Y485" s="1373"/>
      <c r="Z485" s="1373"/>
      <c r="AA485" s="1373"/>
      <c r="AB485" s="1373"/>
      <c r="AC485" s="1373"/>
      <c r="AD485" s="1373"/>
      <c r="AE485" s="1373"/>
      <c r="AF485" s="1373"/>
      <c r="AG485" s="1373"/>
      <c r="AH485" s="1373"/>
      <c r="AI485" s="1373"/>
      <c r="AJ485" s="1373"/>
      <c r="AK485" s="137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2" customHeight="1">
      <c r="B486" s="38" t="s">
        <v>1368</v>
      </c>
      <c r="C486" s="5"/>
      <c r="D486" s="5"/>
      <c r="E486" s="5"/>
      <c r="F486" s="5"/>
      <c r="G486" s="5"/>
      <c r="H486" s="5"/>
      <c r="I486" s="5"/>
      <c r="J486" s="5"/>
      <c r="K486" s="5"/>
      <c r="L486" s="5"/>
      <c r="M486" s="5"/>
      <c r="N486" s="5"/>
      <c r="O486" s="5"/>
      <c r="P486" s="5"/>
      <c r="Q486" s="1399" t="s">
        <v>1369</v>
      </c>
      <c r="R486" s="1329"/>
      <c r="S486" s="1329"/>
      <c r="T486" s="1329"/>
      <c r="U486" s="1329"/>
      <c r="V486" s="1329"/>
      <c r="W486" s="1329"/>
      <c r="X486" s="1329"/>
      <c r="Y486" s="1329"/>
      <c r="Z486" s="1329"/>
      <c r="AA486" s="1329"/>
      <c r="AB486" s="1329"/>
      <c r="AC486" s="1329"/>
      <c r="AD486" s="1329"/>
      <c r="AE486" s="1329"/>
      <c r="AF486" s="1329"/>
      <c r="AG486" s="1329"/>
      <c r="AH486" s="1329"/>
      <c r="AI486" s="1329"/>
      <c r="AJ486" s="1329"/>
      <c r="AK486" s="1400"/>
      <c r="AZ486" s="3"/>
      <c r="BB486" s="3"/>
      <c r="BC486" s="3"/>
      <c r="BD486" s="3"/>
      <c r="BE486" s="3"/>
      <c r="BF486" s="3"/>
      <c r="BG486" s="3"/>
      <c r="BH486" s="3"/>
      <c r="BI486" s="3"/>
      <c r="BJ486" s="3"/>
      <c r="BK486" s="3"/>
      <c r="BL486" s="3"/>
      <c r="BM486" s="3"/>
      <c r="BN486" s="3"/>
      <c r="BO486" s="3"/>
      <c r="BP486" s="3"/>
      <c r="BQ486" s="3"/>
      <c r="BR486" s="3"/>
      <c r="BS486" s="3"/>
      <c r="BT486" s="3"/>
      <c r="BU486" s="3"/>
      <c r="BV486" s="138" t="s">
        <v>1370</v>
      </c>
      <c r="BW486" s="139"/>
      <c r="BX486" s="139"/>
      <c r="BY486" s="139"/>
      <c r="BZ486" s="139"/>
      <c r="CA486" s="139"/>
      <c r="CB486" s="139"/>
      <c r="CC486" s="3"/>
      <c r="CD486" s="138" t="s">
        <v>1371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2" customHeight="1">
      <c r="B487" s="38" t="s">
        <v>1372</v>
      </c>
      <c r="C487" s="5"/>
      <c r="D487" s="5"/>
      <c r="E487" s="5"/>
      <c r="F487" s="5"/>
      <c r="G487" s="5"/>
      <c r="H487" s="5"/>
      <c r="I487" s="5"/>
      <c r="J487" s="5"/>
      <c r="K487" s="5"/>
      <c r="L487" s="5"/>
      <c r="M487" s="5"/>
      <c r="N487" s="5"/>
      <c r="O487" s="5"/>
      <c r="P487" s="5"/>
      <c r="Q487" s="1399" t="s">
        <v>1373</v>
      </c>
      <c r="R487" s="1329"/>
      <c r="S487" s="1329"/>
      <c r="T487" s="1329"/>
      <c r="U487" s="1329"/>
      <c r="V487" s="1329"/>
      <c r="W487" s="1329"/>
      <c r="X487" s="1329"/>
      <c r="Y487" s="1329"/>
      <c r="Z487" s="1329"/>
      <c r="AA487" s="1329"/>
      <c r="AB487" s="1329"/>
      <c r="AC487" s="1329"/>
      <c r="AD487" s="1329"/>
      <c r="AE487" s="1329"/>
      <c r="AF487" s="1329"/>
      <c r="AG487" s="1329"/>
      <c r="AH487" s="1329"/>
      <c r="AI487" s="1329"/>
      <c r="AJ487" s="1329"/>
      <c r="AK487" s="1400"/>
      <c r="AZ487" s="3"/>
      <c r="BB487" s="3"/>
      <c r="BC487" s="3"/>
      <c r="BD487" s="3"/>
      <c r="BE487" s="3"/>
      <c r="BF487" s="3"/>
      <c r="BG487" s="3"/>
      <c r="BH487" s="3"/>
      <c r="BI487" s="3"/>
      <c r="BJ487" s="3"/>
      <c r="BK487" s="3"/>
      <c r="BL487" s="3"/>
      <c r="BM487" s="3"/>
      <c r="BN487" s="3"/>
      <c r="BO487" s="3"/>
      <c r="BP487" s="3"/>
      <c r="BQ487" s="3"/>
      <c r="BR487" s="3"/>
      <c r="BS487" s="3"/>
      <c r="BT487" s="3"/>
      <c r="BU487" s="3"/>
      <c r="BV487" s="209" t="s">
        <v>1374</v>
      </c>
      <c r="BW487" s="139"/>
      <c r="BX487" s="139"/>
      <c r="BY487" s="139"/>
      <c r="BZ487" s="139"/>
      <c r="CA487" s="139"/>
      <c r="CB487" s="139"/>
      <c r="CC487" s="3"/>
      <c r="CD487" s="209" t="s">
        <v>1375</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2" customHeight="1">
      <c r="B488" s="38" t="s">
        <v>1376</v>
      </c>
      <c r="C488" s="5"/>
      <c r="D488" s="5"/>
      <c r="E488" s="5"/>
      <c r="F488" s="5"/>
      <c r="G488" s="5"/>
      <c r="H488" s="5"/>
      <c r="I488" s="5"/>
      <c r="J488" s="5"/>
      <c r="K488" s="5"/>
      <c r="L488" s="5"/>
      <c r="M488" s="5"/>
      <c r="N488" s="5"/>
      <c r="O488" s="5"/>
      <c r="P488" s="5"/>
      <c r="Q488" s="1399" t="s">
        <v>1373</v>
      </c>
      <c r="R488" s="1329"/>
      <c r="S488" s="1329"/>
      <c r="T488" s="1329"/>
      <c r="U488" s="1329"/>
      <c r="V488" s="1329"/>
      <c r="W488" s="1329"/>
      <c r="X488" s="1329"/>
      <c r="Y488" s="1329"/>
      <c r="Z488" s="1329"/>
      <c r="AA488" s="1329"/>
      <c r="AB488" s="1329"/>
      <c r="AC488" s="1329"/>
      <c r="AD488" s="1329"/>
      <c r="AE488" s="1329"/>
      <c r="AF488" s="1329"/>
      <c r="AG488" s="1329"/>
      <c r="AH488" s="1329"/>
      <c r="AI488" s="1329"/>
      <c r="AJ488" s="1329"/>
      <c r="AK488" s="1400"/>
      <c r="AZ488" s="3"/>
      <c r="BA488" s="3"/>
      <c r="BB488" s="3"/>
      <c r="BC488" s="3"/>
      <c r="BD488" s="3"/>
      <c r="BE488" s="3"/>
      <c r="BF488" s="3"/>
      <c r="BG488" s="3"/>
      <c r="BH488" s="3"/>
      <c r="BI488" s="3"/>
      <c r="BJ488" s="3"/>
      <c r="BK488" s="3"/>
      <c r="BL488" s="3"/>
      <c r="BM488" s="3"/>
      <c r="BN488" s="3"/>
      <c r="BO488" s="3"/>
      <c r="BP488" s="3"/>
      <c r="BQ488" s="3"/>
      <c r="BR488" s="3"/>
      <c r="BS488" s="3"/>
      <c r="BT488" s="3"/>
      <c r="BU488" s="3"/>
      <c r="BV488" s="1165"/>
      <c r="BW488" s="1166"/>
      <c r="BX488" s="1167"/>
      <c r="BY488" s="1167"/>
      <c r="BZ488" s="1167"/>
      <c r="CA488" s="1167"/>
      <c r="CB488" s="116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2" customHeight="1" thickBot="1">
      <c r="B489" s="1419" t="s">
        <v>1377</v>
      </c>
      <c r="C489" s="1420"/>
      <c r="D489" s="1420"/>
      <c r="E489" s="1420"/>
      <c r="F489" s="1420"/>
      <c r="G489" s="1420"/>
      <c r="H489" s="1420"/>
      <c r="I489" s="1420"/>
      <c r="J489" s="1420"/>
      <c r="K489" s="1420"/>
      <c r="L489" s="1420"/>
      <c r="M489" s="1420"/>
      <c r="N489" s="1420"/>
      <c r="O489" s="1420"/>
      <c r="P489" s="1421"/>
      <c r="Q489" s="1425" t="s">
        <v>892</v>
      </c>
      <c r="R489" s="1426"/>
      <c r="S489" s="1393" t="s">
        <v>1378</v>
      </c>
      <c r="T489" s="1394"/>
      <c r="U489" s="1394"/>
      <c r="V489" s="1394"/>
      <c r="W489" s="1394"/>
      <c r="X489" s="1394"/>
      <c r="Y489" s="1394"/>
      <c r="Z489" s="1394"/>
      <c r="AA489" s="1394"/>
      <c r="AB489" s="1394"/>
      <c r="AC489" s="1394"/>
      <c r="AD489" s="1394"/>
      <c r="AE489" s="1394"/>
      <c r="AF489" s="1394"/>
      <c r="AG489" s="1394"/>
      <c r="AH489" s="1394"/>
      <c r="AI489" s="1394"/>
      <c r="AJ489" s="1394"/>
      <c r="AK489" s="1395"/>
      <c r="AZ489" s="3"/>
      <c r="BA489" s="3"/>
      <c r="BB489" s="3"/>
      <c r="BC489" s="3"/>
      <c r="BD489" s="3"/>
      <c r="BE489" s="3"/>
      <c r="BF489" s="3"/>
      <c r="BG489" s="3"/>
      <c r="BH489" s="3"/>
      <c r="BI489" s="3"/>
      <c r="BJ489" s="3"/>
      <c r="BK489" s="3"/>
      <c r="BL489" s="3"/>
      <c r="BM489" s="3"/>
      <c r="BN489" s="3"/>
      <c r="BO489" s="3"/>
      <c r="BP489" s="3"/>
      <c r="BQ489" s="3"/>
      <c r="BR489" s="3"/>
      <c r="BS489" s="3"/>
      <c r="BT489" s="3"/>
      <c r="BU489" s="3"/>
      <c r="BV489" s="268" t="s">
        <v>1379</v>
      </c>
      <c r="BW489" s="269" t="s">
        <v>1380</v>
      </c>
      <c r="BX489" s="269" t="s">
        <v>1381</v>
      </c>
      <c r="BY489" s="269" t="s">
        <v>1382</v>
      </c>
      <c r="BZ489" s="269" t="s">
        <v>1383</v>
      </c>
      <c r="CA489" s="269" t="s">
        <v>1384</v>
      </c>
      <c r="CB489" s="269" t="s">
        <v>1385</v>
      </c>
      <c r="CC489" s="3"/>
      <c r="CD489" s="269" t="s">
        <v>1380</v>
      </c>
      <c r="CE489" s="269" t="s">
        <v>1381</v>
      </c>
      <c r="CF489" s="269" t="s">
        <v>1382</v>
      </c>
      <c r="CG489" s="269" t="s">
        <v>1383</v>
      </c>
      <c r="CH489" s="269" t="s">
        <v>1384</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2" customHeight="1">
      <c r="B490" s="1422"/>
      <c r="C490" s="1423"/>
      <c r="D490" s="1423"/>
      <c r="E490" s="1423"/>
      <c r="F490" s="1423"/>
      <c r="G490" s="1423"/>
      <c r="H490" s="1423"/>
      <c r="I490" s="1423"/>
      <c r="J490" s="1423"/>
      <c r="K490" s="1423"/>
      <c r="L490" s="1423"/>
      <c r="M490" s="1423"/>
      <c r="N490" s="1423"/>
      <c r="O490" s="1423"/>
      <c r="P490" s="1424"/>
      <c r="Q490" s="1427"/>
      <c r="R490" s="1428"/>
      <c r="S490" s="1396"/>
      <c r="T490" s="1397"/>
      <c r="U490" s="1397"/>
      <c r="V490" s="1397"/>
      <c r="W490" s="1397"/>
      <c r="X490" s="1397"/>
      <c r="Y490" s="1397"/>
      <c r="Z490" s="1397"/>
      <c r="AA490" s="1397"/>
      <c r="AB490" s="1397"/>
      <c r="AC490" s="1397"/>
      <c r="AD490" s="1397"/>
      <c r="AE490" s="1397"/>
      <c r="AF490" s="1397"/>
      <c r="AG490" s="1397"/>
      <c r="AH490" s="1397"/>
      <c r="AI490" s="1397"/>
      <c r="AJ490" s="1397"/>
      <c r="AK490" s="1398"/>
      <c r="AZ490" s="3"/>
      <c r="BA490" s="3"/>
      <c r="BB490" s="3"/>
      <c r="BC490" s="3"/>
      <c r="BD490" s="3"/>
      <c r="BE490" s="3"/>
      <c r="BF490" s="3"/>
      <c r="BG490" s="3"/>
      <c r="BH490" s="3"/>
      <c r="BI490" s="3"/>
      <c r="BJ490" s="3"/>
      <c r="BK490" s="3"/>
      <c r="BL490" s="3"/>
      <c r="BM490" s="3"/>
      <c r="BN490" s="3"/>
      <c r="BO490" s="3"/>
      <c r="BP490" s="3"/>
      <c r="BQ490" s="3"/>
      <c r="BR490" s="3"/>
      <c r="BS490" s="3"/>
      <c r="BT490" s="3"/>
      <c r="BU490" s="3"/>
      <c r="BV490" s="270" t="s">
        <v>877</v>
      </c>
      <c r="BW490" s="382">
        <v>2724</v>
      </c>
      <c r="BX490" s="383">
        <v>2920</v>
      </c>
      <c r="BY490" s="384">
        <v>3504</v>
      </c>
      <c r="BZ490" s="383">
        <v>4048</v>
      </c>
      <c r="CA490" s="384">
        <v>4516</v>
      </c>
      <c r="CB490" s="385">
        <v>4982</v>
      </c>
      <c r="CC490" s="3"/>
      <c r="CD490" s="784">
        <v>1825</v>
      </c>
      <c r="CE490" s="784">
        <v>2131</v>
      </c>
      <c r="CF490" s="784">
        <v>2590</v>
      </c>
      <c r="CG490" s="784">
        <v>3342</v>
      </c>
      <c r="CH490" s="784">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2" customHeight="1">
      <c r="B491" s="816" t="s">
        <v>1386</v>
      </c>
      <c r="C491" s="796"/>
      <c r="D491" s="796"/>
      <c r="E491" s="796"/>
      <c r="F491" s="796"/>
      <c r="G491" s="796"/>
      <c r="H491" s="796"/>
      <c r="I491" s="796"/>
      <c r="J491" s="796"/>
      <c r="K491" s="796"/>
      <c r="L491" s="796"/>
      <c r="M491" s="796"/>
      <c r="N491" s="796"/>
      <c r="O491" s="796"/>
      <c r="P491" s="796"/>
      <c r="Q491" s="1368" t="s">
        <v>1387</v>
      </c>
      <c r="R491" s="1369"/>
      <c r="S491" s="1369"/>
      <c r="T491" s="1369"/>
      <c r="U491" s="1369"/>
      <c r="V491" s="1369"/>
      <c r="W491" s="1369"/>
      <c r="X491" s="1369"/>
      <c r="Y491" s="1369"/>
      <c r="Z491" s="1369"/>
      <c r="AA491" s="1369"/>
      <c r="AB491" s="1369"/>
      <c r="AC491" s="1369"/>
      <c r="AD491" s="1369"/>
      <c r="AE491" s="1369"/>
      <c r="AF491" s="1369"/>
      <c r="AG491" s="1369"/>
      <c r="AH491" s="1369"/>
      <c r="AI491" s="1369"/>
      <c r="AJ491" s="1369"/>
      <c r="AK491" s="1370"/>
      <c r="AZ491" s="3"/>
      <c r="BA491" s="3"/>
      <c r="BB491" s="3"/>
      <c r="BC491" s="3"/>
      <c r="BD491" s="3"/>
      <c r="BE491" s="3"/>
      <c r="BF491" s="3"/>
      <c r="BG491" s="3"/>
      <c r="BH491" s="3"/>
      <c r="BI491" s="3"/>
      <c r="BJ491" s="3"/>
      <c r="BK491" s="3"/>
      <c r="BL491" s="3"/>
      <c r="BM491" s="3"/>
      <c r="BN491" s="3"/>
      <c r="BO491" s="3"/>
      <c r="BP491" s="3"/>
      <c r="BQ491" s="3"/>
      <c r="BR491" s="3"/>
      <c r="BS491" s="3"/>
      <c r="BT491" s="3"/>
      <c r="BU491" s="3"/>
      <c r="BV491" s="271" t="s">
        <v>880</v>
      </c>
      <c r="BW491" s="386">
        <v>1850</v>
      </c>
      <c r="BX491" s="387">
        <v>1980</v>
      </c>
      <c r="BY491" s="386">
        <v>2376</v>
      </c>
      <c r="BZ491" s="387">
        <v>2746</v>
      </c>
      <c r="CA491" s="387">
        <v>3064</v>
      </c>
      <c r="CB491" s="388">
        <v>3382</v>
      </c>
      <c r="CC491" s="3"/>
      <c r="CD491" s="784">
        <v>911</v>
      </c>
      <c r="CE491" s="784">
        <v>1005</v>
      </c>
      <c r="CF491" s="784">
        <v>1321</v>
      </c>
      <c r="CG491" s="784">
        <v>1862</v>
      </c>
      <c r="CH491" s="784">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2" customHeight="1">
      <c r="B492" s="38" t="s">
        <v>1388</v>
      </c>
      <c r="C492" s="5"/>
      <c r="D492" s="5"/>
      <c r="E492" s="5"/>
      <c r="F492" s="5"/>
      <c r="G492" s="5"/>
      <c r="H492" s="5"/>
      <c r="I492" s="5"/>
      <c r="J492" s="5"/>
      <c r="K492" s="5"/>
      <c r="L492" s="5"/>
      <c r="M492" s="5"/>
      <c r="N492" s="5"/>
      <c r="O492" s="5"/>
      <c r="P492" s="5"/>
      <c r="Q492" s="1399" t="s">
        <v>299</v>
      </c>
      <c r="R492" s="1329"/>
      <c r="S492" s="1329"/>
      <c r="T492" s="1329"/>
      <c r="U492" s="1329"/>
      <c r="V492" s="1329"/>
      <c r="W492" s="1329"/>
      <c r="X492" s="1329"/>
      <c r="Y492" s="1329"/>
      <c r="Z492" s="1329"/>
      <c r="AA492" s="1329"/>
      <c r="AB492" s="1329"/>
      <c r="AC492" s="1329"/>
      <c r="AD492" s="1329"/>
      <c r="AE492" s="1329"/>
      <c r="AF492" s="1329"/>
      <c r="AG492" s="1329"/>
      <c r="AH492" s="1329"/>
      <c r="AI492" s="1329"/>
      <c r="AJ492" s="1329"/>
      <c r="AK492" s="1400"/>
      <c r="AZ492" s="3"/>
      <c r="BA492" s="3"/>
      <c r="BB492" s="3"/>
      <c r="BC492" s="3"/>
      <c r="BD492" s="3"/>
      <c r="BE492" s="3"/>
      <c r="BF492" s="3"/>
      <c r="BG492" s="3"/>
      <c r="BH492" s="3"/>
      <c r="BI492" s="3"/>
      <c r="BJ492" s="3"/>
      <c r="BK492" s="3"/>
      <c r="BL492" s="3"/>
      <c r="BM492" s="3"/>
      <c r="BN492" s="3"/>
      <c r="BO492" s="3"/>
      <c r="BP492" s="3"/>
      <c r="BQ492" s="3"/>
      <c r="BR492" s="3"/>
      <c r="BS492" s="3"/>
      <c r="BT492" s="3"/>
      <c r="BU492" s="3"/>
      <c r="BV492" s="271" t="s">
        <v>885</v>
      </c>
      <c r="BW492" s="389">
        <v>1764</v>
      </c>
      <c r="BX492" s="390">
        <v>1890</v>
      </c>
      <c r="BY492" s="389">
        <v>2270</v>
      </c>
      <c r="BZ492" s="390">
        <v>2620</v>
      </c>
      <c r="CA492" s="390">
        <v>2924</v>
      </c>
      <c r="CB492" s="391">
        <v>3226</v>
      </c>
      <c r="CC492" s="3"/>
      <c r="CD492" s="784">
        <v>1128</v>
      </c>
      <c r="CE492" s="784">
        <v>1135</v>
      </c>
      <c r="CF492" s="784">
        <v>1347</v>
      </c>
      <c r="CG492" s="784">
        <v>1898</v>
      </c>
      <c r="CH492" s="784">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2" customHeight="1">
      <c r="B493" s="38" t="s">
        <v>1389</v>
      </c>
      <c r="C493" s="5"/>
      <c r="D493" s="5"/>
      <c r="E493" s="5"/>
      <c r="F493" s="5"/>
      <c r="G493" s="5"/>
      <c r="H493" s="5"/>
      <c r="I493" s="5"/>
      <c r="J493" s="5"/>
      <c r="K493" s="5"/>
      <c r="L493" s="5"/>
      <c r="M493" s="5"/>
      <c r="N493" s="5"/>
      <c r="O493" s="5"/>
      <c r="P493" s="5"/>
      <c r="Q493" s="1399" t="s">
        <v>299</v>
      </c>
      <c r="R493" s="1329"/>
      <c r="S493" s="1329"/>
      <c r="T493" s="1329"/>
      <c r="U493" s="1329"/>
      <c r="V493" s="1329"/>
      <c r="W493" s="1329"/>
      <c r="X493" s="1329"/>
      <c r="Y493" s="1329"/>
      <c r="Z493" s="1329"/>
      <c r="AA493" s="1329"/>
      <c r="AB493" s="1329"/>
      <c r="AC493" s="1329"/>
      <c r="AD493" s="1329"/>
      <c r="AE493" s="1329"/>
      <c r="AF493" s="1329"/>
      <c r="AG493" s="1329"/>
      <c r="AH493" s="1329"/>
      <c r="AI493" s="1329"/>
      <c r="AJ493" s="1329"/>
      <c r="AK493" s="1400"/>
      <c r="AZ493" s="3"/>
      <c r="BA493" s="3"/>
      <c r="BB493" s="3"/>
      <c r="BC493" s="3"/>
      <c r="BD493" s="3"/>
      <c r="BE493" s="3"/>
      <c r="BF493" s="3"/>
      <c r="BG493" s="3"/>
      <c r="BH493" s="3"/>
      <c r="BI493" s="3"/>
      <c r="BJ493" s="3"/>
      <c r="BK493" s="3"/>
      <c r="BL493" s="3"/>
      <c r="BM493" s="3"/>
      <c r="BN493" s="3"/>
      <c r="BO493" s="3"/>
      <c r="BP493" s="3"/>
      <c r="BQ493" s="3"/>
      <c r="BR493" s="3"/>
      <c r="BS493" s="3"/>
      <c r="BT493" s="3"/>
      <c r="BU493" s="3"/>
      <c r="BV493" s="271" t="s">
        <v>889</v>
      </c>
      <c r="BW493" s="389">
        <v>1586</v>
      </c>
      <c r="BX493" s="390">
        <v>1700</v>
      </c>
      <c r="BY493" s="389">
        <v>2042</v>
      </c>
      <c r="BZ493" s="390">
        <v>2358</v>
      </c>
      <c r="CA493" s="390">
        <v>2630</v>
      </c>
      <c r="CB493" s="391">
        <v>2902</v>
      </c>
      <c r="CC493" s="3"/>
      <c r="CD493" s="784">
        <v>1049</v>
      </c>
      <c r="CE493" s="784">
        <v>1091</v>
      </c>
      <c r="CF493" s="784">
        <v>1428</v>
      </c>
      <c r="CG493" s="784">
        <v>2012</v>
      </c>
      <c r="CH493" s="784">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2" customHeight="1">
      <c r="B494" s="88" t="s">
        <v>1390</v>
      </c>
      <c r="C494" s="5"/>
      <c r="D494" s="5"/>
      <c r="E494" s="5"/>
      <c r="F494" s="5"/>
      <c r="G494" s="5"/>
      <c r="H494" s="5"/>
      <c r="I494" s="5"/>
      <c r="J494" s="5"/>
      <c r="K494" s="5"/>
      <c r="L494" s="5"/>
      <c r="M494" s="5"/>
      <c r="N494" s="5"/>
      <c r="O494" s="5"/>
      <c r="P494" s="5"/>
      <c r="Q494" s="1399">
        <v>30</v>
      </c>
      <c r="R494" s="1329"/>
      <c r="S494" s="1329"/>
      <c r="T494" s="1329"/>
      <c r="U494" s="1329"/>
      <c r="V494" s="1329"/>
      <c r="W494" s="1329"/>
      <c r="X494" s="1329"/>
      <c r="Y494" s="1329"/>
      <c r="Z494" s="1329"/>
      <c r="AA494" s="1329"/>
      <c r="AB494" s="1329"/>
      <c r="AC494" s="1329"/>
      <c r="AD494" s="1329"/>
      <c r="AE494" s="1329"/>
      <c r="AF494" s="1329"/>
      <c r="AG494" s="1329"/>
      <c r="AH494" s="1329"/>
      <c r="AI494" s="1329"/>
      <c r="AJ494" s="1329"/>
      <c r="AK494" s="1400"/>
      <c r="AZ494" s="3"/>
      <c r="BA494" s="3"/>
      <c r="BB494" s="3"/>
      <c r="BC494" s="3"/>
      <c r="BD494" s="3"/>
      <c r="BE494" s="3"/>
      <c r="BF494" s="3"/>
      <c r="BG494" s="3"/>
      <c r="BH494" s="3"/>
      <c r="BI494" s="3"/>
      <c r="BJ494" s="3"/>
      <c r="BK494" s="3"/>
      <c r="BL494" s="3"/>
      <c r="BM494" s="3"/>
      <c r="BN494" s="3"/>
      <c r="BO494" s="3"/>
      <c r="BP494" s="3"/>
      <c r="BQ494" s="3"/>
      <c r="BR494" s="3"/>
      <c r="BS494" s="3"/>
      <c r="BT494" s="3"/>
      <c r="BU494" s="3"/>
      <c r="BV494" s="271" t="s">
        <v>894</v>
      </c>
      <c r="BW494" s="389">
        <v>1656</v>
      </c>
      <c r="BX494" s="390">
        <v>1774</v>
      </c>
      <c r="BY494" s="389">
        <v>2130</v>
      </c>
      <c r="BZ494" s="390">
        <v>2460</v>
      </c>
      <c r="CA494" s="390">
        <v>2744</v>
      </c>
      <c r="CB494" s="391">
        <v>3028</v>
      </c>
      <c r="CC494" s="3"/>
      <c r="CD494" s="784">
        <v>1049</v>
      </c>
      <c r="CE494" s="784">
        <v>1055</v>
      </c>
      <c r="CF494" s="784">
        <v>1309</v>
      </c>
      <c r="CG494" s="784">
        <v>1845</v>
      </c>
      <c r="CH494" s="784">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2" customHeight="1">
      <c r="B495" s="88" t="s">
        <v>1391</v>
      </c>
      <c r="C495" s="5"/>
      <c r="D495" s="5"/>
      <c r="E495" s="5"/>
      <c r="F495" s="5"/>
      <c r="G495" s="5"/>
      <c r="H495" s="5"/>
      <c r="I495" s="5"/>
      <c r="J495" s="5"/>
      <c r="K495" s="5"/>
      <c r="L495" s="5"/>
      <c r="M495" s="1357"/>
      <c r="N495" s="1358"/>
      <c r="O495" s="1358"/>
      <c r="P495" s="1359"/>
      <c r="Q495" s="88" t="s">
        <v>1392</v>
      </c>
      <c r="R495" s="5"/>
      <c r="S495" s="5"/>
      <c r="T495" s="5"/>
      <c r="U495" s="5"/>
      <c r="V495" s="5"/>
      <c r="W495" s="5"/>
      <c r="X495" s="5"/>
      <c r="Y495" s="5"/>
      <c r="Z495" s="5"/>
      <c r="AA495" s="5"/>
      <c r="AB495" s="5"/>
      <c r="AC495" s="5"/>
      <c r="AD495" s="5"/>
      <c r="AE495" s="5"/>
      <c r="AF495" s="5"/>
      <c r="AG495" s="5"/>
      <c r="AH495" s="1357">
        <v>30</v>
      </c>
      <c r="AI495" s="1358"/>
      <c r="AJ495" s="1358"/>
      <c r="AK495" s="1359"/>
      <c r="AZ495" s="3"/>
      <c r="BA495" s="3"/>
      <c r="BB495" s="3"/>
      <c r="BC495" s="3"/>
      <c r="BD495" s="3"/>
      <c r="BE495" s="3"/>
      <c r="BF495" s="3"/>
      <c r="BG495" s="3"/>
      <c r="BH495" s="3"/>
      <c r="BI495" s="3"/>
      <c r="BJ495" s="3"/>
      <c r="BK495" s="3"/>
      <c r="BL495" s="3"/>
      <c r="BM495" s="3"/>
      <c r="BN495" s="3"/>
      <c r="BO495" s="3"/>
      <c r="BP495" s="3"/>
      <c r="BQ495" s="3"/>
      <c r="BR495" s="3"/>
      <c r="BS495" s="3"/>
      <c r="BT495" s="3"/>
      <c r="BU495" s="3"/>
      <c r="BV495" s="271" t="s">
        <v>896</v>
      </c>
      <c r="BW495" s="389">
        <v>1540</v>
      </c>
      <c r="BX495" s="390">
        <v>1650</v>
      </c>
      <c r="BY495" s="389">
        <v>1980</v>
      </c>
      <c r="BZ495" s="390">
        <v>2286</v>
      </c>
      <c r="CA495" s="390">
        <v>2550</v>
      </c>
      <c r="CB495" s="391">
        <v>2812</v>
      </c>
      <c r="CC495" s="3"/>
      <c r="CD495" s="784">
        <v>823</v>
      </c>
      <c r="CE495" s="784">
        <v>829</v>
      </c>
      <c r="CF495" s="784">
        <v>1089</v>
      </c>
      <c r="CG495" s="784">
        <v>1519</v>
      </c>
      <c r="CH495" s="784">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2" customHeight="1">
      <c r="B496" s="43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1" t="s">
        <v>900</v>
      </c>
      <c r="BW496" s="389">
        <v>2724</v>
      </c>
      <c r="BX496" s="390">
        <v>2920</v>
      </c>
      <c r="BY496" s="389">
        <v>3504</v>
      </c>
      <c r="BZ496" s="390">
        <v>4048</v>
      </c>
      <c r="CA496" s="390">
        <v>4516</v>
      </c>
      <c r="CB496" s="391">
        <v>4982</v>
      </c>
      <c r="CC496" s="3"/>
      <c r="CD496" s="784">
        <v>1825</v>
      </c>
      <c r="CE496" s="784">
        <v>2131</v>
      </c>
      <c r="CF496" s="784">
        <v>2590</v>
      </c>
      <c r="CG496" s="784">
        <v>3342</v>
      </c>
      <c r="CH496" s="784">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2" customHeight="1">
      <c r="A497" s="2" t="s">
        <v>960</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1" t="s">
        <v>903</v>
      </c>
      <c r="BW497" s="389">
        <v>1540</v>
      </c>
      <c r="BX497" s="390">
        <v>1650</v>
      </c>
      <c r="BY497" s="389">
        <v>1980</v>
      </c>
      <c r="BZ497" s="390">
        <v>2286</v>
      </c>
      <c r="CA497" s="390">
        <v>2550</v>
      </c>
      <c r="CB497" s="391">
        <v>2812</v>
      </c>
      <c r="CC497" s="3"/>
      <c r="CD497" s="784">
        <v>791</v>
      </c>
      <c r="CE497" s="784">
        <v>970</v>
      </c>
      <c r="CF497" s="784">
        <v>1147</v>
      </c>
      <c r="CG497" s="784">
        <v>1616</v>
      </c>
      <c r="CH497" s="784">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2" customHeight="1">
      <c r="B498" s="452"/>
      <c r="C498" s="43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1" t="s">
        <v>905</v>
      </c>
      <c r="BW498" s="389">
        <v>2064</v>
      </c>
      <c r="BX498" s="390">
        <v>2210</v>
      </c>
      <c r="BY498" s="389">
        <v>2652</v>
      </c>
      <c r="BZ498" s="390">
        <v>3064</v>
      </c>
      <c r="CA498" s="390">
        <v>3420</v>
      </c>
      <c r="CB498" s="391">
        <v>3772</v>
      </c>
      <c r="CC498" s="3"/>
      <c r="CD498" s="784">
        <v>1543</v>
      </c>
      <c r="CE498" s="784">
        <v>1666</v>
      </c>
      <c r="CF498" s="784">
        <v>2072</v>
      </c>
      <c r="CG498" s="784">
        <v>2884</v>
      </c>
      <c r="CH498" s="784">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2"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372" t="s">
        <v>1393</v>
      </c>
      <c r="AD499" s="1373"/>
      <c r="AE499" s="1373"/>
      <c r="AF499" s="1373"/>
      <c r="AG499" s="1373"/>
      <c r="AH499" s="1373"/>
      <c r="AI499" s="1373"/>
      <c r="AJ499" s="1373"/>
      <c r="AK499" s="1374"/>
      <c r="AZ499" s="3"/>
      <c r="BA499" s="3"/>
      <c r="BB499" s="3"/>
      <c r="BC499" s="3"/>
      <c r="BD499" s="3"/>
      <c r="BE499" s="3"/>
      <c r="BF499" s="3"/>
      <c r="BG499" s="3"/>
      <c r="BH499" s="3"/>
      <c r="BI499" s="3"/>
      <c r="BJ499" s="3"/>
      <c r="BK499" s="3"/>
      <c r="BL499" s="3"/>
      <c r="BM499" s="3"/>
      <c r="BN499" s="3"/>
      <c r="BO499" s="3"/>
      <c r="BP499" s="3"/>
      <c r="BQ499" s="3"/>
      <c r="BR499" s="3"/>
      <c r="BS499" s="3"/>
      <c r="BT499" s="3"/>
      <c r="BU499" s="3"/>
      <c r="BV499" s="271" t="s">
        <v>907</v>
      </c>
      <c r="BW499" s="389">
        <v>1540</v>
      </c>
      <c r="BX499" s="390">
        <v>1650</v>
      </c>
      <c r="BY499" s="389">
        <v>1980</v>
      </c>
      <c r="BZ499" s="390">
        <v>2286</v>
      </c>
      <c r="CA499" s="390">
        <v>2550</v>
      </c>
      <c r="CB499" s="391">
        <v>2812</v>
      </c>
      <c r="CC499" s="3"/>
      <c r="CD499" s="784">
        <v>1149</v>
      </c>
      <c r="CE499" s="784">
        <v>1157</v>
      </c>
      <c r="CF499" s="784">
        <v>1443</v>
      </c>
      <c r="CG499" s="784">
        <v>2033</v>
      </c>
      <c r="CH499" s="784">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2"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372" t="s">
        <v>1394</v>
      </c>
      <c r="AD500" s="1373"/>
      <c r="AE500" s="1373"/>
      <c r="AF500" s="1373"/>
      <c r="AG500" s="43" t="s">
        <v>1395</v>
      </c>
      <c r="AH500" s="1373" t="s">
        <v>1396</v>
      </c>
      <c r="AI500" s="1373"/>
      <c r="AJ500" s="1373"/>
      <c r="AK500" s="1374"/>
      <c r="AZ500" s="3"/>
      <c r="BA500" s="3"/>
      <c r="BB500" s="3"/>
      <c r="BC500" s="3"/>
      <c r="BD500" s="3"/>
      <c r="BE500" s="3"/>
      <c r="BF500" s="3"/>
      <c r="BG500" s="3"/>
      <c r="BH500" s="3"/>
      <c r="BI500" s="3"/>
      <c r="BJ500" s="3"/>
      <c r="BK500" s="3"/>
      <c r="BL500" s="3"/>
      <c r="BM500" s="3"/>
      <c r="BN500" s="3"/>
      <c r="BO500" s="3"/>
      <c r="BP500" s="3"/>
      <c r="BQ500" s="3"/>
      <c r="BR500" s="3"/>
      <c r="BS500" s="3"/>
      <c r="BT500" s="3"/>
      <c r="BU500" s="3"/>
      <c r="BV500" s="271" t="s">
        <v>909</v>
      </c>
      <c r="BW500" s="389">
        <v>1540</v>
      </c>
      <c r="BX500" s="390">
        <v>1650</v>
      </c>
      <c r="BY500" s="389">
        <v>1980</v>
      </c>
      <c r="BZ500" s="390">
        <v>2286</v>
      </c>
      <c r="CA500" s="390">
        <v>2550</v>
      </c>
      <c r="CB500" s="391">
        <v>2812</v>
      </c>
      <c r="CC500" s="3"/>
      <c r="CD500" s="784">
        <v>771</v>
      </c>
      <c r="CE500" s="784">
        <v>866</v>
      </c>
      <c r="CF500" s="784">
        <v>1138</v>
      </c>
      <c r="CG500" s="784">
        <v>1484</v>
      </c>
      <c r="CH500" s="784">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2" customHeight="1">
      <c r="B501" s="1403" t="s">
        <v>1397</v>
      </c>
      <c r="C501" s="1404"/>
      <c r="D501" s="1404"/>
      <c r="E501" s="1404"/>
      <c r="F501" s="1404"/>
      <c r="G501" s="1404"/>
      <c r="H501" s="1405"/>
      <c r="I501" s="35" t="s">
        <v>1398</v>
      </c>
      <c r="J501" s="35"/>
      <c r="K501" s="35"/>
      <c r="L501" s="35"/>
      <c r="M501" s="35"/>
      <c r="N501" s="35"/>
      <c r="O501" s="35"/>
      <c r="P501" s="35"/>
      <c r="Q501" s="35"/>
      <c r="R501" s="35"/>
      <c r="S501" s="35"/>
      <c r="T501" s="35"/>
      <c r="U501" s="35"/>
      <c r="V501" s="35"/>
      <c r="W501" s="35"/>
      <c r="AC501" s="1353">
        <v>5</v>
      </c>
      <c r="AD501" s="1354"/>
      <c r="AE501" s="1354"/>
      <c r="AF501" s="1354"/>
      <c r="AG501" s="13" t="s">
        <v>1395</v>
      </c>
      <c r="AH501" s="1351">
        <v>2021</v>
      </c>
      <c r="AI501" s="1351"/>
      <c r="AJ501" s="1351"/>
      <c r="AK501" s="1352"/>
      <c r="AZ501" s="3"/>
      <c r="BA501" s="3"/>
      <c r="BB501" s="3"/>
      <c r="BC501" s="3"/>
      <c r="BD501" s="3"/>
      <c r="BE501" s="3"/>
      <c r="BF501" s="3"/>
      <c r="BG501" s="3"/>
      <c r="BH501" s="3"/>
      <c r="BI501" s="3"/>
      <c r="BJ501" s="3"/>
      <c r="BK501" s="3"/>
      <c r="BL501" s="3"/>
      <c r="BM501" s="3"/>
      <c r="BN501" s="3"/>
      <c r="BO501" s="3"/>
      <c r="BP501" s="3"/>
      <c r="BQ501" s="3"/>
      <c r="BR501" s="3"/>
      <c r="BS501" s="3"/>
      <c r="BT501" s="3"/>
      <c r="BU501" s="3"/>
      <c r="BV501" s="271" t="s">
        <v>911</v>
      </c>
      <c r="BW501" s="389">
        <v>1546</v>
      </c>
      <c r="BX501" s="390">
        <v>1656</v>
      </c>
      <c r="BY501" s="389">
        <v>1986</v>
      </c>
      <c r="BZ501" s="390">
        <v>2296</v>
      </c>
      <c r="CA501" s="390">
        <v>2562</v>
      </c>
      <c r="CB501" s="391">
        <v>2826</v>
      </c>
      <c r="CC501" s="3"/>
      <c r="CD501" s="784">
        <v>950</v>
      </c>
      <c r="CE501" s="784">
        <v>1032</v>
      </c>
      <c r="CF501" s="784">
        <v>1352</v>
      </c>
      <c r="CG501" s="784">
        <v>1905</v>
      </c>
      <c r="CH501" s="784">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2" customHeight="1">
      <c r="B502" s="1406"/>
      <c r="C502" s="1407"/>
      <c r="D502" s="1407"/>
      <c r="E502" s="1407"/>
      <c r="F502" s="1407"/>
      <c r="G502" s="1407"/>
      <c r="H502" s="1408"/>
      <c r="I502" s="41" t="s">
        <v>1399</v>
      </c>
      <c r="J502" s="41"/>
      <c r="K502" s="41"/>
      <c r="L502" s="41"/>
      <c r="M502" s="41"/>
      <c r="N502" s="41"/>
      <c r="O502" s="41"/>
      <c r="P502" s="41"/>
      <c r="Q502" s="41"/>
      <c r="R502" s="41"/>
      <c r="S502" s="41"/>
      <c r="T502" s="41"/>
      <c r="U502" s="41"/>
      <c r="V502" s="41"/>
      <c r="W502" s="41"/>
      <c r="X502" s="41"/>
      <c r="Y502" s="41"/>
      <c r="Z502" s="41"/>
      <c r="AA502" s="41"/>
      <c r="AB502" s="41"/>
      <c r="AC502" s="1353">
        <v>11</v>
      </c>
      <c r="AD502" s="1354"/>
      <c r="AE502" s="1354"/>
      <c r="AF502" s="1354"/>
      <c r="AG502" s="31" t="s">
        <v>1395</v>
      </c>
      <c r="AH502" s="1351">
        <v>2018</v>
      </c>
      <c r="AI502" s="1351"/>
      <c r="AJ502" s="1351"/>
      <c r="AK502" s="1352"/>
      <c r="AZ502" s="3"/>
      <c r="BA502" s="3"/>
      <c r="BB502" s="3"/>
      <c r="BC502" s="3"/>
      <c r="BD502" s="3"/>
      <c r="BE502" s="3"/>
      <c r="BF502" s="3"/>
      <c r="BG502" s="3"/>
      <c r="BH502" s="3"/>
      <c r="BI502" s="3"/>
      <c r="BJ502" s="3"/>
      <c r="BK502" s="3"/>
      <c r="BL502" s="3"/>
      <c r="BM502" s="3"/>
      <c r="BN502" s="3"/>
      <c r="BO502" s="3"/>
      <c r="BP502" s="3"/>
      <c r="BQ502" s="3"/>
      <c r="BR502" s="3"/>
      <c r="BS502" s="3"/>
      <c r="BT502" s="3"/>
      <c r="BU502" s="3"/>
      <c r="BV502" s="271" t="s">
        <v>914</v>
      </c>
      <c r="BW502" s="389">
        <v>1540</v>
      </c>
      <c r="BX502" s="390">
        <v>1650</v>
      </c>
      <c r="BY502" s="389">
        <v>1980</v>
      </c>
      <c r="BZ502" s="390">
        <v>2286</v>
      </c>
      <c r="CA502" s="390">
        <v>2550</v>
      </c>
      <c r="CB502" s="391">
        <v>2812</v>
      </c>
      <c r="CC502" s="3"/>
      <c r="CD502" s="784">
        <v>872</v>
      </c>
      <c r="CE502" s="784">
        <v>1001</v>
      </c>
      <c r="CF502" s="784">
        <v>1286</v>
      </c>
      <c r="CG502" s="784">
        <v>1771</v>
      </c>
      <c r="CH502" s="784">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2" customHeight="1">
      <c r="B503" s="1403" t="s">
        <v>1400</v>
      </c>
      <c r="C503" s="1404"/>
      <c r="D503" s="1404"/>
      <c r="E503" s="1404"/>
      <c r="F503" s="1404"/>
      <c r="G503" s="1404"/>
      <c r="H503" s="1405"/>
      <c r="I503" s="35" t="s">
        <v>1401</v>
      </c>
      <c r="J503" s="35"/>
      <c r="K503" s="35"/>
      <c r="L503" s="35"/>
      <c r="M503" s="35"/>
      <c r="N503" s="35"/>
      <c r="O503" s="35"/>
      <c r="P503" s="35"/>
      <c r="Q503" s="35"/>
      <c r="R503" s="35"/>
      <c r="S503" s="35"/>
      <c r="T503" s="35"/>
      <c r="U503" s="35"/>
      <c r="V503" s="35"/>
      <c r="W503" s="35"/>
      <c r="AC503" s="1353" t="s">
        <v>299</v>
      </c>
      <c r="AD503" s="1354"/>
      <c r="AE503" s="1354"/>
      <c r="AF503" s="1354"/>
      <c r="AG503" s="13" t="s">
        <v>1395</v>
      </c>
      <c r="AH503" s="1351"/>
      <c r="AI503" s="1351"/>
      <c r="AJ503" s="1351"/>
      <c r="AK503" s="1352"/>
      <c r="AZ503" s="3"/>
      <c r="BA503" s="3"/>
      <c r="BB503" s="3"/>
      <c r="BC503" s="3"/>
      <c r="BD503" s="3"/>
      <c r="BE503" s="3"/>
      <c r="BF503" s="3"/>
      <c r="BG503" s="3"/>
      <c r="BH503" s="3"/>
      <c r="BI503" s="3"/>
      <c r="BJ503" s="3"/>
      <c r="BK503" s="3"/>
      <c r="BL503" s="3"/>
      <c r="BM503" s="3"/>
      <c r="BN503" s="3"/>
      <c r="BO503" s="3"/>
      <c r="BP503" s="3"/>
      <c r="BQ503" s="3"/>
      <c r="BR503" s="3"/>
      <c r="BS503" s="3"/>
      <c r="BT503" s="3"/>
      <c r="BU503" s="3"/>
      <c r="BV503" s="271" t="s">
        <v>916</v>
      </c>
      <c r="BW503" s="389">
        <v>1540</v>
      </c>
      <c r="BX503" s="390">
        <v>1650</v>
      </c>
      <c r="BY503" s="389">
        <v>1980</v>
      </c>
      <c r="BZ503" s="390">
        <v>2286</v>
      </c>
      <c r="CA503" s="390">
        <v>2550</v>
      </c>
      <c r="CB503" s="391">
        <v>2812</v>
      </c>
      <c r="CC503" s="3"/>
      <c r="CD503" s="784">
        <v>924</v>
      </c>
      <c r="CE503" s="784">
        <v>1079</v>
      </c>
      <c r="CF503" s="784">
        <v>1363</v>
      </c>
      <c r="CG503" s="784">
        <v>1648</v>
      </c>
      <c r="CH503" s="784">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2" customHeight="1">
      <c r="B504" s="1406"/>
      <c r="C504" s="1407"/>
      <c r="D504" s="1407"/>
      <c r="E504" s="1407"/>
      <c r="F504" s="1407"/>
      <c r="G504" s="1407"/>
      <c r="H504" s="1408"/>
      <c r="I504" t="s">
        <v>1402</v>
      </c>
      <c r="AC504" s="1353" t="s">
        <v>299</v>
      </c>
      <c r="AD504" s="1354"/>
      <c r="AE504" s="1354"/>
      <c r="AF504" s="1354"/>
      <c r="AG504" s="13" t="s">
        <v>1395</v>
      </c>
      <c r="AH504" s="1351"/>
      <c r="AI504" s="1351"/>
      <c r="AJ504" s="1351"/>
      <c r="AK504" s="1352"/>
      <c r="AZ504" s="3"/>
      <c r="BA504" s="3"/>
      <c r="BB504" s="3"/>
      <c r="BC504" s="3"/>
      <c r="BD504" s="3"/>
      <c r="BE504" s="3"/>
      <c r="BF504" s="3"/>
      <c r="BG504" s="3"/>
      <c r="BH504" s="3"/>
      <c r="BI504" s="3"/>
      <c r="BJ504" s="3"/>
      <c r="BK504" s="3"/>
      <c r="BL504" s="3"/>
      <c r="BM504" s="3"/>
      <c r="BN504" s="3"/>
      <c r="BO504" s="3"/>
      <c r="BP504" s="3"/>
      <c r="BQ504" s="3"/>
      <c r="BR504" s="3"/>
      <c r="BS504" s="3"/>
      <c r="BT504" s="3"/>
      <c r="BU504" s="3"/>
      <c r="BV504" s="271" t="s">
        <v>918</v>
      </c>
      <c r="BW504" s="389">
        <v>1540</v>
      </c>
      <c r="BX504" s="390">
        <v>1650</v>
      </c>
      <c r="BY504" s="389">
        <v>1980</v>
      </c>
      <c r="BZ504" s="390">
        <v>2286</v>
      </c>
      <c r="CA504" s="390">
        <v>2550</v>
      </c>
      <c r="CB504" s="391">
        <v>2812</v>
      </c>
      <c r="CC504" s="3"/>
      <c r="CD504" s="784">
        <v>960</v>
      </c>
      <c r="CE504" s="784">
        <v>967</v>
      </c>
      <c r="CF504" s="784">
        <v>1258</v>
      </c>
      <c r="CG504" s="784">
        <v>1773</v>
      </c>
      <c r="CH504" s="784">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2" customHeight="1">
      <c r="B505" s="1406"/>
      <c r="C505" s="1407"/>
      <c r="D505" s="1407"/>
      <c r="E505" s="1407"/>
      <c r="F505" s="1407"/>
      <c r="G505" s="1407"/>
      <c r="H505" s="1408"/>
      <c r="I505" t="s">
        <v>1403</v>
      </c>
      <c r="AC505" s="1353" t="s">
        <v>299</v>
      </c>
      <c r="AD505" s="1354"/>
      <c r="AE505" s="1354"/>
      <c r="AF505" s="1354"/>
      <c r="AG505" s="13" t="s">
        <v>1395</v>
      </c>
      <c r="AH505" s="1351"/>
      <c r="AI505" s="1351"/>
      <c r="AJ505" s="1351"/>
      <c r="AK505" s="1352"/>
      <c r="AZ505" s="3"/>
      <c r="BA505" s="3"/>
      <c r="BB505" s="3"/>
      <c r="BC505" s="3"/>
      <c r="BD505" s="3"/>
      <c r="BE505" s="3"/>
      <c r="BF505" s="3"/>
      <c r="BG505" s="3"/>
      <c r="BH505" s="3"/>
      <c r="BI505" s="3"/>
      <c r="BJ505" s="3"/>
      <c r="BK505" s="3"/>
      <c r="BL505" s="3"/>
      <c r="BM505" s="3"/>
      <c r="BN505" s="3"/>
      <c r="BO505" s="3"/>
      <c r="BP505" s="3"/>
      <c r="BQ505" s="3"/>
      <c r="BR505" s="3"/>
      <c r="BS505" s="3"/>
      <c r="BT505" s="3"/>
      <c r="BU505" s="3"/>
      <c r="BV505" s="271" t="s">
        <v>921</v>
      </c>
      <c r="BW505" s="389">
        <v>1540</v>
      </c>
      <c r="BX505" s="390">
        <v>1650</v>
      </c>
      <c r="BY505" s="389">
        <v>1980</v>
      </c>
      <c r="BZ505" s="390">
        <v>2286</v>
      </c>
      <c r="CA505" s="390">
        <v>2550</v>
      </c>
      <c r="CB505" s="391">
        <v>2812</v>
      </c>
      <c r="CC505" s="3"/>
      <c r="CD505" s="784">
        <v>1080</v>
      </c>
      <c r="CE505" s="784">
        <v>1087</v>
      </c>
      <c r="CF505" s="784">
        <v>1371</v>
      </c>
      <c r="CG505" s="784">
        <v>1932</v>
      </c>
      <c r="CH505" s="784">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2" customHeight="1">
      <c r="B506" s="1406"/>
      <c r="C506" s="1407"/>
      <c r="D506" s="1407"/>
      <c r="E506" s="1407"/>
      <c r="F506" s="1407"/>
      <c r="G506" s="1407"/>
      <c r="H506" s="1408"/>
      <c r="I506" t="s">
        <v>1404</v>
      </c>
      <c r="AC506" s="1353">
        <v>6</v>
      </c>
      <c r="AD506" s="1354"/>
      <c r="AE506" s="1354"/>
      <c r="AF506" s="1354"/>
      <c r="AG506" s="13" t="s">
        <v>1395</v>
      </c>
      <c r="AH506" s="1351">
        <v>2025</v>
      </c>
      <c r="AI506" s="1351"/>
      <c r="AJ506" s="1351"/>
      <c r="AK506" s="1352"/>
      <c r="AZ506" s="3"/>
      <c r="BA506" s="3"/>
      <c r="BB506" s="3"/>
      <c r="BC506" s="3"/>
      <c r="BD506" s="3"/>
      <c r="BE506" s="3"/>
      <c r="BF506" s="3"/>
      <c r="BG506" s="3"/>
      <c r="BH506" s="3"/>
      <c r="BI506" s="3"/>
      <c r="BJ506" s="3"/>
      <c r="BK506" s="3"/>
      <c r="BL506" s="3"/>
      <c r="BM506" s="3"/>
      <c r="BN506" s="3"/>
      <c r="BO506" s="3"/>
      <c r="BP506" s="3"/>
      <c r="BQ506" s="3"/>
      <c r="BR506" s="3"/>
      <c r="BS506" s="3"/>
      <c r="BT506" s="3"/>
      <c r="BU506" s="3"/>
      <c r="BV506" s="271" t="s">
        <v>925</v>
      </c>
      <c r="BW506" s="389">
        <v>1540</v>
      </c>
      <c r="BX506" s="390">
        <v>1650</v>
      </c>
      <c r="BY506" s="389">
        <v>1980</v>
      </c>
      <c r="BZ506" s="390">
        <v>2286</v>
      </c>
      <c r="CA506" s="390">
        <v>2550</v>
      </c>
      <c r="CB506" s="391">
        <v>2812</v>
      </c>
      <c r="CC506" s="3"/>
      <c r="CD506" s="784">
        <v>928</v>
      </c>
      <c r="CE506" s="784">
        <v>964</v>
      </c>
      <c r="CF506" s="784">
        <v>1267</v>
      </c>
      <c r="CG506" s="784">
        <v>1785</v>
      </c>
      <c r="CH506" s="784">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2" customHeight="1">
      <c r="B507" s="1406"/>
      <c r="C507" s="1407"/>
      <c r="D507" s="1407"/>
      <c r="E507" s="1407"/>
      <c r="F507" s="1407"/>
      <c r="G507" s="1407"/>
      <c r="H507" s="1408"/>
      <c r="I507" s="3" t="s">
        <v>1405</v>
      </c>
      <c r="AC507" s="1314">
        <v>6</v>
      </c>
      <c r="AD507" s="1315"/>
      <c r="AE507" s="1315"/>
      <c r="AF507" s="1315"/>
      <c r="AG507" s="13" t="s">
        <v>1395</v>
      </c>
      <c r="AH507" s="1351">
        <v>2025</v>
      </c>
      <c r="AI507" s="1351"/>
      <c r="AJ507" s="1351"/>
      <c r="AK507" s="1352"/>
      <c r="AZ507" s="3"/>
      <c r="BA507" s="3"/>
      <c r="BB507" s="3"/>
      <c r="BC507" s="3"/>
      <c r="BD507" s="3"/>
      <c r="BE507" s="3"/>
      <c r="BF507" s="3"/>
      <c r="BG507" s="3"/>
      <c r="BH507" s="3"/>
      <c r="BI507" s="3"/>
      <c r="BJ507" s="3"/>
      <c r="BK507" s="3"/>
      <c r="BL507" s="3"/>
      <c r="BM507" s="3"/>
      <c r="BN507" s="3"/>
      <c r="BO507" s="3"/>
      <c r="BP507" s="3"/>
      <c r="BQ507" s="3"/>
      <c r="BR507" s="3"/>
      <c r="BS507" s="3"/>
      <c r="BT507" s="3"/>
      <c r="BU507" s="3"/>
      <c r="BV507" s="271" t="s">
        <v>930</v>
      </c>
      <c r="BW507" s="389">
        <v>1540</v>
      </c>
      <c r="BX507" s="390">
        <v>1650</v>
      </c>
      <c r="BY507" s="389">
        <v>1980</v>
      </c>
      <c r="BZ507" s="390">
        <v>2286</v>
      </c>
      <c r="CA507" s="390">
        <v>2550</v>
      </c>
      <c r="CB507" s="391">
        <v>2812</v>
      </c>
      <c r="CC507" s="3"/>
      <c r="CD507" s="784">
        <v>760</v>
      </c>
      <c r="CE507" s="784">
        <v>853</v>
      </c>
      <c r="CF507" s="784">
        <v>1121</v>
      </c>
      <c r="CG507" s="784">
        <v>1580</v>
      </c>
      <c r="CH507" s="784">
        <v>1789</v>
      </c>
      <c r="CI507" s="3"/>
      <c r="CJ507" s="3"/>
      <c r="CK507" s="3"/>
      <c r="CL507" s="3"/>
      <c r="CM507" s="3"/>
      <c r="CN507" s="3"/>
      <c r="CO507" s="3"/>
      <c r="CP507" s="3"/>
      <c r="CQ507" s="3"/>
      <c r="CR507" s="3"/>
      <c r="CS507" s="3"/>
      <c r="CT507" s="3"/>
    </row>
    <row r="508" spans="1:110" ht="13.2" customHeight="1">
      <c r="B508" s="1406"/>
      <c r="C508" s="1407"/>
      <c r="D508" s="1407"/>
      <c r="E508" s="1407"/>
      <c r="F508" s="1407"/>
      <c r="G508" s="1407"/>
      <c r="H508" s="1408"/>
      <c r="I508" s="817" t="s">
        <v>232</v>
      </c>
      <c r="J508" s="41"/>
      <c r="K508" s="41"/>
      <c r="L508" s="1355" t="s">
        <v>1406</v>
      </c>
      <c r="M508" s="1356"/>
      <c r="N508" s="1356"/>
      <c r="O508" s="1356"/>
      <c r="P508" s="1356"/>
      <c r="Q508" s="1356"/>
      <c r="R508" s="1356"/>
      <c r="S508" s="1356"/>
      <c r="T508" s="1356"/>
      <c r="U508" s="1356"/>
      <c r="V508" s="1356"/>
      <c r="W508" s="1356"/>
      <c r="X508" s="1356"/>
      <c r="Y508" s="1356"/>
      <c r="Z508" s="1356"/>
      <c r="AA508" s="1356"/>
      <c r="AB508" s="1431"/>
      <c r="AC508" s="1353"/>
      <c r="AD508" s="1354"/>
      <c r="AE508" s="1354"/>
      <c r="AF508" s="1354"/>
      <c r="AG508" s="31" t="s">
        <v>1395</v>
      </c>
      <c r="AH508" s="1351"/>
      <c r="AI508" s="1351"/>
      <c r="AJ508" s="1351"/>
      <c r="AK508" s="1352"/>
      <c r="AZ508" s="3"/>
      <c r="BA508" s="3"/>
      <c r="BB508" s="3"/>
      <c r="BC508" s="3"/>
      <c r="BD508" s="3"/>
      <c r="BE508" s="3"/>
      <c r="BF508" s="3"/>
      <c r="BG508" s="3"/>
      <c r="BH508" s="3"/>
      <c r="BI508" s="3"/>
      <c r="BJ508" s="3"/>
      <c r="BK508" s="3"/>
      <c r="BL508" s="3"/>
      <c r="BM508" s="3"/>
      <c r="BN508" s="3"/>
      <c r="BO508" s="3"/>
      <c r="BP508" s="3"/>
      <c r="BQ508" s="3"/>
      <c r="BR508" s="3"/>
      <c r="BS508" s="3"/>
      <c r="BT508" s="3"/>
      <c r="BU508" s="3"/>
      <c r="BV508" s="271" t="s">
        <v>934</v>
      </c>
      <c r="BW508" s="389">
        <v>2426</v>
      </c>
      <c r="BX508" s="390">
        <v>2600</v>
      </c>
      <c r="BY508" s="389">
        <v>3120</v>
      </c>
      <c r="BZ508" s="390">
        <v>3606</v>
      </c>
      <c r="CA508" s="390">
        <v>4022</v>
      </c>
      <c r="CB508" s="391">
        <v>4438</v>
      </c>
      <c r="CC508" s="3"/>
      <c r="CD508" s="784">
        <v>1777</v>
      </c>
      <c r="CE508" s="784">
        <v>2006</v>
      </c>
      <c r="CF508" s="784">
        <v>2544</v>
      </c>
      <c r="CG508" s="784">
        <v>3263</v>
      </c>
      <c r="CH508" s="784">
        <v>3600</v>
      </c>
      <c r="CI508" s="3"/>
      <c r="CJ508" s="3"/>
      <c r="CK508" s="3"/>
      <c r="CL508" s="3"/>
      <c r="CM508" s="3"/>
      <c r="CN508" s="3"/>
      <c r="CO508" s="3"/>
      <c r="CP508" s="3"/>
      <c r="CQ508" s="3"/>
      <c r="CR508" s="3"/>
      <c r="CS508" s="3"/>
      <c r="CT508" s="3"/>
    </row>
    <row r="509" spans="1:110" ht="13.2" customHeight="1">
      <c r="B509" s="794"/>
      <c r="C509" s="96"/>
      <c r="D509" s="96"/>
      <c r="E509" s="96"/>
      <c r="F509" s="96"/>
      <c r="G509" s="96"/>
      <c r="H509" s="795"/>
      <c r="I509" s="3" t="s">
        <v>1407</v>
      </c>
      <c r="AC509" s="1363" t="s">
        <v>1075</v>
      </c>
      <c r="AD509" s="1363"/>
      <c r="AE509" s="1363"/>
      <c r="AF509" s="1363"/>
      <c r="AG509" s="13"/>
      <c r="AH509" s="1257"/>
      <c r="AI509" s="1257"/>
      <c r="AJ509" s="1257"/>
      <c r="AK509" s="1468"/>
      <c r="AZ509" s="3"/>
      <c r="BA509" s="3"/>
      <c r="BB509" s="3"/>
      <c r="BC509" s="3"/>
      <c r="BD509" s="3"/>
      <c r="BE509" s="3"/>
      <c r="BF509" s="3"/>
      <c r="BG509" s="3"/>
      <c r="BH509" s="3"/>
      <c r="BI509" s="3"/>
      <c r="BJ509" s="3"/>
      <c r="BK509" s="3"/>
      <c r="BL509" s="3"/>
      <c r="BM509" s="3"/>
      <c r="BN509" s="3"/>
      <c r="BO509" s="3"/>
      <c r="BP509" s="3"/>
      <c r="BQ509" s="3"/>
      <c r="BR509" s="3"/>
      <c r="BS509" s="3"/>
      <c r="BT509" s="3"/>
      <c r="BU509" s="3"/>
      <c r="BV509" s="271" t="s">
        <v>941</v>
      </c>
      <c r="BW509" s="389">
        <v>1540</v>
      </c>
      <c r="BX509" s="390">
        <v>1650</v>
      </c>
      <c r="BY509" s="389">
        <v>1980</v>
      </c>
      <c r="BZ509" s="390">
        <v>2286</v>
      </c>
      <c r="CA509" s="390">
        <v>2550</v>
      </c>
      <c r="CB509" s="391">
        <v>2812</v>
      </c>
      <c r="CC509" s="3"/>
      <c r="CD509" s="784">
        <v>1083</v>
      </c>
      <c r="CE509" s="784">
        <v>1090</v>
      </c>
      <c r="CF509" s="784">
        <v>1432</v>
      </c>
      <c r="CG509" s="784">
        <v>1998</v>
      </c>
      <c r="CH509" s="784">
        <v>2208</v>
      </c>
      <c r="CI509" s="3"/>
      <c r="CJ509" s="3"/>
      <c r="CK509" s="3"/>
      <c r="CL509" s="3"/>
      <c r="CM509" s="3"/>
      <c r="CN509" s="3"/>
      <c r="CO509" s="3"/>
      <c r="CP509" s="3"/>
      <c r="CQ509" s="3"/>
      <c r="CR509" s="3"/>
      <c r="CS509" s="3"/>
      <c r="CT509" s="3"/>
    </row>
    <row r="510" spans="1:110" ht="13.2" customHeight="1">
      <c r="B510" s="794"/>
      <c r="C510" s="96"/>
      <c r="D510" s="96"/>
      <c r="E510" s="96"/>
      <c r="F510" s="96"/>
      <c r="G510" s="96"/>
      <c r="H510" s="795"/>
      <c r="I510" t="s">
        <v>1408</v>
      </c>
      <c r="AC510" s="1314"/>
      <c r="AD510" s="1315"/>
      <c r="AE510" s="1315"/>
      <c r="AF510" s="1316"/>
      <c r="AG510" s="13"/>
      <c r="AH510" s="1257"/>
      <c r="AI510" s="1257"/>
      <c r="AJ510" s="1257"/>
      <c r="AK510" s="1468"/>
      <c r="AZ510" s="3"/>
      <c r="BA510" s="3"/>
      <c r="BB510" s="3"/>
      <c r="BC510" s="3"/>
      <c r="BD510" s="3"/>
      <c r="BE510" s="3"/>
      <c r="BF510" s="3"/>
      <c r="BG510" s="3"/>
      <c r="BH510" s="3"/>
      <c r="BI510" s="3"/>
      <c r="BJ510" s="3"/>
      <c r="BK510" s="3"/>
      <c r="BL510" s="3"/>
      <c r="BM510" s="3"/>
      <c r="BN510" s="3"/>
      <c r="BO510" s="3"/>
      <c r="BP510" s="3"/>
      <c r="BQ510" s="3"/>
      <c r="BR510" s="3"/>
      <c r="BS510" s="3"/>
      <c r="BT510" s="3"/>
      <c r="BU510" s="3"/>
      <c r="BV510" s="271" t="s">
        <v>945</v>
      </c>
      <c r="BW510" s="389">
        <v>3426</v>
      </c>
      <c r="BX510" s="390">
        <v>3672</v>
      </c>
      <c r="BY510" s="389">
        <v>4406</v>
      </c>
      <c r="BZ510" s="390">
        <v>5090</v>
      </c>
      <c r="CA510" s="390">
        <v>5680</v>
      </c>
      <c r="CB510" s="391">
        <v>6266</v>
      </c>
      <c r="CC510" s="3"/>
      <c r="CD510" s="784">
        <v>2292</v>
      </c>
      <c r="CE510" s="784">
        <v>2818</v>
      </c>
      <c r="CF510" s="784">
        <v>3359</v>
      </c>
      <c r="CG510" s="784">
        <v>4112</v>
      </c>
      <c r="CH510" s="784">
        <v>4473</v>
      </c>
      <c r="CI510" s="3"/>
      <c r="CJ510" s="3"/>
      <c r="CK510" s="3"/>
      <c r="CL510" s="3"/>
      <c r="CM510" s="3"/>
      <c r="CN510" s="3"/>
      <c r="CO510" s="3"/>
      <c r="CP510" s="3"/>
      <c r="CQ510" s="3"/>
      <c r="CR510" s="3"/>
      <c r="CS510" s="3"/>
      <c r="CT510" s="3"/>
    </row>
    <row r="511" spans="1:110" ht="13.2" customHeight="1">
      <c r="B511" s="794"/>
      <c r="C511" s="96"/>
      <c r="D511" s="96"/>
      <c r="E511" s="96"/>
      <c r="F511" s="96"/>
      <c r="G511" s="96"/>
      <c r="H511" s="795"/>
      <c r="I511" t="s">
        <v>1409</v>
      </c>
      <c r="AC511" s="1143"/>
      <c r="AD511" s="1144"/>
      <c r="AE511" s="1144"/>
      <c r="AF511" s="1145"/>
      <c r="AG511" s="13"/>
      <c r="AH511" s="1"/>
      <c r="AI511" s="1"/>
      <c r="AJ511" s="1"/>
      <c r="AK511" s="925"/>
      <c r="AZ511" s="3"/>
      <c r="BA511" s="3"/>
      <c r="BB511" s="3"/>
      <c r="BC511" s="3"/>
      <c r="BD511" s="3"/>
      <c r="BE511" s="3"/>
      <c r="BF511" s="3"/>
      <c r="BG511" s="3"/>
      <c r="BH511" s="3"/>
      <c r="BI511" s="3"/>
      <c r="BJ511" s="3"/>
      <c r="BK511" s="3"/>
      <c r="BL511" s="3"/>
      <c r="BM511" s="3"/>
      <c r="BN511" s="3"/>
      <c r="BO511" s="3"/>
      <c r="BP511" s="3"/>
      <c r="BQ511" s="3"/>
      <c r="BR511" s="3"/>
      <c r="BS511" s="3"/>
      <c r="BT511" s="3"/>
      <c r="BU511" s="3"/>
      <c r="BV511" s="271" t="s">
        <v>949</v>
      </c>
      <c r="BW511" s="389">
        <v>1540</v>
      </c>
      <c r="BX511" s="390">
        <v>1650</v>
      </c>
      <c r="BY511" s="389">
        <v>1980</v>
      </c>
      <c r="BZ511" s="390">
        <v>2286</v>
      </c>
      <c r="CA511" s="390">
        <v>2550</v>
      </c>
      <c r="CB511" s="391">
        <v>2812</v>
      </c>
      <c r="CC511" s="3"/>
      <c r="CD511" s="784">
        <v>891</v>
      </c>
      <c r="CE511" s="784">
        <v>1010</v>
      </c>
      <c r="CF511" s="784">
        <v>1218</v>
      </c>
      <c r="CG511" s="784">
        <v>1716</v>
      </c>
      <c r="CH511" s="784">
        <v>2067</v>
      </c>
      <c r="CI511" s="3"/>
      <c r="CJ511" s="3"/>
      <c r="CK511" s="3"/>
      <c r="CL511" s="3"/>
      <c r="CM511" s="3"/>
      <c r="CN511" s="3"/>
      <c r="CO511" s="3"/>
      <c r="CP511" s="3"/>
      <c r="CQ511" s="3"/>
      <c r="CR511" s="3"/>
      <c r="CS511" s="3"/>
      <c r="CT511" s="3"/>
    </row>
    <row r="512" spans="1:110" ht="13.2" customHeight="1">
      <c r="B512" s="794"/>
      <c r="C512" s="96"/>
      <c r="D512" s="96"/>
      <c r="E512" s="96"/>
      <c r="F512" s="96"/>
      <c r="G512" s="96"/>
      <c r="H512" s="795"/>
      <c r="I512" s="818" t="s">
        <v>1410</v>
      </c>
      <c r="J512" s="41"/>
      <c r="K512" s="41"/>
      <c r="L512" s="41"/>
      <c r="M512" s="41"/>
      <c r="N512" s="41"/>
      <c r="O512" s="41"/>
      <c r="P512" s="41"/>
      <c r="Q512" s="41"/>
      <c r="R512" s="41"/>
      <c r="S512" s="41"/>
      <c r="T512" s="41"/>
      <c r="U512" s="41"/>
      <c r="V512" s="41"/>
      <c r="W512" s="41"/>
      <c r="X512" s="41"/>
      <c r="Y512" s="41"/>
      <c r="Z512" s="41"/>
      <c r="AA512" s="41"/>
      <c r="AB512" s="41"/>
      <c r="AC512" s="1470"/>
      <c r="AD512" s="1471"/>
      <c r="AE512" s="1471"/>
      <c r="AF512" s="1472"/>
      <c r="AG512" s="31"/>
      <c r="AH512" s="1432"/>
      <c r="AI512" s="1432"/>
      <c r="AJ512" s="1432"/>
      <c r="AK512" s="1433"/>
      <c r="AZ512" s="3"/>
      <c r="BA512" s="3"/>
      <c r="BB512" s="3"/>
      <c r="BC512" s="3"/>
      <c r="BD512" s="3"/>
      <c r="BE512" s="3"/>
      <c r="BF512" s="3"/>
      <c r="BG512" s="3"/>
      <c r="BH512" s="3"/>
      <c r="BI512" s="3"/>
      <c r="BJ512" s="3"/>
      <c r="BK512" s="3"/>
      <c r="BL512" s="3"/>
      <c r="BM512" s="3"/>
      <c r="BN512" s="3" t="s">
        <v>1075</v>
      </c>
      <c r="BO512" s="3"/>
      <c r="BP512" s="3"/>
      <c r="BQ512" s="3"/>
      <c r="BR512" s="3"/>
      <c r="BS512" s="3"/>
      <c r="BT512" s="3"/>
      <c r="BU512" s="3"/>
      <c r="BV512" s="271" t="s">
        <v>951</v>
      </c>
      <c r="BW512" s="389">
        <v>1582</v>
      </c>
      <c r="BX512" s="390">
        <v>1696</v>
      </c>
      <c r="BY512" s="389">
        <v>2034</v>
      </c>
      <c r="BZ512" s="390">
        <v>2350</v>
      </c>
      <c r="CA512" s="390">
        <v>2622</v>
      </c>
      <c r="CB512" s="391">
        <v>2892</v>
      </c>
      <c r="CC512" s="3"/>
      <c r="CD512" s="784">
        <v>1119</v>
      </c>
      <c r="CE512" s="784">
        <v>1132</v>
      </c>
      <c r="CF512" s="784">
        <v>1488</v>
      </c>
      <c r="CG512" s="784">
        <v>2097</v>
      </c>
      <c r="CH512" s="784">
        <v>2525</v>
      </c>
      <c r="CI512" s="3"/>
      <c r="CJ512" s="3"/>
      <c r="CK512" s="3"/>
      <c r="CL512" s="3"/>
      <c r="CM512" s="3"/>
      <c r="CN512" s="3"/>
      <c r="CO512" s="3"/>
      <c r="CP512" s="3"/>
      <c r="CQ512" s="3"/>
      <c r="CR512" s="3"/>
      <c r="CS512" s="3"/>
      <c r="CT512" s="3"/>
    </row>
    <row r="513" spans="2:110" ht="13.2" customHeight="1">
      <c r="B513" s="794"/>
      <c r="C513" s="96"/>
      <c r="D513" s="96"/>
      <c r="E513" s="96"/>
      <c r="F513" s="96"/>
      <c r="G513" s="96"/>
      <c r="H513" s="795"/>
      <c r="I513" s="3"/>
      <c r="L513" s="8"/>
      <c r="M513" s="8"/>
      <c r="N513" s="8"/>
      <c r="O513" s="8"/>
      <c r="P513" s="8"/>
      <c r="Q513" s="8"/>
      <c r="R513" s="8"/>
      <c r="S513" s="8"/>
      <c r="T513" s="8"/>
      <c r="U513" s="8"/>
      <c r="V513" s="8"/>
      <c r="W513" s="8"/>
      <c r="X513" s="926"/>
      <c r="Y513" s="926"/>
      <c r="Z513" s="926"/>
      <c r="AA513" s="926"/>
      <c r="AB513" s="931"/>
      <c r="AC513" s="1469" t="s">
        <v>1394</v>
      </c>
      <c r="AD513" s="1429"/>
      <c r="AE513" s="1429"/>
      <c r="AF513" s="1429"/>
      <c r="AG513" s="31" t="s">
        <v>1395</v>
      </c>
      <c r="AH513" s="1429" t="s">
        <v>1396</v>
      </c>
      <c r="AI513" s="1429"/>
      <c r="AJ513" s="1429"/>
      <c r="AK513" s="1430"/>
      <c r="AZ513" s="3"/>
      <c r="BA513" s="3"/>
      <c r="BB513" s="3"/>
      <c r="BC513" s="3"/>
      <c r="BD513" s="3"/>
      <c r="BE513" s="3"/>
      <c r="BF513" s="3"/>
      <c r="BG513" s="3"/>
      <c r="BH513" s="3"/>
      <c r="BI513" s="3"/>
      <c r="BJ513" s="3"/>
      <c r="BK513" s="3"/>
      <c r="BL513" s="3"/>
      <c r="BM513" s="3"/>
      <c r="BN513" s="3" t="s">
        <v>1411</v>
      </c>
      <c r="BO513" s="3"/>
      <c r="BP513" s="3"/>
      <c r="BQ513" s="3"/>
      <c r="BR513" s="3"/>
      <c r="BS513" s="3"/>
      <c r="BT513" s="3"/>
      <c r="BU513" s="3"/>
      <c r="BV513" s="271" t="s">
        <v>954</v>
      </c>
      <c r="BW513" s="389">
        <v>1540</v>
      </c>
      <c r="BX513" s="390">
        <v>1650</v>
      </c>
      <c r="BY513" s="389">
        <v>1980</v>
      </c>
      <c r="BZ513" s="390">
        <v>2286</v>
      </c>
      <c r="CA513" s="390">
        <v>2550</v>
      </c>
      <c r="CB513" s="391">
        <v>2812</v>
      </c>
      <c r="CC513" s="3"/>
      <c r="CD513" s="784">
        <v>994</v>
      </c>
      <c r="CE513" s="784">
        <v>1159</v>
      </c>
      <c r="CF513" s="784">
        <v>1420</v>
      </c>
      <c r="CG513" s="784">
        <v>1995</v>
      </c>
      <c r="CH513" s="784">
        <v>2410</v>
      </c>
      <c r="CI513" s="3"/>
      <c r="CJ513" s="3"/>
      <c r="CK513" s="3"/>
      <c r="CL513" s="3"/>
      <c r="CM513" s="3"/>
      <c r="CN513" s="3"/>
      <c r="CO513" s="3"/>
      <c r="CP513" s="3"/>
      <c r="CQ513" s="3"/>
      <c r="CR513" s="3"/>
      <c r="CS513" s="3"/>
      <c r="CT513" s="3"/>
    </row>
    <row r="514" spans="2:110" ht="13.2" customHeight="1">
      <c r="B514" s="1403" t="s">
        <v>1412</v>
      </c>
      <c r="C514" s="1404"/>
      <c r="D514" s="1404"/>
      <c r="E514" s="1404"/>
      <c r="F514" s="1404"/>
      <c r="G514" s="1404"/>
      <c r="H514" s="1405"/>
      <c r="I514" s="35" t="s">
        <v>1413</v>
      </c>
      <c r="J514" s="35"/>
      <c r="K514" s="35"/>
      <c r="L514" s="35"/>
      <c r="M514" s="35"/>
      <c r="N514" s="35"/>
      <c r="O514" s="35"/>
      <c r="P514" s="35"/>
      <c r="Q514" s="35"/>
      <c r="R514" s="35"/>
      <c r="S514" s="35"/>
      <c r="T514" s="35"/>
      <c r="U514" s="35"/>
      <c r="V514" s="35"/>
      <c r="W514" s="35"/>
      <c r="AC514" s="1353">
        <v>8</v>
      </c>
      <c r="AD514" s="1354"/>
      <c r="AE514" s="1354"/>
      <c r="AF514" s="1354"/>
      <c r="AG514" s="13" t="s">
        <v>1395</v>
      </c>
      <c r="AH514" s="1351">
        <v>2024</v>
      </c>
      <c r="AI514" s="1351"/>
      <c r="AJ514" s="1351"/>
      <c r="AK514" s="1352"/>
      <c r="AZ514" s="3"/>
      <c r="BA514" s="3"/>
      <c r="BB514" s="3"/>
      <c r="BC514" s="3"/>
      <c r="BD514" s="3"/>
      <c r="BE514" s="3"/>
      <c r="BF514" s="3"/>
      <c r="BG514" s="3"/>
      <c r="BH514" s="3"/>
      <c r="BI514" s="3"/>
      <c r="BJ514" s="3"/>
      <c r="BK514" s="3"/>
      <c r="BL514" s="3"/>
      <c r="BM514" s="3"/>
      <c r="BN514" s="3" t="s">
        <v>1414</v>
      </c>
      <c r="BO514" s="3"/>
      <c r="BP514" s="3"/>
      <c r="BQ514" s="3"/>
      <c r="BR514" s="3"/>
      <c r="BS514" s="3"/>
      <c r="BT514" s="3"/>
      <c r="BU514" s="3"/>
      <c r="BV514" s="271" t="s">
        <v>957</v>
      </c>
      <c r="BW514" s="389">
        <v>1540</v>
      </c>
      <c r="BX514" s="390">
        <v>1650</v>
      </c>
      <c r="BY514" s="389">
        <v>1980</v>
      </c>
      <c r="BZ514" s="390">
        <v>2286</v>
      </c>
      <c r="CA514" s="390">
        <v>2550</v>
      </c>
      <c r="CB514" s="391">
        <v>2812</v>
      </c>
      <c r="CC514" s="3"/>
      <c r="CD514" s="784">
        <v>660</v>
      </c>
      <c r="CE514" s="784">
        <v>802</v>
      </c>
      <c r="CF514" s="784">
        <v>958</v>
      </c>
      <c r="CG514" s="784">
        <v>1158</v>
      </c>
      <c r="CH514" s="784">
        <v>1572</v>
      </c>
      <c r="CI514" s="3"/>
      <c r="CJ514" s="3"/>
      <c r="CK514" s="3"/>
      <c r="CL514" s="3"/>
      <c r="CM514" s="3"/>
      <c r="CN514" s="3"/>
      <c r="CO514" s="3"/>
      <c r="CP514" s="3"/>
      <c r="CQ514" s="3"/>
      <c r="CR514" s="3"/>
      <c r="CS514" s="3"/>
      <c r="CT514" s="3"/>
    </row>
    <row r="515" spans="2:110" ht="13.2" customHeight="1">
      <c r="B515" s="1406"/>
      <c r="C515" s="1407"/>
      <c r="D515" s="1407"/>
      <c r="E515" s="1407"/>
      <c r="F515" s="1407"/>
      <c r="G515" s="1407"/>
      <c r="H515" s="1408"/>
      <c r="I515" t="s">
        <v>1415</v>
      </c>
      <c r="AC515" s="1353">
        <v>8</v>
      </c>
      <c r="AD515" s="1354"/>
      <c r="AE515" s="1354"/>
      <c r="AF515" s="1354"/>
      <c r="AG515" s="13" t="s">
        <v>1395</v>
      </c>
      <c r="AH515" s="1351">
        <v>2024</v>
      </c>
      <c r="AI515" s="1351"/>
      <c r="AJ515" s="1351"/>
      <c r="AK515" s="1352"/>
      <c r="AZ515" s="3"/>
      <c r="BA515" s="3"/>
      <c r="BB515" s="3"/>
      <c r="BC515" s="3"/>
      <c r="BD515" s="3"/>
      <c r="BE515" s="3"/>
      <c r="BF515" s="3"/>
      <c r="BG515" s="3"/>
      <c r="BH515" s="3"/>
      <c r="BI515" s="3"/>
      <c r="BJ515" s="3"/>
      <c r="BK515" s="3"/>
      <c r="BL515" s="3"/>
      <c r="BM515" s="3"/>
      <c r="BN515" s="3" t="s">
        <v>1416</v>
      </c>
      <c r="BO515" s="3"/>
      <c r="BP515" s="3"/>
      <c r="BQ515" s="3"/>
      <c r="BR515" s="3"/>
      <c r="BS515" s="3"/>
      <c r="BT515" s="3"/>
      <c r="BU515" s="3"/>
      <c r="BV515" s="271" t="s">
        <v>959</v>
      </c>
      <c r="BW515" s="389">
        <v>1634</v>
      </c>
      <c r="BX515" s="390">
        <v>1752</v>
      </c>
      <c r="BY515" s="389">
        <v>2102</v>
      </c>
      <c r="BZ515" s="390">
        <v>2430</v>
      </c>
      <c r="CA515" s="390">
        <v>2710</v>
      </c>
      <c r="CB515" s="391">
        <v>2990</v>
      </c>
      <c r="CC515" s="3"/>
      <c r="CD515" s="784">
        <v>1000</v>
      </c>
      <c r="CE515" s="784">
        <v>1292</v>
      </c>
      <c r="CF515" s="784">
        <v>1450</v>
      </c>
      <c r="CG515" s="784">
        <v>2043</v>
      </c>
      <c r="CH515" s="784">
        <v>2380</v>
      </c>
      <c r="CI515" s="3"/>
      <c r="CJ515" s="3"/>
      <c r="CK515" s="3"/>
      <c r="CL515" s="3"/>
      <c r="CM515" s="3"/>
      <c r="CN515" s="3"/>
      <c r="CO515" s="3"/>
      <c r="CP515" s="3"/>
      <c r="CQ515" s="3"/>
      <c r="CR515" s="3"/>
      <c r="CS515" s="3"/>
      <c r="CT515" s="3"/>
    </row>
    <row r="516" spans="2:110" ht="13.2" customHeight="1">
      <c r="B516" s="1406"/>
      <c r="C516" s="1407"/>
      <c r="D516" s="1407"/>
      <c r="E516" s="1407"/>
      <c r="F516" s="1407"/>
      <c r="G516" s="1407"/>
      <c r="H516" s="1408"/>
      <c r="I516" s="41" t="s">
        <v>1417</v>
      </c>
      <c r="J516" s="41"/>
      <c r="K516" s="41"/>
      <c r="L516" s="41"/>
      <c r="M516" s="41"/>
      <c r="N516" s="41"/>
      <c r="O516" s="41"/>
      <c r="P516" s="41"/>
      <c r="Q516" s="41"/>
      <c r="R516" s="41"/>
      <c r="S516" s="41"/>
      <c r="T516" s="41"/>
      <c r="U516" s="41"/>
      <c r="V516" s="41"/>
      <c r="W516" s="41"/>
      <c r="X516" s="41"/>
      <c r="Y516" s="41"/>
      <c r="Z516" s="41"/>
      <c r="AA516" s="41"/>
      <c r="AB516" s="41"/>
      <c r="AC516" s="1353">
        <v>6</v>
      </c>
      <c r="AD516" s="1354"/>
      <c r="AE516" s="1354"/>
      <c r="AF516" s="1354"/>
      <c r="AG516" s="31" t="s">
        <v>1395</v>
      </c>
      <c r="AH516" s="1351">
        <v>2025</v>
      </c>
      <c r="AI516" s="1351"/>
      <c r="AJ516" s="1351"/>
      <c r="AK516" s="1352"/>
      <c r="AZ516" s="3"/>
      <c r="BA516" s="3"/>
      <c r="BB516" s="3"/>
      <c r="BC516" s="3"/>
      <c r="BD516" s="3"/>
      <c r="BE516" s="3"/>
      <c r="BF516" s="3"/>
      <c r="BG516" s="3"/>
      <c r="BH516" s="3"/>
      <c r="BI516" s="3"/>
      <c r="BJ516" s="3"/>
      <c r="BK516" s="3"/>
      <c r="BL516" s="3"/>
      <c r="BM516" s="3"/>
      <c r="BN516" s="3" t="s">
        <v>1418</v>
      </c>
      <c r="BO516" s="3"/>
      <c r="BP516" s="3"/>
      <c r="BQ516" s="3"/>
      <c r="BR516" s="3"/>
      <c r="BS516" s="3"/>
      <c r="BT516" s="3"/>
      <c r="BU516" s="3"/>
      <c r="BV516" s="271" t="s">
        <v>962</v>
      </c>
      <c r="BW516" s="389">
        <v>2316</v>
      </c>
      <c r="BX516" s="390">
        <v>2482</v>
      </c>
      <c r="BY516" s="389">
        <v>2980</v>
      </c>
      <c r="BZ516" s="390">
        <v>3442</v>
      </c>
      <c r="CA516" s="390">
        <v>3840</v>
      </c>
      <c r="CB516" s="391">
        <v>4236</v>
      </c>
      <c r="CC516" s="3"/>
      <c r="CD516" s="784">
        <v>2340</v>
      </c>
      <c r="CE516" s="784">
        <v>2367</v>
      </c>
      <c r="CF516" s="784">
        <v>2879</v>
      </c>
      <c r="CG516" s="784">
        <v>3990</v>
      </c>
      <c r="CH516" s="784">
        <v>4400</v>
      </c>
      <c r="CI516" s="3"/>
      <c r="CJ516" s="3"/>
      <c r="CK516" s="3"/>
      <c r="CL516" s="3"/>
      <c r="CM516" s="3"/>
      <c r="CN516" s="3"/>
      <c r="CO516" s="3"/>
      <c r="CP516" s="3"/>
      <c r="CQ516" s="3"/>
      <c r="CR516" s="3"/>
      <c r="CS516" s="3"/>
      <c r="CT516" s="3"/>
    </row>
    <row r="517" spans="2:110" ht="13.2" customHeight="1">
      <c r="B517" s="1403" t="s">
        <v>1419</v>
      </c>
      <c r="C517" s="1404"/>
      <c r="D517" s="1404"/>
      <c r="E517" s="1404"/>
      <c r="F517" s="1404"/>
      <c r="G517" s="1404"/>
      <c r="H517" s="1405"/>
      <c r="I517" s="35" t="s">
        <v>1413</v>
      </c>
      <c r="J517" s="35"/>
      <c r="K517" s="35"/>
      <c r="L517" s="35"/>
      <c r="M517" s="35"/>
      <c r="N517" s="35"/>
      <c r="O517" s="35"/>
      <c r="P517" s="35"/>
      <c r="Q517" s="35"/>
      <c r="R517" s="35"/>
      <c r="S517" s="35"/>
      <c r="T517" s="35"/>
      <c r="U517" s="35"/>
      <c r="V517" s="35"/>
      <c r="W517" s="35"/>
      <c r="X517" s="35"/>
      <c r="Y517" s="35"/>
      <c r="Z517" s="35"/>
      <c r="AA517" s="35"/>
      <c r="AB517" s="35"/>
      <c r="AC517" s="1314">
        <v>8</v>
      </c>
      <c r="AD517" s="1315"/>
      <c r="AE517" s="1315"/>
      <c r="AF517" s="1315"/>
      <c r="AG517" s="95" t="s">
        <v>1395</v>
      </c>
      <c r="AH517" s="1351">
        <v>2024</v>
      </c>
      <c r="AI517" s="1351"/>
      <c r="AJ517" s="1351"/>
      <c r="AK517" s="1352"/>
      <c r="AZ517" s="3"/>
      <c r="BB517" s="3"/>
      <c r="BC517" s="3"/>
      <c r="BD517" s="3"/>
      <c r="BE517" s="3"/>
      <c r="BF517" s="3"/>
      <c r="BG517" s="3"/>
      <c r="BH517" s="3"/>
      <c r="BI517" s="3"/>
      <c r="BJ517" s="3"/>
      <c r="BK517" s="3"/>
      <c r="BL517" s="3"/>
      <c r="BM517" s="3"/>
      <c r="BN517" s="3" t="s">
        <v>1420</v>
      </c>
      <c r="BO517" s="3"/>
      <c r="BP517" s="3"/>
      <c r="BQ517" s="3"/>
      <c r="BR517" s="3"/>
      <c r="BS517" s="3"/>
      <c r="BT517" s="3"/>
      <c r="BU517" s="3"/>
      <c r="BV517" s="271" t="s">
        <v>966</v>
      </c>
      <c r="BW517" s="389">
        <v>2570</v>
      </c>
      <c r="BX517" s="390">
        <v>2752</v>
      </c>
      <c r="BY517" s="389">
        <v>3304</v>
      </c>
      <c r="BZ517" s="390">
        <v>3816</v>
      </c>
      <c r="CA517" s="390">
        <v>4256</v>
      </c>
      <c r="CB517" s="391">
        <v>4698</v>
      </c>
      <c r="CC517" s="3"/>
      <c r="CD517" s="784">
        <v>1819</v>
      </c>
      <c r="CE517" s="784">
        <v>2043</v>
      </c>
      <c r="CF517" s="784">
        <v>2684</v>
      </c>
      <c r="CG517" s="784">
        <v>3634</v>
      </c>
      <c r="CH517" s="784">
        <v>3915</v>
      </c>
      <c r="CI517" s="3"/>
      <c r="CJ517" s="3"/>
      <c r="CK517" s="3"/>
      <c r="CL517" s="3"/>
      <c r="CM517" s="3"/>
      <c r="CN517" s="3"/>
      <c r="CO517" s="3"/>
      <c r="CP517" s="3"/>
      <c r="CQ517" s="3"/>
      <c r="CR517" s="3"/>
      <c r="CS517" s="3"/>
      <c r="CT517" s="3"/>
    </row>
    <row r="518" spans="2:110" ht="13.2" customHeight="1">
      <c r="B518" s="1406"/>
      <c r="C518" s="1407"/>
      <c r="D518" s="1407"/>
      <c r="E518" s="1407"/>
      <c r="F518" s="1407"/>
      <c r="G518" s="1407"/>
      <c r="H518" s="1408"/>
      <c r="I518" t="s">
        <v>1415</v>
      </c>
      <c r="AC518" s="1353">
        <v>8</v>
      </c>
      <c r="AD518" s="1354"/>
      <c r="AE518" s="1354"/>
      <c r="AF518" s="1354"/>
      <c r="AG518" s="13" t="s">
        <v>1395</v>
      </c>
      <c r="AH518" s="1351">
        <v>2024</v>
      </c>
      <c r="AI518" s="1351"/>
      <c r="AJ518" s="1351"/>
      <c r="AK518" s="1352"/>
      <c r="BB518" s="3"/>
      <c r="BC518" s="3"/>
      <c r="BD518" s="3"/>
      <c r="BE518" s="3"/>
      <c r="BF518" s="3"/>
      <c r="BG518" s="3"/>
      <c r="BH518" s="3"/>
      <c r="BI518" s="3"/>
      <c r="BJ518" s="3"/>
      <c r="BK518" s="3"/>
      <c r="BL518" s="3"/>
      <c r="BM518" s="3"/>
      <c r="BN518" s="3" t="s">
        <v>1421</v>
      </c>
      <c r="BO518" s="3"/>
      <c r="BP518" s="3"/>
      <c r="BQ518" s="3"/>
      <c r="BR518" s="3"/>
      <c r="BS518" s="3"/>
      <c r="BT518" s="3"/>
      <c r="BU518" s="3"/>
      <c r="BV518" s="271" t="s">
        <v>971</v>
      </c>
      <c r="BW518" s="389">
        <v>1824</v>
      </c>
      <c r="BX518" s="390">
        <v>1954</v>
      </c>
      <c r="BY518" s="389">
        <v>2344</v>
      </c>
      <c r="BZ518" s="390">
        <v>2710</v>
      </c>
      <c r="CA518" s="390">
        <v>3022</v>
      </c>
      <c r="CB518" s="391">
        <v>3336</v>
      </c>
      <c r="CC518" s="3"/>
      <c r="CD518" s="784">
        <v>1209</v>
      </c>
      <c r="CE518" s="784">
        <v>1217</v>
      </c>
      <c r="CF518" s="784">
        <v>1596</v>
      </c>
      <c r="CG518" s="784">
        <v>2249</v>
      </c>
      <c r="CH518" s="784">
        <v>2708</v>
      </c>
      <c r="CI518" s="3"/>
      <c r="CJ518" s="3"/>
      <c r="CK518" s="3"/>
      <c r="CL518" s="3"/>
      <c r="CM518" s="3"/>
      <c r="CN518" s="3"/>
      <c r="CO518" s="3"/>
      <c r="CP518" s="3"/>
      <c r="CQ518" s="3"/>
      <c r="CR518" s="3"/>
      <c r="CS518" s="3"/>
      <c r="CT518" s="3"/>
    </row>
    <row r="519" spans="2:110" ht="13.2" customHeight="1">
      <c r="B519" s="1437"/>
      <c r="C519" s="1438"/>
      <c r="D519" s="1438"/>
      <c r="E519" s="1438"/>
      <c r="F519" s="1438"/>
      <c r="G519" s="1438"/>
      <c r="H519" s="1439"/>
      <c r="I519" s="41" t="s">
        <v>1417</v>
      </c>
      <c r="J519" s="41"/>
      <c r="K519" s="41"/>
      <c r="L519" s="41"/>
      <c r="M519" s="41"/>
      <c r="N519" s="41"/>
      <c r="O519" s="41"/>
      <c r="P519" s="41"/>
      <c r="Q519" s="41"/>
      <c r="R519" s="41"/>
      <c r="S519" s="41"/>
      <c r="T519" s="41"/>
      <c r="U519" s="41"/>
      <c r="V519" s="41"/>
      <c r="W519" s="41"/>
      <c r="X519" s="41"/>
      <c r="Y519" s="41"/>
      <c r="Z519" s="41"/>
      <c r="AA519" s="41"/>
      <c r="AB519" s="41"/>
      <c r="AC519" s="1353">
        <v>6</v>
      </c>
      <c r="AD519" s="1354"/>
      <c r="AE519" s="1354"/>
      <c r="AF519" s="1354"/>
      <c r="AG519" s="31" t="s">
        <v>1395</v>
      </c>
      <c r="AH519" s="1351">
        <v>2028</v>
      </c>
      <c r="AI519" s="1351"/>
      <c r="AJ519" s="1351"/>
      <c r="AK519" s="1352"/>
      <c r="BB519" s="3"/>
      <c r="BC519" s="3"/>
      <c r="BD519" s="3"/>
      <c r="BE519" s="3"/>
      <c r="BF519" s="3"/>
      <c r="BG519" s="3"/>
      <c r="BH519" s="3"/>
      <c r="BI519" s="3"/>
      <c r="BJ519" s="3"/>
      <c r="BK519" s="3"/>
      <c r="BL519" s="3"/>
      <c r="BM519" s="3"/>
      <c r="BN519" s="3" t="s">
        <v>1422</v>
      </c>
      <c r="BO519" s="3"/>
      <c r="BP519" s="3"/>
      <c r="BQ519" s="3"/>
      <c r="BR519" s="3"/>
      <c r="BS519" s="3"/>
      <c r="BT519" s="3"/>
      <c r="BU519" s="3"/>
      <c r="BV519" s="271" t="s">
        <v>974</v>
      </c>
      <c r="BW519" s="389">
        <v>2762</v>
      </c>
      <c r="BX519" s="390">
        <v>2958</v>
      </c>
      <c r="BY519" s="389">
        <v>3552</v>
      </c>
      <c r="BZ519" s="390">
        <v>4102</v>
      </c>
      <c r="CA519" s="390">
        <v>4576</v>
      </c>
      <c r="CB519" s="391">
        <v>5050</v>
      </c>
      <c r="CC519" s="3"/>
      <c r="CD519" s="784">
        <v>2200</v>
      </c>
      <c r="CE519" s="784">
        <v>2344</v>
      </c>
      <c r="CF519" s="784">
        <v>2783</v>
      </c>
      <c r="CG519" s="784">
        <v>3769</v>
      </c>
      <c r="CH519" s="784">
        <v>4467</v>
      </c>
      <c r="CI519" s="3"/>
      <c r="CJ519" s="3"/>
      <c r="CK519" s="3"/>
      <c r="CL519" s="3"/>
      <c r="CM519" s="3"/>
      <c r="CN519" s="3"/>
      <c r="CO519" s="3"/>
      <c r="CP519" s="3"/>
      <c r="CQ519" s="3"/>
      <c r="CR519" s="3"/>
      <c r="CS519" s="3"/>
      <c r="CT519" s="3"/>
    </row>
    <row r="520" spans="2:110" ht="13.2" customHeight="1">
      <c r="B520" s="1403" t="s">
        <v>1423</v>
      </c>
      <c r="C520" s="1404"/>
      <c r="D520" s="1404"/>
      <c r="E520" s="1404"/>
      <c r="F520" s="1404"/>
      <c r="G520" s="1404"/>
      <c r="H520" s="1405"/>
      <c r="I520" s="34" t="s">
        <v>1424</v>
      </c>
      <c r="J520" s="35"/>
      <c r="K520" s="35"/>
      <c r="L520" s="35"/>
      <c r="M520" s="35"/>
      <c r="N520" s="35"/>
      <c r="O520" s="1355"/>
      <c r="P520" s="1356"/>
      <c r="Q520" s="1356"/>
      <c r="R520" s="1356"/>
      <c r="S520" s="1356"/>
      <c r="T520" s="1356"/>
      <c r="U520" s="1356"/>
      <c r="V520" s="1356"/>
      <c r="W520" s="1356"/>
      <c r="X520" s="1356"/>
      <c r="Y520" s="1356"/>
      <c r="Z520" s="1356"/>
      <c r="AA520" s="1356"/>
      <c r="AB520" s="51"/>
      <c r="AC520" s="1314" t="s">
        <v>299</v>
      </c>
      <c r="AD520" s="1315"/>
      <c r="AE520" s="1315"/>
      <c r="AF520" s="1315"/>
      <c r="AG520" s="95" t="s">
        <v>1395</v>
      </c>
      <c r="AH520" s="1351"/>
      <c r="AI520" s="1351"/>
      <c r="AJ520" s="1351"/>
      <c r="AK520" s="1352"/>
      <c r="AZ520" s="3"/>
      <c r="BB520" s="3"/>
      <c r="BC520" s="3"/>
      <c r="BD520" s="3"/>
      <c r="BE520" s="3"/>
      <c r="BF520" s="3"/>
      <c r="BG520" s="3"/>
      <c r="BH520" s="3"/>
      <c r="BI520" s="3"/>
      <c r="BJ520" s="3"/>
      <c r="BK520" s="3"/>
      <c r="BL520" s="3"/>
      <c r="BM520" s="3"/>
      <c r="BN520" s="3" t="s">
        <v>1426</v>
      </c>
      <c r="BO520" s="3"/>
      <c r="BP520" s="3"/>
      <c r="BQ520" s="3"/>
      <c r="BR520" s="3"/>
      <c r="BS520" s="3"/>
      <c r="BT520" s="3"/>
      <c r="BU520" s="3"/>
      <c r="BV520" s="271" t="s">
        <v>976</v>
      </c>
      <c r="BW520" s="389">
        <v>2064</v>
      </c>
      <c r="BX520" s="390">
        <v>2210</v>
      </c>
      <c r="BY520" s="389">
        <v>2652</v>
      </c>
      <c r="BZ520" s="390">
        <v>3064</v>
      </c>
      <c r="CA520" s="390">
        <v>3420</v>
      </c>
      <c r="CB520" s="391">
        <v>3772</v>
      </c>
      <c r="CC520" s="3"/>
      <c r="CD520" s="784">
        <v>1543</v>
      </c>
      <c r="CE520" s="784">
        <v>1666</v>
      </c>
      <c r="CF520" s="784">
        <v>2072</v>
      </c>
      <c r="CG520" s="784">
        <v>2884</v>
      </c>
      <c r="CH520" s="784">
        <v>3321</v>
      </c>
      <c r="CI520" s="3"/>
      <c r="CJ520" s="3"/>
      <c r="CK520" s="3"/>
      <c r="CL520" s="3"/>
      <c r="CM520" s="3"/>
      <c r="CN520" s="3"/>
      <c r="CO520" s="3"/>
      <c r="CP520" s="3"/>
      <c r="CQ520" s="3"/>
      <c r="CR520" s="3"/>
      <c r="CS520" s="3"/>
      <c r="CT520" s="3"/>
    </row>
    <row r="521" spans="2:110" ht="13.2" customHeight="1">
      <c r="B521" s="1406"/>
      <c r="C521" s="1407"/>
      <c r="D521" s="1407"/>
      <c r="E521" s="1407"/>
      <c r="F521" s="1407"/>
      <c r="G521" s="1407"/>
      <c r="H521" s="1408"/>
      <c r="I521" s="83" t="s">
        <v>43</v>
      </c>
      <c r="AB521" s="57"/>
      <c r="AC521" s="1353" t="s">
        <v>299</v>
      </c>
      <c r="AD521" s="1354"/>
      <c r="AE521" s="1354"/>
      <c r="AF521" s="1354"/>
      <c r="AG521" s="13" t="s">
        <v>1395</v>
      </c>
      <c r="AH521" s="1351"/>
      <c r="AI521" s="1351"/>
      <c r="AJ521" s="1351"/>
      <c r="AK521" s="1352"/>
      <c r="AZ521" s="3"/>
      <c r="BB521" s="3"/>
      <c r="BC521" s="3"/>
      <c r="BD521" s="3"/>
      <c r="BE521" s="3"/>
      <c r="BF521" s="3"/>
      <c r="BG521" s="3"/>
      <c r="BH521" s="3"/>
      <c r="BI521" s="3"/>
      <c r="BJ521" s="3"/>
      <c r="BK521" s="3"/>
      <c r="BL521" s="3"/>
      <c r="BM521" s="3"/>
      <c r="BN521" s="3" t="s">
        <v>1427</v>
      </c>
      <c r="BO521" s="3"/>
      <c r="BP521" s="3"/>
      <c r="BQ521" s="3"/>
      <c r="BR521" s="3"/>
      <c r="BS521" s="3"/>
      <c r="BT521" s="3"/>
      <c r="BU521" s="3"/>
      <c r="BV521" s="271" t="s">
        <v>978</v>
      </c>
      <c r="BW521" s="389">
        <v>1612</v>
      </c>
      <c r="BX521" s="390">
        <v>1726</v>
      </c>
      <c r="BY521" s="389">
        <v>2072</v>
      </c>
      <c r="BZ521" s="390">
        <v>2394</v>
      </c>
      <c r="CA521" s="390">
        <v>2672</v>
      </c>
      <c r="CB521" s="391">
        <v>2948</v>
      </c>
      <c r="CC521" s="3"/>
      <c r="CD521" s="784">
        <v>803</v>
      </c>
      <c r="CE521" s="784">
        <v>887</v>
      </c>
      <c r="CF521" s="784">
        <v>1165</v>
      </c>
      <c r="CG521" s="784">
        <v>1642</v>
      </c>
      <c r="CH521" s="784">
        <v>1867</v>
      </c>
      <c r="CI521" s="3"/>
      <c r="CJ521" s="3"/>
      <c r="CK521" s="3"/>
      <c r="CL521" s="3"/>
      <c r="CM521" s="3"/>
      <c r="CN521" s="3"/>
      <c r="CO521" s="3"/>
      <c r="CP521" s="3"/>
      <c r="CQ521" s="3"/>
      <c r="CR521" s="3"/>
      <c r="CS521" s="3"/>
      <c r="CT521" s="3"/>
    </row>
    <row r="522" spans="2:110" ht="13.2" customHeight="1">
      <c r="B522" s="1406"/>
      <c r="C522" s="1407"/>
      <c r="D522" s="1407"/>
      <c r="E522" s="1407"/>
      <c r="F522" s="1407"/>
      <c r="G522" s="1407"/>
      <c r="H522" s="1408"/>
      <c r="I522" s="40" t="s">
        <v>1428</v>
      </c>
      <c r="J522" s="41"/>
      <c r="K522" s="41"/>
      <c r="L522" s="41"/>
      <c r="M522" s="41"/>
      <c r="N522" s="41"/>
      <c r="O522" s="41"/>
      <c r="P522" s="41"/>
      <c r="Q522" s="41"/>
      <c r="R522" s="41"/>
      <c r="S522" s="41"/>
      <c r="T522" s="41"/>
      <c r="U522" s="41"/>
      <c r="V522" s="41"/>
      <c r="W522" s="41"/>
      <c r="X522" s="41"/>
      <c r="Y522" s="41"/>
      <c r="Z522" s="41"/>
      <c r="AA522" s="41"/>
      <c r="AB522" s="42"/>
      <c r="AC522" s="1353" t="s">
        <v>299</v>
      </c>
      <c r="AD522" s="1354"/>
      <c r="AE522" s="1354"/>
      <c r="AF522" s="1354"/>
      <c r="AG522" s="31" t="s">
        <v>1395</v>
      </c>
      <c r="AH522" s="1351"/>
      <c r="AI522" s="1351"/>
      <c r="AJ522" s="1351"/>
      <c r="AK522" s="1352"/>
      <c r="AZ522" s="3"/>
      <c r="BA522" s="3"/>
      <c r="BB522" s="3"/>
      <c r="BC522" s="3"/>
      <c r="BD522" s="3"/>
      <c r="BE522" s="3"/>
      <c r="BF522" s="3"/>
      <c r="BG522" s="3"/>
      <c r="BH522" s="3"/>
      <c r="BI522" s="3"/>
      <c r="BJ522" s="3"/>
      <c r="BK522" s="3"/>
      <c r="BL522" s="3"/>
      <c r="BM522" s="3"/>
      <c r="BN522" s="3" t="s">
        <v>1429</v>
      </c>
      <c r="BO522" s="3"/>
      <c r="BP522" s="3"/>
      <c r="BQ522" s="3"/>
      <c r="BR522" s="3"/>
      <c r="BS522" s="3"/>
      <c r="BT522" s="3"/>
      <c r="BU522" s="3"/>
      <c r="BV522" s="271" t="s">
        <v>982</v>
      </c>
      <c r="BW522" s="389">
        <v>1794</v>
      </c>
      <c r="BX522" s="390">
        <v>1922</v>
      </c>
      <c r="BY522" s="389">
        <v>2304</v>
      </c>
      <c r="BZ522" s="390">
        <v>2664</v>
      </c>
      <c r="CA522" s="390">
        <v>2972</v>
      </c>
      <c r="CB522" s="391">
        <v>3280</v>
      </c>
      <c r="CC522" s="3"/>
      <c r="CD522" s="784">
        <v>1517</v>
      </c>
      <c r="CE522" s="784">
        <v>1611</v>
      </c>
      <c r="CF522" s="784">
        <v>2010</v>
      </c>
      <c r="CG522" s="784">
        <v>2707</v>
      </c>
      <c r="CH522" s="784">
        <v>3304</v>
      </c>
      <c r="CI522" s="3"/>
      <c r="CJ522" s="3"/>
      <c r="CK522" s="3"/>
      <c r="CL522" s="3"/>
      <c r="CM522" s="3"/>
      <c r="CN522" s="3"/>
      <c r="CO522" s="3"/>
      <c r="CP522" s="3"/>
      <c r="CQ522" s="3"/>
      <c r="CR522" s="3"/>
      <c r="CS522" s="3"/>
      <c r="CT522" s="3"/>
    </row>
    <row r="523" spans="2:110" ht="13.2" customHeight="1">
      <c r="B523" s="1406"/>
      <c r="C523" s="1407"/>
      <c r="D523" s="1407"/>
      <c r="E523" s="1407"/>
      <c r="F523" s="1407"/>
      <c r="G523" s="1407"/>
      <c r="H523" s="1408"/>
      <c r="I523" s="35" t="s">
        <v>1430</v>
      </c>
      <c r="J523" s="35"/>
      <c r="K523" s="35"/>
      <c r="L523" s="35"/>
      <c r="M523" s="35"/>
      <c r="N523" s="35"/>
      <c r="O523" s="1355" t="s">
        <v>1431</v>
      </c>
      <c r="P523" s="1356"/>
      <c r="Q523" s="1356"/>
      <c r="R523" s="1356"/>
      <c r="S523" s="1356"/>
      <c r="T523" s="1356"/>
      <c r="U523" s="1356"/>
      <c r="V523" s="1356"/>
      <c r="W523" s="1356"/>
      <c r="X523" s="1356"/>
      <c r="Y523" s="1356"/>
      <c r="Z523" s="1356"/>
      <c r="AA523" s="1356"/>
      <c r="AC523" s="1353">
        <v>8</v>
      </c>
      <c r="AD523" s="1354"/>
      <c r="AE523" s="1354"/>
      <c r="AF523" s="1354"/>
      <c r="AG523" s="13" t="s">
        <v>1395</v>
      </c>
      <c r="AH523" s="1351">
        <v>2024</v>
      </c>
      <c r="AI523" s="1351"/>
      <c r="AJ523" s="1351"/>
      <c r="AK523" s="1352"/>
      <c r="AZ523" s="3"/>
      <c r="BA523" s="3"/>
      <c r="BB523" s="3"/>
      <c r="BC523" s="3"/>
      <c r="BD523" s="3"/>
      <c r="BE523" s="3"/>
      <c r="BF523" s="3"/>
      <c r="BG523" s="3"/>
      <c r="BH523" s="3"/>
      <c r="BI523" s="3"/>
      <c r="BJ523" s="3"/>
      <c r="BK523" s="3"/>
      <c r="BL523" s="3"/>
      <c r="BM523" s="3"/>
      <c r="BN523" s="3" t="s">
        <v>1432</v>
      </c>
      <c r="BO523" s="3"/>
      <c r="BP523" s="3"/>
      <c r="BQ523" s="3"/>
      <c r="BR523" s="3"/>
      <c r="BS523" s="3"/>
      <c r="BT523" s="3"/>
      <c r="BU523" s="3"/>
      <c r="BV523" s="271" t="s">
        <v>987</v>
      </c>
      <c r="BW523" s="389">
        <v>2064</v>
      </c>
      <c r="BX523" s="390">
        <v>2210</v>
      </c>
      <c r="BY523" s="389">
        <v>2652</v>
      </c>
      <c r="BZ523" s="390">
        <v>3064</v>
      </c>
      <c r="CA523" s="390">
        <v>3420</v>
      </c>
      <c r="CB523" s="391">
        <v>3772</v>
      </c>
      <c r="CC523" s="3"/>
      <c r="CD523" s="784">
        <v>1543</v>
      </c>
      <c r="CE523" s="784">
        <v>1666</v>
      </c>
      <c r="CF523" s="784">
        <v>2072</v>
      </c>
      <c r="CG523" s="784">
        <v>2884</v>
      </c>
      <c r="CH523" s="784">
        <v>3321</v>
      </c>
      <c r="CI523" s="3"/>
      <c r="CJ523" s="3"/>
      <c r="CK523" s="3"/>
      <c r="CL523" s="3"/>
      <c r="CM523" s="3"/>
      <c r="CN523" s="3"/>
      <c r="CO523" s="3"/>
      <c r="CP523" s="3"/>
      <c r="CQ523" s="3"/>
      <c r="CR523" s="3"/>
      <c r="CS523" s="3"/>
      <c r="CT523" s="3"/>
    </row>
    <row r="524" spans="2:110" ht="13.2" customHeight="1">
      <c r="B524" s="1406"/>
      <c r="C524" s="1407"/>
      <c r="D524" s="1407"/>
      <c r="E524" s="1407"/>
      <c r="F524" s="1407"/>
      <c r="G524" s="1407"/>
      <c r="H524" s="1408"/>
      <c r="I524" t="s">
        <v>43</v>
      </c>
      <c r="AC524" s="1353">
        <v>8</v>
      </c>
      <c r="AD524" s="1354"/>
      <c r="AE524" s="1354"/>
      <c r="AF524" s="1354"/>
      <c r="AG524" s="13" t="s">
        <v>1395</v>
      </c>
      <c r="AH524" s="1351">
        <v>2024</v>
      </c>
      <c r="AI524" s="1351"/>
      <c r="AJ524" s="1351"/>
      <c r="AK524" s="1352"/>
      <c r="AZ524" s="3"/>
      <c r="BA524" s="3"/>
      <c r="BB524" s="3"/>
      <c r="BC524" s="3"/>
      <c r="BD524" s="3"/>
      <c r="BE524" s="3"/>
      <c r="BF524" s="3"/>
      <c r="BG524" s="3"/>
      <c r="BH524" s="3"/>
      <c r="BI524" s="3"/>
      <c r="BJ524" s="3"/>
      <c r="BK524" s="3"/>
      <c r="BL524" s="3"/>
      <c r="BM524" s="3"/>
      <c r="BN524" s="3" t="s">
        <v>1433</v>
      </c>
      <c r="BO524" s="3"/>
      <c r="BP524" s="3"/>
      <c r="BQ524" s="3"/>
      <c r="BR524" s="3"/>
      <c r="BS524" s="3"/>
      <c r="BT524" s="3"/>
      <c r="BU524" s="3"/>
      <c r="BV524" s="271" t="s">
        <v>992</v>
      </c>
      <c r="BW524" s="389">
        <v>2142</v>
      </c>
      <c r="BX524" s="390">
        <v>2296</v>
      </c>
      <c r="BY524" s="389">
        <v>2754</v>
      </c>
      <c r="BZ524" s="390">
        <v>3182</v>
      </c>
      <c r="CA524" s="390">
        <v>3550</v>
      </c>
      <c r="CB524" s="391">
        <v>3916</v>
      </c>
      <c r="CC524" s="3"/>
      <c r="CD524" s="784">
        <v>1707</v>
      </c>
      <c r="CE524" s="784">
        <v>1917</v>
      </c>
      <c r="CF524" s="784">
        <v>2519</v>
      </c>
      <c r="CG524" s="784">
        <v>3550</v>
      </c>
      <c r="CH524" s="784">
        <v>4121</v>
      </c>
      <c r="CI524" s="3"/>
      <c r="CJ524" s="3"/>
      <c r="CK524" s="3"/>
      <c r="CL524" s="3"/>
      <c r="CM524" s="3"/>
      <c r="CN524" s="3"/>
      <c r="CO524" s="3"/>
      <c r="CP524" s="3"/>
      <c r="CQ524" s="3"/>
      <c r="CR524" s="3"/>
      <c r="CS524" s="3"/>
      <c r="CT524" s="3"/>
    </row>
    <row r="525" spans="2:110" ht="13.2" customHeight="1">
      <c r="B525" s="1406"/>
      <c r="C525" s="1407"/>
      <c r="D525" s="1407"/>
      <c r="E525" s="1407"/>
      <c r="F525" s="1407"/>
      <c r="G525" s="1407"/>
      <c r="H525" s="1408"/>
      <c r="I525" s="41" t="s">
        <v>1428</v>
      </c>
      <c r="J525" s="41"/>
      <c r="K525" s="41"/>
      <c r="L525" s="41"/>
      <c r="M525" s="41"/>
      <c r="N525" s="41"/>
      <c r="O525" s="41"/>
      <c r="P525" s="41"/>
      <c r="Q525" s="41"/>
      <c r="R525" s="41"/>
      <c r="S525" s="41"/>
      <c r="T525" s="41"/>
      <c r="U525" s="41"/>
      <c r="V525" s="41"/>
      <c r="W525" s="41"/>
      <c r="X525" s="41"/>
      <c r="Y525" s="41"/>
      <c r="Z525" s="41"/>
      <c r="AA525" s="41"/>
      <c r="AB525" s="41"/>
      <c r="AC525" s="1353">
        <v>6</v>
      </c>
      <c r="AD525" s="1354"/>
      <c r="AE525" s="1354"/>
      <c r="AF525" s="1354"/>
      <c r="AG525" s="31" t="s">
        <v>1395</v>
      </c>
      <c r="AH525" s="1351">
        <v>2028</v>
      </c>
      <c r="AI525" s="1351"/>
      <c r="AJ525" s="1351"/>
      <c r="AK525" s="1352"/>
      <c r="AZ525" s="3"/>
      <c r="BA525" s="3"/>
      <c r="BB525" s="3"/>
      <c r="BC525" s="3"/>
      <c r="BD525" s="3"/>
      <c r="BE525" s="3"/>
      <c r="BF525" s="3"/>
      <c r="BG525" s="3"/>
      <c r="BH525" s="3"/>
      <c r="BI525" s="3"/>
      <c r="BJ525" s="3"/>
      <c r="BK525" s="3"/>
      <c r="BL525" s="3"/>
      <c r="BM525" s="3"/>
      <c r="BN525" s="3" t="s">
        <v>1434</v>
      </c>
      <c r="BO525" s="3"/>
      <c r="BP525" s="3"/>
      <c r="BQ525" s="3"/>
      <c r="BR525" s="3"/>
      <c r="BS525" s="3"/>
      <c r="BT525" s="3"/>
      <c r="BU525" s="3"/>
      <c r="BV525" s="271" t="s">
        <v>996</v>
      </c>
      <c r="BW525" s="389">
        <v>1794</v>
      </c>
      <c r="BX525" s="390">
        <v>1922</v>
      </c>
      <c r="BY525" s="389">
        <v>2304</v>
      </c>
      <c r="BZ525" s="390">
        <v>2664</v>
      </c>
      <c r="CA525" s="390">
        <v>2972</v>
      </c>
      <c r="CB525" s="391">
        <v>3280</v>
      </c>
      <c r="CC525" s="3"/>
      <c r="CD525" s="784">
        <v>1517</v>
      </c>
      <c r="CE525" s="784">
        <v>1611</v>
      </c>
      <c r="CF525" s="784">
        <v>2010</v>
      </c>
      <c r="CG525" s="784">
        <v>2707</v>
      </c>
      <c r="CH525" s="784">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2" customHeight="1">
      <c r="B526" s="1406"/>
      <c r="C526" s="1407"/>
      <c r="D526" s="1407"/>
      <c r="E526" s="1407"/>
      <c r="F526" s="1407"/>
      <c r="G526" s="1407"/>
      <c r="H526" s="1408"/>
      <c r="I526" s="35" t="s">
        <v>1430</v>
      </c>
      <c r="J526" s="35"/>
      <c r="K526" s="35"/>
      <c r="L526" s="35"/>
      <c r="M526" s="35"/>
      <c r="N526" s="35"/>
      <c r="O526" s="1355" t="s">
        <v>1406</v>
      </c>
      <c r="P526" s="1356"/>
      <c r="Q526" s="1356"/>
      <c r="R526" s="1356"/>
      <c r="S526" s="1356"/>
      <c r="T526" s="1356"/>
      <c r="U526" s="1356"/>
      <c r="V526" s="1356"/>
      <c r="W526" s="1356"/>
      <c r="X526" s="1356"/>
      <c r="Y526" s="1356"/>
      <c r="Z526" s="1356"/>
      <c r="AA526" s="1356"/>
      <c r="AC526" s="1353" t="s">
        <v>299</v>
      </c>
      <c r="AD526" s="1354"/>
      <c r="AE526" s="1354"/>
      <c r="AF526" s="1354"/>
      <c r="AG526" s="13" t="s">
        <v>1395</v>
      </c>
      <c r="AH526" s="1351"/>
      <c r="AI526" s="1351"/>
      <c r="AJ526" s="1351"/>
      <c r="AK526" s="1352"/>
      <c r="AZ526" s="3"/>
      <c r="BA526" s="3"/>
      <c r="BB526" s="3"/>
      <c r="BC526" s="3"/>
      <c r="BD526" s="3"/>
      <c r="BE526" s="3"/>
      <c r="BF526" s="3"/>
      <c r="BG526" s="3"/>
      <c r="BH526" s="3"/>
      <c r="BI526" s="3"/>
      <c r="BJ526" s="3"/>
      <c r="BK526" s="3"/>
      <c r="BL526" s="3"/>
      <c r="BM526" s="3"/>
      <c r="BN526" s="3" t="s">
        <v>1435</v>
      </c>
      <c r="BO526" s="3"/>
      <c r="BP526" s="3"/>
      <c r="BQ526" s="3"/>
      <c r="BR526" s="3"/>
      <c r="BS526" s="3"/>
      <c r="BT526" s="3"/>
      <c r="BU526" s="3"/>
      <c r="BV526" s="271" t="s">
        <v>1001</v>
      </c>
      <c r="BW526" s="389">
        <v>2652</v>
      </c>
      <c r="BX526" s="390">
        <v>2840</v>
      </c>
      <c r="BY526" s="389">
        <v>3410</v>
      </c>
      <c r="BZ526" s="390">
        <v>3940</v>
      </c>
      <c r="CA526" s="390">
        <v>4394</v>
      </c>
      <c r="CB526" s="391">
        <v>4848</v>
      </c>
      <c r="CC526" s="3"/>
      <c r="CD526" s="784">
        <v>2062</v>
      </c>
      <c r="CE526" s="784">
        <v>2248</v>
      </c>
      <c r="CF526" s="784">
        <v>2833</v>
      </c>
      <c r="CG526" s="784">
        <v>3819</v>
      </c>
      <c r="CH526" s="784">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2" customHeight="1">
      <c r="B527" s="1406"/>
      <c r="C527" s="1407"/>
      <c r="D527" s="1407"/>
      <c r="E527" s="1407"/>
      <c r="F527" s="1407"/>
      <c r="G527" s="1407"/>
      <c r="H527" s="1408"/>
      <c r="I527" t="s">
        <v>43</v>
      </c>
      <c r="AC527" s="1353" t="s">
        <v>299</v>
      </c>
      <c r="AD527" s="1354"/>
      <c r="AE527" s="1354"/>
      <c r="AF527" s="1354"/>
      <c r="AG527" s="13" t="s">
        <v>1395</v>
      </c>
      <c r="AH527" s="1351"/>
      <c r="AI527" s="1351"/>
      <c r="AJ527" s="1351"/>
      <c r="AK527" s="1352"/>
      <c r="AZ527" s="3"/>
      <c r="BA527" s="3"/>
      <c r="BB527" s="3"/>
      <c r="BC527" s="3"/>
      <c r="BD527" s="3"/>
      <c r="BE527" s="3"/>
      <c r="BF527" s="3"/>
      <c r="BG527" s="3"/>
      <c r="BH527" s="3"/>
      <c r="BI527" s="3"/>
      <c r="BJ527" s="3"/>
      <c r="BK527" s="3"/>
      <c r="BL527" s="3"/>
      <c r="BM527" s="3"/>
      <c r="BN527" s="3" t="s">
        <v>1436</v>
      </c>
      <c r="BO527" s="3"/>
      <c r="BP527" s="3"/>
      <c r="BQ527" s="3"/>
      <c r="BR527" s="3"/>
      <c r="BS527" s="3"/>
      <c r="BT527" s="3"/>
      <c r="BU527" s="3"/>
      <c r="BV527" s="271" t="s">
        <v>1004</v>
      </c>
      <c r="BW527" s="389">
        <v>3426</v>
      </c>
      <c r="BX527" s="390">
        <v>3672</v>
      </c>
      <c r="BY527" s="389">
        <v>4406</v>
      </c>
      <c r="BZ527" s="390">
        <v>5090</v>
      </c>
      <c r="CA527" s="390">
        <v>5680</v>
      </c>
      <c r="CB527" s="391">
        <v>6266</v>
      </c>
      <c r="CC527" s="3"/>
      <c r="CD527" s="784">
        <v>2292</v>
      </c>
      <c r="CE527" s="784">
        <v>2818</v>
      </c>
      <c r="CF527" s="784">
        <v>3359</v>
      </c>
      <c r="CG527" s="784">
        <v>4112</v>
      </c>
      <c r="CH527" s="784">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2" customHeight="1">
      <c r="B528" s="1406"/>
      <c r="C528" s="1407"/>
      <c r="D528" s="1407"/>
      <c r="E528" s="1407"/>
      <c r="F528" s="1407"/>
      <c r="G528" s="1407"/>
      <c r="H528" s="1408"/>
      <c r="I528" s="41" t="s">
        <v>1428</v>
      </c>
      <c r="J528" s="41"/>
      <c r="K528" s="41"/>
      <c r="L528" s="41"/>
      <c r="M528" s="41"/>
      <c r="N528" s="41"/>
      <c r="O528" s="41"/>
      <c r="P528" s="41"/>
      <c r="Q528" s="41"/>
      <c r="R528" s="41"/>
      <c r="S528" s="41"/>
      <c r="T528" s="41"/>
      <c r="U528" s="41"/>
      <c r="V528" s="41"/>
      <c r="W528" s="41"/>
      <c r="X528" s="41"/>
      <c r="Y528" s="41"/>
      <c r="Z528" s="41"/>
      <c r="AA528" s="41"/>
      <c r="AB528" s="41"/>
      <c r="AC528" s="1353" t="s">
        <v>299</v>
      </c>
      <c r="AD528" s="1354"/>
      <c r="AE528" s="1354"/>
      <c r="AF528" s="1354"/>
      <c r="AG528" s="31" t="s">
        <v>1395</v>
      </c>
      <c r="AH528" s="1351"/>
      <c r="AI528" s="1351"/>
      <c r="AJ528" s="1351"/>
      <c r="AK528" s="1352"/>
      <c r="AZ528" s="3"/>
      <c r="BA528" s="3"/>
      <c r="BB528" s="3"/>
      <c r="BC528" s="3"/>
      <c r="BD528" s="3"/>
      <c r="BE528" s="3"/>
      <c r="BF528" s="3"/>
      <c r="BG528" s="3"/>
      <c r="BH528" s="3"/>
      <c r="BI528" s="3"/>
      <c r="BJ528" s="3"/>
      <c r="BK528" s="3"/>
      <c r="BL528" s="3"/>
      <c r="BM528" s="3"/>
      <c r="BN528" s="3" t="s">
        <v>1437</v>
      </c>
      <c r="BO528" s="3"/>
      <c r="BP528" s="3"/>
      <c r="BQ528" s="3"/>
      <c r="BR528" s="3"/>
      <c r="BS528" s="3"/>
      <c r="BT528" s="3"/>
      <c r="BU528" s="3"/>
      <c r="BV528" s="271" t="s">
        <v>1009</v>
      </c>
      <c r="BW528" s="389">
        <v>1686</v>
      </c>
      <c r="BX528" s="390">
        <v>1808</v>
      </c>
      <c r="BY528" s="389">
        <v>2170</v>
      </c>
      <c r="BZ528" s="390">
        <v>2506</v>
      </c>
      <c r="CA528" s="390">
        <v>2796</v>
      </c>
      <c r="CB528" s="391">
        <v>3086</v>
      </c>
      <c r="CC528" s="3"/>
      <c r="CD528" s="784">
        <v>1122</v>
      </c>
      <c r="CE528" s="784">
        <v>1245</v>
      </c>
      <c r="CF528" s="784">
        <v>1607</v>
      </c>
      <c r="CG528" s="784">
        <v>2265</v>
      </c>
      <c r="CH528" s="784">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2" customHeight="1">
      <c r="B529" s="1406"/>
      <c r="C529" s="1407"/>
      <c r="D529" s="1407"/>
      <c r="E529" s="1407"/>
      <c r="F529" s="1407"/>
      <c r="G529" s="1407"/>
      <c r="H529" s="1408"/>
      <c r="I529" s="35" t="s">
        <v>1430</v>
      </c>
      <c r="J529" s="35"/>
      <c r="K529" s="35"/>
      <c r="L529" s="35"/>
      <c r="M529" s="35"/>
      <c r="N529" s="35"/>
      <c r="O529" s="1355" t="s">
        <v>1406</v>
      </c>
      <c r="P529" s="1356"/>
      <c r="Q529" s="1356"/>
      <c r="R529" s="1356"/>
      <c r="S529" s="1356"/>
      <c r="T529" s="1356"/>
      <c r="U529" s="1356"/>
      <c r="V529" s="1356"/>
      <c r="W529" s="1356"/>
      <c r="X529" s="1356"/>
      <c r="Y529" s="1356"/>
      <c r="Z529" s="1356"/>
      <c r="AA529" s="1356"/>
      <c r="AC529" s="1353" t="s">
        <v>299</v>
      </c>
      <c r="AD529" s="1354"/>
      <c r="AE529" s="1354"/>
      <c r="AF529" s="1354"/>
      <c r="AG529" s="13" t="s">
        <v>1395</v>
      </c>
      <c r="AH529" s="1351"/>
      <c r="AI529" s="1351"/>
      <c r="AJ529" s="1351"/>
      <c r="AK529" s="1352"/>
      <c r="AZ529" s="3"/>
      <c r="BA529" s="3"/>
      <c r="BB529" s="3"/>
      <c r="BC529" s="3"/>
      <c r="BD529" s="3"/>
      <c r="BE529" s="3"/>
      <c r="BF529" s="3"/>
      <c r="BG529" s="3"/>
      <c r="BH529" s="3"/>
      <c r="BI529" s="3"/>
      <c r="BJ529" s="3"/>
      <c r="BK529" s="3"/>
      <c r="BL529" s="3"/>
      <c r="BM529" s="3"/>
      <c r="BN529" s="3" t="s">
        <v>1438</v>
      </c>
      <c r="BO529" s="3"/>
      <c r="BP529" s="3"/>
      <c r="BQ529" s="3"/>
      <c r="BR529" s="3"/>
      <c r="BS529" s="3"/>
      <c r="BT529" s="3"/>
      <c r="BU529" s="3"/>
      <c r="BV529" s="271" t="s">
        <v>1013</v>
      </c>
      <c r="BW529" s="389">
        <v>2230</v>
      </c>
      <c r="BX529" s="390">
        <v>2388</v>
      </c>
      <c r="BY529" s="389">
        <v>2864</v>
      </c>
      <c r="BZ529" s="390">
        <v>3310</v>
      </c>
      <c r="CA529" s="390">
        <v>3692</v>
      </c>
      <c r="CB529" s="391">
        <v>4074</v>
      </c>
      <c r="CC529" s="3"/>
      <c r="CD529" s="784">
        <v>1541</v>
      </c>
      <c r="CE529" s="784">
        <v>1731</v>
      </c>
      <c r="CF529" s="784">
        <v>2274</v>
      </c>
      <c r="CG529" s="784">
        <v>3045</v>
      </c>
      <c r="CH529" s="784">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2" customHeight="1">
      <c r="B530" s="1406"/>
      <c r="C530" s="1407"/>
      <c r="D530" s="1407"/>
      <c r="E530" s="1407"/>
      <c r="F530" s="1407"/>
      <c r="G530" s="1407"/>
      <c r="H530" s="1408"/>
      <c r="I530" t="s">
        <v>43</v>
      </c>
      <c r="AC530" s="1353" t="s">
        <v>299</v>
      </c>
      <c r="AD530" s="1354"/>
      <c r="AE530" s="1354"/>
      <c r="AF530" s="1354"/>
      <c r="AG530" s="13" t="s">
        <v>1395</v>
      </c>
      <c r="AH530" s="1351"/>
      <c r="AI530" s="1351"/>
      <c r="AJ530" s="1351"/>
      <c r="AK530" s="1352"/>
      <c r="AZ530" s="3"/>
      <c r="BA530" s="3"/>
      <c r="BB530" s="3"/>
      <c r="BC530" s="3"/>
      <c r="BD530" s="3"/>
      <c r="BE530" s="3"/>
      <c r="BF530" s="3"/>
      <c r="BG530" s="3"/>
      <c r="BH530" s="3"/>
      <c r="BI530" s="3"/>
      <c r="BJ530" s="3"/>
      <c r="BK530" s="3"/>
      <c r="BL530" s="3"/>
      <c r="BM530" s="3"/>
      <c r="BN530" s="3" t="s">
        <v>1439</v>
      </c>
      <c r="BO530" s="3"/>
      <c r="BP530" s="3"/>
      <c r="BQ530" s="3"/>
      <c r="BR530" s="3"/>
      <c r="BS530" s="3"/>
      <c r="BT530" s="3"/>
      <c r="BU530" s="3"/>
      <c r="BV530" s="271" t="s">
        <v>1017</v>
      </c>
      <c r="BW530" s="389">
        <v>3426</v>
      </c>
      <c r="BX530" s="390">
        <v>3672</v>
      </c>
      <c r="BY530" s="389">
        <v>4406</v>
      </c>
      <c r="BZ530" s="390">
        <v>5090</v>
      </c>
      <c r="CA530" s="390">
        <v>5680</v>
      </c>
      <c r="CB530" s="391">
        <v>6266</v>
      </c>
      <c r="CC530" s="3"/>
      <c r="CD530" s="784">
        <v>2292</v>
      </c>
      <c r="CE530" s="784">
        <v>2818</v>
      </c>
      <c r="CF530" s="784">
        <v>3359</v>
      </c>
      <c r="CG530" s="784">
        <v>4112</v>
      </c>
      <c r="CH530" s="784">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2" customHeight="1">
      <c r="B531" s="1406"/>
      <c r="C531" s="1407"/>
      <c r="D531" s="1407"/>
      <c r="E531" s="1407"/>
      <c r="F531" s="1407"/>
      <c r="G531" s="1407"/>
      <c r="H531" s="1408"/>
      <c r="I531" s="41" t="s">
        <v>1428</v>
      </c>
      <c r="J531" s="41"/>
      <c r="K531" s="41"/>
      <c r="L531" s="41"/>
      <c r="M531" s="41"/>
      <c r="N531" s="41"/>
      <c r="O531" s="41"/>
      <c r="P531" s="41"/>
      <c r="Q531" s="41"/>
      <c r="R531" s="41"/>
      <c r="S531" s="41"/>
      <c r="T531" s="41"/>
      <c r="U531" s="41"/>
      <c r="V531" s="41"/>
      <c r="W531" s="41"/>
      <c r="X531" s="41"/>
      <c r="Y531" s="41"/>
      <c r="Z531" s="41"/>
      <c r="AA531" s="41"/>
      <c r="AB531" s="41"/>
      <c r="AC531" s="1353" t="s">
        <v>299</v>
      </c>
      <c r="AD531" s="1354"/>
      <c r="AE531" s="1354"/>
      <c r="AF531" s="1354"/>
      <c r="AG531" s="31" t="s">
        <v>1395</v>
      </c>
      <c r="AH531" s="1351"/>
      <c r="AI531" s="1351"/>
      <c r="AJ531" s="1351"/>
      <c r="AK531" s="1352"/>
      <c r="AZ531" s="3"/>
      <c r="BA531" s="3"/>
      <c r="BB531" s="3"/>
      <c r="BC531" s="3"/>
      <c r="BD531" s="3"/>
      <c r="BE531" s="3"/>
      <c r="BF531" s="3"/>
      <c r="BG531" s="3"/>
      <c r="BH531" s="3"/>
      <c r="BI531" s="3"/>
      <c r="BJ531" s="3"/>
      <c r="BK531" s="3"/>
      <c r="BL531" s="3"/>
      <c r="BM531" s="3"/>
      <c r="BN531" s="3" t="s">
        <v>1440</v>
      </c>
      <c r="BO531" s="3"/>
      <c r="BP531" s="3"/>
      <c r="BQ531" s="3"/>
      <c r="BR531" s="3"/>
      <c r="BS531" s="3"/>
      <c r="BT531" s="3"/>
      <c r="BU531" s="3"/>
      <c r="BV531" s="271" t="s">
        <v>1021</v>
      </c>
      <c r="BW531" s="389">
        <v>2846</v>
      </c>
      <c r="BX531" s="390">
        <v>3050</v>
      </c>
      <c r="BY531" s="389">
        <v>3660</v>
      </c>
      <c r="BZ531" s="390">
        <v>4228</v>
      </c>
      <c r="CA531" s="390">
        <v>4716</v>
      </c>
      <c r="CB531" s="391">
        <v>5204</v>
      </c>
      <c r="CC531" s="3"/>
      <c r="CD531" s="784">
        <v>2330</v>
      </c>
      <c r="CE531" s="784">
        <v>2651</v>
      </c>
      <c r="CF531" s="784">
        <v>2994</v>
      </c>
      <c r="CG531" s="784">
        <v>3996</v>
      </c>
      <c r="CH531" s="784">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2" customHeight="1">
      <c r="B532" s="1406"/>
      <c r="C532" s="1407"/>
      <c r="D532" s="1407"/>
      <c r="E532" s="1407"/>
      <c r="F532" s="1407"/>
      <c r="G532" s="1407"/>
      <c r="H532" s="1408"/>
      <c r="I532" s="35" t="s">
        <v>1430</v>
      </c>
      <c r="J532" s="35"/>
      <c r="K532" s="35"/>
      <c r="L532" s="35"/>
      <c r="M532" s="35"/>
      <c r="N532" s="35"/>
      <c r="O532" s="1355" t="s">
        <v>1406</v>
      </c>
      <c r="P532" s="1356"/>
      <c r="Q532" s="1356"/>
      <c r="R532" s="1356"/>
      <c r="S532" s="1356"/>
      <c r="T532" s="1356"/>
      <c r="U532" s="1356"/>
      <c r="V532" s="1356"/>
      <c r="W532" s="1356"/>
      <c r="X532" s="1356"/>
      <c r="Y532" s="1356"/>
      <c r="Z532" s="1356"/>
      <c r="AA532" s="1356"/>
      <c r="AC532" s="1353" t="s">
        <v>299</v>
      </c>
      <c r="AD532" s="1354"/>
      <c r="AE532" s="1354"/>
      <c r="AF532" s="1354"/>
      <c r="AG532" s="13" t="s">
        <v>1395</v>
      </c>
      <c r="AH532" s="1351"/>
      <c r="AI532" s="1351"/>
      <c r="AJ532" s="1351"/>
      <c r="AK532" s="1352"/>
      <c r="AZ532" s="3"/>
      <c r="BA532" s="3"/>
      <c r="BB532" s="3"/>
      <c r="BC532" s="3"/>
      <c r="BD532" s="3"/>
      <c r="BE532" s="3"/>
      <c r="BF532" s="3"/>
      <c r="BG532" s="3"/>
      <c r="BH532" s="3"/>
      <c r="BI532" s="3"/>
      <c r="BJ532" s="3"/>
      <c r="BK532" s="3"/>
      <c r="BL532" s="3"/>
      <c r="BM532" s="3"/>
      <c r="BN532" s="3" t="s">
        <v>1441</v>
      </c>
      <c r="BO532" s="3"/>
      <c r="BP532" s="3"/>
      <c r="BQ532" s="3"/>
      <c r="BR532" s="3"/>
      <c r="BS532" s="3"/>
      <c r="BT532" s="3"/>
      <c r="BU532" s="3"/>
      <c r="BV532" s="271" t="s">
        <v>1025</v>
      </c>
      <c r="BW532" s="389">
        <v>3226</v>
      </c>
      <c r="BX532" s="390">
        <v>3456</v>
      </c>
      <c r="BY532" s="389">
        <v>4146</v>
      </c>
      <c r="BZ532" s="390">
        <v>4792</v>
      </c>
      <c r="CA532" s="390">
        <v>5344</v>
      </c>
      <c r="CB532" s="391">
        <v>5898</v>
      </c>
      <c r="CC532" s="3"/>
      <c r="CD532" s="784">
        <v>2383</v>
      </c>
      <c r="CE532" s="784">
        <v>2694</v>
      </c>
      <c r="CF532" s="784">
        <v>3132</v>
      </c>
      <c r="CG532" s="784">
        <v>4011</v>
      </c>
      <c r="CH532" s="784">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2" customHeight="1">
      <c r="B533" s="1406"/>
      <c r="C533" s="1407"/>
      <c r="D533" s="1407"/>
      <c r="E533" s="1407"/>
      <c r="F533" s="1407"/>
      <c r="G533" s="1407"/>
      <c r="H533" s="1408"/>
      <c r="I533" t="s">
        <v>43</v>
      </c>
      <c r="AC533" s="1353" t="s">
        <v>299</v>
      </c>
      <c r="AD533" s="1354"/>
      <c r="AE533" s="1354"/>
      <c r="AF533" s="1354"/>
      <c r="AG533" s="31" t="s">
        <v>1395</v>
      </c>
      <c r="AH533" s="1351"/>
      <c r="AI533" s="1351"/>
      <c r="AJ533" s="1351"/>
      <c r="AK533" s="1352"/>
      <c r="AZ533" s="3"/>
      <c r="BA533" s="3"/>
      <c r="BB533" s="3"/>
      <c r="BC533" s="3"/>
      <c r="BD533" s="3"/>
      <c r="BE533" s="3"/>
      <c r="BF533" s="3"/>
      <c r="BG533" s="3"/>
      <c r="BH533" s="3"/>
      <c r="BI533" s="3"/>
      <c r="BJ533" s="3"/>
      <c r="BK533" s="3"/>
      <c r="BL533" s="3"/>
      <c r="BM533" s="3"/>
      <c r="BN533" s="3" t="s">
        <v>1442</v>
      </c>
      <c r="BO533" s="3"/>
      <c r="BP533" s="3"/>
      <c r="BQ533" s="3"/>
      <c r="BR533" s="3"/>
      <c r="BS533" s="3"/>
      <c r="BT533" s="3"/>
      <c r="BU533" s="3"/>
      <c r="BV533" s="271" t="s">
        <v>1029</v>
      </c>
      <c r="BW533" s="389">
        <v>3170</v>
      </c>
      <c r="BX533" s="390">
        <v>3396</v>
      </c>
      <c r="BY533" s="389">
        <v>4074</v>
      </c>
      <c r="BZ533" s="390">
        <v>4708</v>
      </c>
      <c r="CA533" s="390">
        <v>5252</v>
      </c>
      <c r="CB533" s="391">
        <v>5796</v>
      </c>
      <c r="CC533" s="3"/>
      <c r="CD533" s="784">
        <v>2849</v>
      </c>
      <c r="CE533" s="784">
        <v>3085</v>
      </c>
      <c r="CF533" s="784">
        <v>4054</v>
      </c>
      <c r="CG533" s="784">
        <v>5000</v>
      </c>
      <c r="CH533" s="784">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2" customHeight="1">
      <c r="B534" s="1406"/>
      <c r="C534" s="1407"/>
      <c r="D534" s="1407"/>
      <c r="E534" s="1407"/>
      <c r="F534" s="1407"/>
      <c r="G534" s="1407"/>
      <c r="H534" s="1408"/>
      <c r="I534" s="41" t="s">
        <v>1428</v>
      </c>
      <c r="J534" s="41"/>
      <c r="K534" s="41"/>
      <c r="L534" s="41"/>
      <c r="M534" s="41"/>
      <c r="N534" s="41"/>
      <c r="O534" s="41"/>
      <c r="P534" s="41"/>
      <c r="Q534" s="41"/>
      <c r="R534" s="41"/>
      <c r="S534" s="41"/>
      <c r="T534" s="41"/>
      <c r="U534" s="41"/>
      <c r="V534" s="41"/>
      <c r="W534" s="41"/>
      <c r="X534" s="41"/>
      <c r="Y534" s="41"/>
      <c r="Z534" s="41"/>
      <c r="AA534" s="41"/>
      <c r="AB534" s="41"/>
      <c r="AC534" s="1353" t="s">
        <v>299</v>
      </c>
      <c r="AD534" s="1354"/>
      <c r="AE534" s="1354"/>
      <c r="AF534" s="1354"/>
      <c r="AG534" s="13" t="s">
        <v>1395</v>
      </c>
      <c r="AH534" s="1351"/>
      <c r="AI534" s="1351"/>
      <c r="AJ534" s="1351"/>
      <c r="AK534" s="1352"/>
      <c r="AZ534" s="3"/>
      <c r="BA534" s="3"/>
      <c r="BB534" s="3"/>
      <c r="BC534" s="3"/>
      <c r="BD534" s="3"/>
      <c r="BE534" s="3"/>
      <c r="BF534" s="3"/>
      <c r="BG534" s="3"/>
      <c r="BH534" s="3"/>
      <c r="BI534" s="3"/>
      <c r="BJ534" s="3"/>
      <c r="BK534" s="3"/>
      <c r="BL534" s="3"/>
      <c r="BM534" s="3"/>
      <c r="BN534" s="3" t="s">
        <v>1443</v>
      </c>
      <c r="BO534" s="3"/>
      <c r="BP534" s="3"/>
      <c r="BQ534" s="3"/>
      <c r="BR534" s="3"/>
      <c r="BS534" s="3"/>
      <c r="BT534" s="3"/>
      <c r="BU534" s="3"/>
      <c r="BV534" s="271" t="s">
        <v>1034</v>
      </c>
      <c r="BW534" s="389">
        <v>1560</v>
      </c>
      <c r="BX534" s="390">
        <v>1670</v>
      </c>
      <c r="BY534" s="389">
        <v>2004</v>
      </c>
      <c r="BZ534" s="390">
        <v>2316</v>
      </c>
      <c r="CA534" s="390">
        <v>2584</v>
      </c>
      <c r="CB534" s="391">
        <v>2852</v>
      </c>
      <c r="CC534" s="3"/>
      <c r="CD534" s="784">
        <v>1014</v>
      </c>
      <c r="CE534" s="784">
        <v>1132</v>
      </c>
      <c r="CF534" s="784">
        <v>1487</v>
      </c>
      <c r="CG534" s="784">
        <v>2095</v>
      </c>
      <c r="CH534" s="784">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2" customHeight="1">
      <c r="B535" s="1406"/>
      <c r="C535" s="1407"/>
      <c r="D535" s="1407"/>
      <c r="E535" s="1407"/>
      <c r="F535" s="1407"/>
      <c r="G535" s="1407"/>
      <c r="H535" s="1408"/>
      <c r="I535" s="35" t="s">
        <v>1430</v>
      </c>
      <c r="J535" s="35"/>
      <c r="K535" s="35"/>
      <c r="L535" s="35"/>
      <c r="M535" s="35"/>
      <c r="N535" s="35"/>
      <c r="O535" s="1355" t="s">
        <v>1406</v>
      </c>
      <c r="P535" s="1356"/>
      <c r="Q535" s="1356"/>
      <c r="R535" s="1356"/>
      <c r="S535" s="1356"/>
      <c r="T535" s="1356"/>
      <c r="U535" s="1356"/>
      <c r="V535" s="1356"/>
      <c r="W535" s="1356"/>
      <c r="X535" s="1356"/>
      <c r="Y535" s="1356"/>
      <c r="Z535" s="1356"/>
      <c r="AA535" s="1356"/>
      <c r="AC535" s="1353" t="s">
        <v>299</v>
      </c>
      <c r="AD535" s="1354"/>
      <c r="AE535" s="1354"/>
      <c r="AF535" s="1354"/>
      <c r="AG535" s="31" t="s">
        <v>1395</v>
      </c>
      <c r="AH535" s="1351"/>
      <c r="AI535" s="1351"/>
      <c r="AJ535" s="1351"/>
      <c r="AK535" s="1352"/>
      <c r="AZ535" s="3"/>
      <c r="BA535" s="3"/>
      <c r="BB535" s="3"/>
      <c r="BC535" s="3"/>
      <c r="BD535" s="3"/>
      <c r="BE535" s="3"/>
      <c r="BF535" s="3"/>
      <c r="BG535" s="3"/>
      <c r="BH535" s="3"/>
      <c r="BI535" s="3"/>
      <c r="BJ535" s="3"/>
      <c r="BK535" s="3"/>
      <c r="BL535" s="3"/>
      <c r="BM535" s="3"/>
      <c r="BN535" s="3" t="s">
        <v>1444</v>
      </c>
      <c r="BO535" s="3"/>
      <c r="BP535" s="3"/>
      <c r="BQ535" s="3"/>
      <c r="BR535" s="3"/>
      <c r="BS535" s="3"/>
      <c r="BT535" s="3"/>
      <c r="BU535" s="3"/>
      <c r="BV535" s="271" t="s">
        <v>1037</v>
      </c>
      <c r="BW535" s="389">
        <v>1540</v>
      </c>
      <c r="BX535" s="390">
        <v>1650</v>
      </c>
      <c r="BY535" s="389">
        <v>1980</v>
      </c>
      <c r="BZ535" s="390">
        <v>2286</v>
      </c>
      <c r="CA535" s="390">
        <v>2550</v>
      </c>
      <c r="CB535" s="391">
        <v>2812</v>
      </c>
      <c r="CC535" s="3"/>
      <c r="CD535" s="784">
        <v>911</v>
      </c>
      <c r="CE535" s="784">
        <v>1005</v>
      </c>
      <c r="CF535" s="784">
        <v>1321</v>
      </c>
      <c r="CG535" s="784">
        <v>1862</v>
      </c>
      <c r="CH535" s="784">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2" customHeight="1">
      <c r="B536" s="1406"/>
      <c r="C536" s="1407"/>
      <c r="D536" s="1407"/>
      <c r="E536" s="1407"/>
      <c r="F536" s="1407"/>
      <c r="G536" s="1407"/>
      <c r="H536" s="1408"/>
      <c r="I536" t="s">
        <v>43</v>
      </c>
      <c r="AC536" s="1353" t="s">
        <v>299</v>
      </c>
      <c r="AD536" s="1354"/>
      <c r="AE536" s="1354"/>
      <c r="AF536" s="1354"/>
      <c r="AG536" s="13" t="s">
        <v>1395</v>
      </c>
      <c r="AH536" s="1351"/>
      <c r="AI536" s="1351"/>
      <c r="AJ536" s="1351"/>
      <c r="AK536" s="1352"/>
      <c r="AZ536" s="3"/>
      <c r="BA536" s="3"/>
      <c r="BB536" s="3"/>
      <c r="BC536" s="3"/>
      <c r="BD536" s="3"/>
      <c r="BE536" s="3"/>
      <c r="BF536" s="3"/>
      <c r="BG536" s="3"/>
      <c r="BH536" s="3"/>
      <c r="BI536" s="3"/>
      <c r="BJ536" s="3"/>
      <c r="BK536" s="3"/>
      <c r="BL536" s="3"/>
      <c r="BM536" s="3"/>
      <c r="BN536" s="3" t="s">
        <v>1445</v>
      </c>
      <c r="BO536" s="3"/>
      <c r="BP536" s="3"/>
      <c r="BQ536" s="3"/>
      <c r="BR536" s="3"/>
      <c r="BS536" s="3"/>
      <c r="BT536" s="3"/>
      <c r="BU536" s="3"/>
      <c r="BV536" s="271" t="s">
        <v>1042</v>
      </c>
      <c r="BW536" s="389">
        <v>1540</v>
      </c>
      <c r="BX536" s="390">
        <v>1650</v>
      </c>
      <c r="BY536" s="389">
        <v>1980</v>
      </c>
      <c r="BZ536" s="390">
        <v>2286</v>
      </c>
      <c r="CA536" s="390">
        <v>2550</v>
      </c>
      <c r="CB536" s="391">
        <v>2812</v>
      </c>
      <c r="CC536" s="3"/>
      <c r="CD536" s="784">
        <v>838</v>
      </c>
      <c r="CE536" s="784">
        <v>843</v>
      </c>
      <c r="CF536" s="784">
        <v>1089</v>
      </c>
      <c r="CG536" s="784">
        <v>1535</v>
      </c>
      <c r="CH536" s="784">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2" customHeight="1">
      <c r="B537" s="1406"/>
      <c r="C537" s="1407"/>
      <c r="D537" s="1407"/>
      <c r="E537" s="1407"/>
      <c r="F537" s="1407"/>
      <c r="G537" s="1407"/>
      <c r="H537" s="1408"/>
      <c r="I537" s="41" t="s">
        <v>1428</v>
      </c>
      <c r="J537" s="41"/>
      <c r="K537" s="41"/>
      <c r="L537" s="41"/>
      <c r="M537" s="41"/>
      <c r="N537" s="41"/>
      <c r="O537" s="41"/>
      <c r="P537" s="41"/>
      <c r="Q537" s="41"/>
      <c r="R537" s="41"/>
      <c r="S537" s="41"/>
      <c r="T537" s="41"/>
      <c r="U537" s="41"/>
      <c r="V537" s="41"/>
      <c r="W537" s="41"/>
      <c r="X537" s="41"/>
      <c r="Y537" s="41"/>
      <c r="Z537" s="41"/>
      <c r="AA537" s="41"/>
      <c r="AB537" s="41"/>
      <c r="AC537" s="1353" t="s">
        <v>299</v>
      </c>
      <c r="AD537" s="1354"/>
      <c r="AE537" s="1354"/>
      <c r="AF537" s="1354"/>
      <c r="AG537" s="31" t="s">
        <v>1395</v>
      </c>
      <c r="AH537" s="1351"/>
      <c r="AI537" s="1351"/>
      <c r="AJ537" s="1351"/>
      <c r="AK537" s="1352"/>
      <c r="AZ537" s="3"/>
      <c r="BA537" s="3"/>
      <c r="BB537" s="3"/>
      <c r="BC537" s="3"/>
      <c r="BD537" s="3"/>
      <c r="BE537" s="3"/>
      <c r="BF537" s="3"/>
      <c r="BG537" s="3"/>
      <c r="BH537" s="3"/>
      <c r="BI537" s="3"/>
      <c r="BJ537" s="3"/>
      <c r="BK537" s="3"/>
      <c r="BL537" s="3"/>
      <c r="BM537" s="3"/>
      <c r="BN537" s="3" t="s">
        <v>1446</v>
      </c>
      <c r="BO537" s="3"/>
      <c r="BP537" s="3"/>
      <c r="BQ537" s="3"/>
      <c r="BR537" s="3"/>
      <c r="BS537" s="3"/>
      <c r="BT537" s="3"/>
      <c r="BU537" s="3"/>
      <c r="BV537" s="271" t="s">
        <v>1046</v>
      </c>
      <c r="BW537" s="389">
        <v>2202</v>
      </c>
      <c r="BX537" s="390">
        <v>2360</v>
      </c>
      <c r="BY537" s="389">
        <v>2832</v>
      </c>
      <c r="BZ537" s="390">
        <v>3270</v>
      </c>
      <c r="CA537" s="390">
        <v>3650</v>
      </c>
      <c r="CB537" s="391">
        <v>4026</v>
      </c>
      <c r="CC537" s="3"/>
      <c r="CD537" s="784">
        <v>1652</v>
      </c>
      <c r="CE537" s="784">
        <v>1853</v>
      </c>
      <c r="CF537" s="784">
        <v>2308</v>
      </c>
      <c r="CG537" s="784">
        <v>3199</v>
      </c>
      <c r="CH537" s="784">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2" customHeight="1">
      <c r="B538" s="1406"/>
      <c r="C538" s="1407"/>
      <c r="D538" s="1407"/>
      <c r="E538" s="1407"/>
      <c r="F538" s="1407"/>
      <c r="G538" s="1407"/>
      <c r="H538" s="1408"/>
      <c r="I538" s="35" t="s">
        <v>1447</v>
      </c>
      <c r="J538" s="35"/>
      <c r="K538" s="35"/>
      <c r="L538" s="35"/>
      <c r="M538" s="35"/>
      <c r="N538" s="35"/>
      <c r="O538" s="35"/>
      <c r="P538" s="35"/>
      <c r="Q538" s="35"/>
      <c r="R538" s="35"/>
      <c r="S538" s="35"/>
      <c r="T538" s="35"/>
      <c r="U538" s="35"/>
      <c r="V538" s="35"/>
      <c r="W538" s="35"/>
      <c r="AC538" s="1353">
        <v>8</v>
      </c>
      <c r="AD538" s="1354"/>
      <c r="AE538" s="1354"/>
      <c r="AF538" s="1354"/>
      <c r="AG538" s="31" t="s">
        <v>1395</v>
      </c>
      <c r="AH538" s="1351">
        <v>2025</v>
      </c>
      <c r="AI538" s="1351"/>
      <c r="AJ538" s="1351"/>
      <c r="AK538" s="1352"/>
      <c r="AZ538" s="3"/>
      <c r="BA538" s="3"/>
      <c r="BB538" s="3"/>
      <c r="BC538" s="3"/>
      <c r="BD538" s="3"/>
      <c r="BE538" s="3"/>
      <c r="BF538" s="3"/>
      <c r="BG538" s="3"/>
      <c r="BH538" s="3"/>
      <c r="BI538" s="3"/>
      <c r="BJ538" s="3"/>
      <c r="BK538" s="3"/>
      <c r="BL538" s="3"/>
      <c r="BM538" s="3"/>
      <c r="BN538" s="3"/>
      <c r="BO538" s="3"/>
      <c r="BP538" s="3"/>
      <c r="BQ538" s="3"/>
      <c r="BR538" s="3"/>
      <c r="BS538" s="3"/>
      <c r="BT538" s="3"/>
      <c r="BU538" s="3"/>
      <c r="BV538" s="271" t="s">
        <v>1052</v>
      </c>
      <c r="BW538" s="389">
        <v>2422</v>
      </c>
      <c r="BX538" s="390">
        <v>2594</v>
      </c>
      <c r="BY538" s="389">
        <v>3112</v>
      </c>
      <c r="BZ538" s="390">
        <v>3596</v>
      </c>
      <c r="CA538" s="390">
        <v>4012</v>
      </c>
      <c r="CB538" s="391">
        <v>4426</v>
      </c>
      <c r="CC538" s="3"/>
      <c r="CD538" s="784">
        <v>1611</v>
      </c>
      <c r="CE538" s="784">
        <v>1809</v>
      </c>
      <c r="CF538" s="784">
        <v>2377</v>
      </c>
      <c r="CG538" s="784">
        <v>3228</v>
      </c>
      <c r="CH538" s="784">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2" customHeight="1">
      <c r="B539" s="1406"/>
      <c r="C539" s="1407"/>
      <c r="D539" s="1407"/>
      <c r="E539" s="1407"/>
      <c r="F539" s="1407"/>
      <c r="G539" s="1407"/>
      <c r="H539" s="1408"/>
      <c r="I539" t="s">
        <v>1448</v>
      </c>
      <c r="AC539" s="1353">
        <v>6</v>
      </c>
      <c r="AD539" s="1354"/>
      <c r="AE539" s="1354"/>
      <c r="AF539" s="1354"/>
      <c r="AG539" s="13" t="s">
        <v>1395</v>
      </c>
      <c r="AH539" s="1351">
        <v>2025</v>
      </c>
      <c r="AI539" s="1351"/>
      <c r="AJ539" s="1351"/>
      <c r="AK539" s="1352"/>
      <c r="AZ539" s="3"/>
      <c r="BA539" s="3"/>
      <c r="BB539" s="3"/>
      <c r="BC539" s="3"/>
      <c r="BD539" s="3"/>
      <c r="BE539" s="3"/>
      <c r="BF539" s="3"/>
      <c r="BG539" s="3"/>
      <c r="BH539" s="3"/>
      <c r="BI539" s="3"/>
      <c r="BJ539" s="3"/>
      <c r="BK539" s="3"/>
      <c r="BL539" s="3"/>
      <c r="BM539" s="3"/>
      <c r="BN539" s="3"/>
      <c r="BO539" s="3"/>
      <c r="BP539" s="3"/>
      <c r="BQ539" s="3"/>
      <c r="BR539" s="3"/>
      <c r="BS539" s="3"/>
      <c r="BT539" s="3"/>
      <c r="BU539" s="3"/>
      <c r="BV539" s="271" t="s">
        <v>1055</v>
      </c>
      <c r="BW539" s="389">
        <v>1594</v>
      </c>
      <c r="BX539" s="390">
        <v>1708</v>
      </c>
      <c r="BY539" s="389">
        <v>2050</v>
      </c>
      <c r="BZ539" s="390">
        <v>2368</v>
      </c>
      <c r="CA539" s="390">
        <v>2642</v>
      </c>
      <c r="CB539" s="391">
        <v>2916</v>
      </c>
      <c r="CC539" s="3"/>
      <c r="CD539" s="784">
        <v>1143</v>
      </c>
      <c r="CE539" s="784">
        <v>1188</v>
      </c>
      <c r="CF539" s="784">
        <v>1528</v>
      </c>
      <c r="CG539" s="784">
        <v>2153</v>
      </c>
      <c r="CH539" s="784">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2" customHeight="1">
      <c r="B540" s="1406"/>
      <c r="C540" s="1407"/>
      <c r="D540" s="1407"/>
      <c r="E540" s="1407"/>
      <c r="F540" s="1407"/>
      <c r="G540" s="1407"/>
      <c r="H540" s="1408"/>
      <c r="I540" t="s">
        <v>1449</v>
      </c>
      <c r="AC540" s="1353">
        <v>10</v>
      </c>
      <c r="AD540" s="1354"/>
      <c r="AE540" s="1354"/>
      <c r="AF540" s="1354"/>
      <c r="AG540" s="31" t="s">
        <v>1395</v>
      </c>
      <c r="AH540" s="1351">
        <v>2027</v>
      </c>
      <c r="AI540" s="1351"/>
      <c r="AJ540" s="1351"/>
      <c r="AK540" s="1352"/>
      <c r="AZ540" s="3"/>
      <c r="BA540" s="3"/>
      <c r="BB540" s="3"/>
      <c r="BC540" s="3"/>
      <c r="BD540" s="3"/>
      <c r="BE540" s="3"/>
      <c r="BF540" s="3"/>
      <c r="BG540" s="3"/>
      <c r="BH540" s="3"/>
      <c r="BI540" s="3"/>
      <c r="BJ540" s="3"/>
      <c r="BK540" s="3"/>
      <c r="BL540" s="3"/>
      <c r="BM540" s="3"/>
      <c r="BN540" s="3"/>
      <c r="BO540" s="3"/>
      <c r="BP540" s="3"/>
      <c r="BQ540" s="3"/>
      <c r="BR540" s="3"/>
      <c r="BS540" s="3"/>
      <c r="BT540" s="3"/>
      <c r="BU540" s="3"/>
      <c r="BV540" s="271" t="s">
        <v>1060</v>
      </c>
      <c r="BW540" s="389">
        <v>1540</v>
      </c>
      <c r="BX540" s="390">
        <v>1650</v>
      </c>
      <c r="BY540" s="389">
        <v>1980</v>
      </c>
      <c r="BZ540" s="390">
        <v>2286</v>
      </c>
      <c r="CA540" s="390">
        <v>2550</v>
      </c>
      <c r="CB540" s="391">
        <v>2812</v>
      </c>
      <c r="CC540" s="3"/>
      <c r="CD540" s="784">
        <v>1125</v>
      </c>
      <c r="CE540" s="784">
        <v>1132</v>
      </c>
      <c r="CF540" s="784">
        <v>1461</v>
      </c>
      <c r="CG540" s="784">
        <v>2059</v>
      </c>
      <c r="CH540" s="784">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2" customHeight="1">
      <c r="B541" s="1406"/>
      <c r="C541" s="1407"/>
      <c r="D541" s="1407"/>
      <c r="E541" s="1407"/>
      <c r="F541" s="1407"/>
      <c r="G541" s="1407"/>
      <c r="H541" s="1408"/>
      <c r="I541" t="s">
        <v>1450</v>
      </c>
      <c r="AC541" s="1353">
        <v>10</v>
      </c>
      <c r="AD541" s="1354"/>
      <c r="AE541" s="1354"/>
      <c r="AF541" s="1354"/>
      <c r="AG541" s="31" t="s">
        <v>1395</v>
      </c>
      <c r="AH541" s="1351">
        <v>2027</v>
      </c>
      <c r="AI541" s="1351"/>
      <c r="AJ541" s="1351"/>
      <c r="AK541" s="1352"/>
      <c r="AZ541" s="3"/>
      <c r="BA541" s="3"/>
      <c r="BB541" s="3"/>
      <c r="BC541" s="3"/>
      <c r="BD541" s="3"/>
      <c r="BE541" s="3"/>
      <c r="BF541" s="3"/>
      <c r="BG541" s="3"/>
      <c r="BH541" s="3"/>
      <c r="BI541" s="3"/>
      <c r="BJ541" s="3"/>
      <c r="BK541" s="3"/>
      <c r="BL541" s="3"/>
      <c r="BM541" s="3"/>
      <c r="BN541" s="3"/>
      <c r="BO541" s="3"/>
      <c r="BP541" s="3"/>
      <c r="BQ541" s="3"/>
      <c r="BR541" s="3"/>
      <c r="BS541" s="3"/>
      <c r="BT541" s="3"/>
      <c r="BU541" s="3"/>
      <c r="BV541" s="271" t="s">
        <v>1064</v>
      </c>
      <c r="BW541" s="389">
        <v>1540</v>
      </c>
      <c r="BX541" s="390">
        <v>1650</v>
      </c>
      <c r="BY541" s="389">
        <v>1980</v>
      </c>
      <c r="BZ541" s="390">
        <v>2286</v>
      </c>
      <c r="CA541" s="390">
        <v>2550</v>
      </c>
      <c r="CB541" s="391">
        <v>2812</v>
      </c>
      <c r="CC541" s="3"/>
      <c r="CD541" s="784">
        <v>844</v>
      </c>
      <c r="CE541" s="784">
        <v>948</v>
      </c>
      <c r="CF541" s="784">
        <v>1245</v>
      </c>
      <c r="CG541" s="784">
        <v>1695</v>
      </c>
      <c r="CH541" s="784">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2" customHeight="1">
      <c r="B542" s="1437"/>
      <c r="C542" s="1438"/>
      <c r="D542" s="1438"/>
      <c r="E542" s="1438"/>
      <c r="F542" s="1438"/>
      <c r="G542" s="1438"/>
      <c r="H542" s="1439"/>
      <c r="I542" s="41" t="s">
        <v>1451</v>
      </c>
      <c r="J542" s="41"/>
      <c r="K542" s="41"/>
      <c r="L542" s="41"/>
      <c r="M542" s="41"/>
      <c r="N542" s="41"/>
      <c r="O542" s="41"/>
      <c r="P542" s="41"/>
      <c r="Q542" s="41"/>
      <c r="R542" s="41"/>
      <c r="S542" s="41"/>
      <c r="T542" s="41"/>
      <c r="U542" s="41"/>
      <c r="V542" s="41"/>
      <c r="W542" s="41"/>
      <c r="X542" s="41"/>
      <c r="Y542" s="41"/>
      <c r="Z542" s="41"/>
      <c r="AA542" s="41"/>
      <c r="AB542" s="41"/>
      <c r="AC542" s="1353">
        <v>1</v>
      </c>
      <c r="AD542" s="1354"/>
      <c r="AE542" s="1354"/>
      <c r="AF542" s="1354"/>
      <c r="AG542" s="31" t="s">
        <v>1395</v>
      </c>
      <c r="AH542" s="1351">
        <v>2028</v>
      </c>
      <c r="AI542" s="1351"/>
      <c r="AJ542" s="1351"/>
      <c r="AK542" s="1352"/>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1" t="s">
        <v>1067</v>
      </c>
      <c r="BW542" s="389">
        <v>1540</v>
      </c>
      <c r="BX542" s="390">
        <v>1650</v>
      </c>
      <c r="BY542" s="389">
        <v>1980</v>
      </c>
      <c r="BZ542" s="390">
        <v>2286</v>
      </c>
      <c r="CA542" s="390">
        <v>2550</v>
      </c>
      <c r="CB542" s="391">
        <v>2812</v>
      </c>
      <c r="CC542" s="3"/>
      <c r="CD542" s="784">
        <v>710</v>
      </c>
      <c r="CE542" s="784">
        <v>784</v>
      </c>
      <c r="CF542" s="784">
        <v>1030</v>
      </c>
      <c r="CG542" s="784">
        <v>1451</v>
      </c>
      <c r="CH542" s="784">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2" customHeight="1">
      <c r="B543" s="456"/>
      <c r="C543" s="96"/>
      <c r="D543" s="96"/>
      <c r="E543" s="96"/>
      <c r="F543" s="96"/>
      <c r="G543" s="96"/>
      <c r="H543" s="96"/>
      <c r="AB543" s="96"/>
      <c r="AU543" s="820"/>
      <c r="AV543" s="820"/>
      <c r="AW543" s="820"/>
      <c r="AX543" s="820"/>
      <c r="AY543" s="820"/>
      <c r="BB543" s="3"/>
      <c r="BC543" s="3"/>
      <c r="BD543" s="3"/>
      <c r="BE543" s="3"/>
      <c r="BF543" s="3"/>
      <c r="BG543" s="3"/>
      <c r="BH543" s="3" t="s">
        <v>30</v>
      </c>
      <c r="BI543" s="3" t="str">
        <f>AG649</f>
        <v>No</v>
      </c>
      <c r="BJ543" s="3"/>
      <c r="BK543" s="3"/>
      <c r="BL543" s="3"/>
      <c r="BM543" s="3"/>
      <c r="BN543" s="3"/>
      <c r="BO543" s="3"/>
      <c r="BP543" s="3"/>
      <c r="BQ543" s="3"/>
      <c r="BR543" s="3"/>
      <c r="BS543" s="3"/>
      <c r="BT543" s="3"/>
      <c r="BU543" s="3"/>
      <c r="BV543" s="271" t="s">
        <v>1071</v>
      </c>
      <c r="BW543" s="389">
        <v>1540</v>
      </c>
      <c r="BX543" s="390">
        <v>1650</v>
      </c>
      <c r="BY543" s="389">
        <v>1980</v>
      </c>
      <c r="BZ543" s="390">
        <v>2286</v>
      </c>
      <c r="CA543" s="390">
        <v>2550</v>
      </c>
      <c r="CB543" s="391">
        <v>2812</v>
      </c>
      <c r="CC543" s="3"/>
      <c r="CD543" s="784">
        <v>977</v>
      </c>
      <c r="CE543" s="784">
        <v>989</v>
      </c>
      <c r="CF543" s="784">
        <v>1299</v>
      </c>
      <c r="CG543" s="784">
        <v>1809</v>
      </c>
      <c r="CH543" s="784">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2" customHeight="1">
      <c r="A544" s="1230" t="s">
        <v>1452</v>
      </c>
      <c r="B544" s="1230"/>
      <c r="C544" s="1230"/>
      <c r="D544" s="1230"/>
      <c r="E544" s="1230"/>
      <c r="F544" s="1230"/>
      <c r="G544" s="1230"/>
      <c r="H544" s="1230"/>
      <c r="I544" s="1230"/>
      <c r="J544" s="1230"/>
      <c r="K544" s="1230"/>
      <c r="L544" s="1230"/>
      <c r="M544" s="1230"/>
      <c r="N544" s="1230"/>
      <c r="O544" s="1230"/>
      <c r="P544" s="1230"/>
      <c r="Q544" s="1230"/>
      <c r="R544" s="1230"/>
      <c r="S544" s="1230"/>
      <c r="T544" s="1230"/>
      <c r="U544" s="1230"/>
      <c r="V544" s="1230"/>
      <c r="W544" s="1230"/>
      <c r="X544" s="1230"/>
      <c r="Y544" s="1230"/>
      <c r="Z544" s="1230"/>
      <c r="AA544" s="1230"/>
      <c r="AB544" s="1230"/>
      <c r="AC544" s="1230"/>
      <c r="AD544" s="1230"/>
      <c r="AE544" s="1230"/>
      <c r="AF544" s="1230"/>
      <c r="AG544" s="1230"/>
      <c r="AH544" s="1230"/>
      <c r="AI544" s="1230"/>
      <c r="AJ544" s="1230"/>
      <c r="AK544" s="1230"/>
      <c r="AL544" s="1230"/>
      <c r="AM544" s="1230"/>
      <c r="AN544" s="1230"/>
      <c r="AO544" s="1230"/>
      <c r="AP544" s="1230"/>
      <c r="AQ544" s="1230"/>
      <c r="AR544" s="1230"/>
      <c r="AS544" s="1230"/>
      <c r="AT544" s="1230"/>
      <c r="AU544" s="820"/>
      <c r="AV544" s="820"/>
      <c r="AW544" s="820"/>
      <c r="AX544" s="820"/>
      <c r="AY544" s="820"/>
      <c r="BB544" s="3"/>
      <c r="BC544" s="3"/>
      <c r="BD544" s="3"/>
      <c r="BE544" s="3"/>
      <c r="BF544" s="3"/>
      <c r="BG544" s="3"/>
      <c r="BH544" s="3"/>
      <c r="BI544" s="3"/>
      <c r="BJ544" s="3"/>
      <c r="BK544" s="3"/>
      <c r="BL544" s="3"/>
      <c r="BM544" s="3"/>
      <c r="BN544" s="3"/>
      <c r="BO544" s="3"/>
      <c r="BP544" s="3"/>
      <c r="BQ544" s="3"/>
      <c r="BR544" s="3"/>
      <c r="BS544" s="3"/>
      <c r="BT544" s="3"/>
      <c r="BU544" s="3"/>
      <c r="BV544" s="271" t="s">
        <v>1073</v>
      </c>
      <c r="BW544" s="389">
        <v>1694</v>
      </c>
      <c r="BX544" s="390">
        <v>1816</v>
      </c>
      <c r="BY544" s="389">
        <v>2180</v>
      </c>
      <c r="BZ544" s="390">
        <v>2520</v>
      </c>
      <c r="CA544" s="390">
        <v>2810</v>
      </c>
      <c r="CB544" s="391">
        <v>3100</v>
      </c>
      <c r="CC544" s="3"/>
      <c r="CD544" s="784">
        <v>919</v>
      </c>
      <c r="CE544" s="784">
        <v>1032</v>
      </c>
      <c r="CF544" s="784">
        <v>1356</v>
      </c>
      <c r="CG544" s="784">
        <v>1795</v>
      </c>
      <c r="CH544" s="784">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2" customHeight="1">
      <c r="A545" s="1230"/>
      <c r="B545" s="1230"/>
      <c r="C545" s="1230"/>
      <c r="D545" s="1230"/>
      <c r="E545" s="1230"/>
      <c r="F545" s="1230"/>
      <c r="G545" s="1230"/>
      <c r="H545" s="1230"/>
      <c r="I545" s="1230"/>
      <c r="J545" s="1230"/>
      <c r="K545" s="1230"/>
      <c r="L545" s="1230"/>
      <c r="M545" s="1230"/>
      <c r="N545" s="1230"/>
      <c r="O545" s="1230"/>
      <c r="P545" s="1230"/>
      <c r="Q545" s="1230"/>
      <c r="R545" s="1230"/>
      <c r="S545" s="1230"/>
      <c r="T545" s="1230"/>
      <c r="U545" s="1230"/>
      <c r="V545" s="1230"/>
      <c r="W545" s="1230"/>
      <c r="X545" s="1230"/>
      <c r="Y545" s="1230"/>
      <c r="Z545" s="1230"/>
      <c r="AA545" s="1230"/>
      <c r="AB545" s="1230"/>
      <c r="AC545" s="1230"/>
      <c r="AD545" s="1230"/>
      <c r="AE545" s="1230"/>
      <c r="AF545" s="1230"/>
      <c r="AG545" s="1230"/>
      <c r="AH545" s="1230"/>
      <c r="AI545" s="1230"/>
      <c r="AJ545" s="1230"/>
      <c r="AK545" s="1230"/>
      <c r="AL545" s="1230"/>
      <c r="AM545" s="1230"/>
      <c r="AN545" s="1230"/>
      <c r="AO545" s="1230"/>
      <c r="AP545" s="1230"/>
      <c r="AQ545" s="1230"/>
      <c r="AR545" s="1230"/>
      <c r="AS545" s="1230"/>
      <c r="AT545" s="1230"/>
      <c r="BB545" s="3"/>
      <c r="BC545" s="3"/>
      <c r="BD545" s="3"/>
      <c r="BE545" s="3"/>
      <c r="BF545" s="3"/>
      <c r="BG545" s="3"/>
      <c r="BH545" s="3"/>
      <c r="BI545" s="3"/>
      <c r="BJ545" s="3"/>
      <c r="BK545" s="3"/>
      <c r="BL545" s="3"/>
      <c r="BM545" s="3"/>
      <c r="BN545" s="3"/>
      <c r="BO545" s="3"/>
      <c r="BP545" s="3"/>
      <c r="BQ545" s="3"/>
      <c r="BR545" s="3"/>
      <c r="BS545" s="3"/>
      <c r="BT545" s="3"/>
      <c r="BU545" s="3"/>
      <c r="BV545" s="271" t="s">
        <v>1077</v>
      </c>
      <c r="BW545" s="392">
        <v>2462</v>
      </c>
      <c r="BX545" s="393">
        <v>2638</v>
      </c>
      <c r="BY545" s="392">
        <v>3166</v>
      </c>
      <c r="BZ545" s="393">
        <v>3658</v>
      </c>
      <c r="CA545" s="393">
        <v>4082</v>
      </c>
      <c r="CB545" s="394">
        <v>4502</v>
      </c>
      <c r="CC545" s="3"/>
      <c r="CD545" s="784">
        <v>1725</v>
      </c>
      <c r="CE545" s="784">
        <v>2011</v>
      </c>
      <c r="CF545" s="784">
        <v>2414</v>
      </c>
      <c r="CG545" s="784">
        <v>3310</v>
      </c>
      <c r="CH545" s="784">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2" customHeight="1">
      <c r="BB546" s="3"/>
      <c r="BC546" s="3"/>
      <c r="BD546" s="3"/>
      <c r="BE546" s="3"/>
      <c r="BF546" s="3"/>
      <c r="BG546" s="3"/>
      <c r="BH546" s="3"/>
      <c r="BI546" s="3"/>
      <c r="BJ546" s="3"/>
      <c r="BK546" s="3"/>
      <c r="BL546" s="3"/>
      <c r="BM546" s="3"/>
      <c r="BN546" s="3"/>
      <c r="BO546" s="3"/>
      <c r="BP546" s="3"/>
      <c r="BQ546" s="3"/>
      <c r="BR546" s="3"/>
      <c r="BS546" s="3"/>
      <c r="BT546" s="3"/>
      <c r="BU546" s="3"/>
      <c r="BV546" s="271" t="s">
        <v>1081</v>
      </c>
      <c r="BW546" s="395">
        <v>2020</v>
      </c>
      <c r="BX546" s="396">
        <v>2162</v>
      </c>
      <c r="BY546" s="395">
        <v>2594</v>
      </c>
      <c r="BZ546" s="396">
        <v>2998</v>
      </c>
      <c r="CA546" s="396">
        <v>3344</v>
      </c>
      <c r="CB546" s="397">
        <v>3690</v>
      </c>
      <c r="CC546" s="3"/>
      <c r="CD546" s="784">
        <v>1497</v>
      </c>
      <c r="CE546" s="784">
        <v>1507</v>
      </c>
      <c r="CF546" s="784">
        <v>1980</v>
      </c>
      <c r="CG546" s="784">
        <v>2717</v>
      </c>
      <c r="CH546" s="784">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2" customHeight="1" thickBot="1">
      <c r="A547" s="2" t="s">
        <v>919</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1" t="s">
        <v>1085</v>
      </c>
      <c r="BW547" s="398">
        <v>1540</v>
      </c>
      <c r="BX547" s="399">
        <v>1650</v>
      </c>
      <c r="BY547" s="398">
        <v>1980</v>
      </c>
      <c r="BZ547" s="399">
        <v>2286</v>
      </c>
      <c r="CA547" s="399">
        <v>2550</v>
      </c>
      <c r="CB547" s="400">
        <v>2812</v>
      </c>
      <c r="CC547" s="3"/>
      <c r="CD547" s="784">
        <v>1125</v>
      </c>
      <c r="CE547" s="784">
        <v>1132</v>
      </c>
      <c r="CF547" s="784">
        <v>1461</v>
      </c>
      <c r="CG547" s="784">
        <v>2059</v>
      </c>
      <c r="CH547" s="784">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2"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2" customHeight="1">
      <c r="A549" s="2"/>
      <c r="B549" s="2"/>
      <c r="C549" s="2"/>
      <c r="D549" s="2" t="s">
        <v>1453</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2" customHeight="1">
      <c r="B550" s="436"/>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2" customHeight="1">
      <c r="B551" s="1403" t="s">
        <v>1454</v>
      </c>
      <c r="C551" s="1404"/>
      <c r="D551" s="1404"/>
      <c r="E551" s="1404"/>
      <c r="F551" s="1404"/>
      <c r="G551" s="1404"/>
      <c r="H551" s="1404"/>
      <c r="I551" s="1404"/>
      <c r="J551" s="1404"/>
      <c r="K551" s="1404"/>
      <c r="L551" s="1405"/>
      <c r="M551" s="1403" t="s">
        <v>1455</v>
      </c>
      <c r="N551" s="1404"/>
      <c r="O551" s="1404"/>
      <c r="P551" s="1405"/>
      <c r="Q551" s="1403" t="s">
        <v>1456</v>
      </c>
      <c r="R551" s="1404"/>
      <c r="S551" s="1405"/>
      <c r="T551" s="1403" t="s">
        <v>1457</v>
      </c>
      <c r="U551" s="1404"/>
      <c r="V551" s="1405"/>
      <c r="W551" s="1403" t="s">
        <v>1458</v>
      </c>
      <c r="X551" s="1404"/>
      <c r="Y551" s="1405"/>
      <c r="Z551" s="1403" t="s">
        <v>1459</v>
      </c>
      <c r="AA551" s="1404"/>
      <c r="AB551" s="1404"/>
      <c r="AC551" s="1404"/>
      <c r="AD551" s="1405"/>
      <c r="AE551" s="1403" t="s">
        <v>1460</v>
      </c>
      <c r="AF551" s="1404"/>
      <c r="AG551" s="1404"/>
      <c r="AH551" s="1405"/>
      <c r="AI551" s="1403" t="s">
        <v>1461</v>
      </c>
      <c r="AJ551" s="1404"/>
      <c r="AK551" s="1404"/>
      <c r="AL551" s="1405"/>
      <c r="AM551" s="1403" t="s">
        <v>1462</v>
      </c>
      <c r="AN551" s="1404"/>
      <c r="AO551" s="1404"/>
      <c r="AP551" s="1404"/>
      <c r="AQ551" s="1404"/>
      <c r="AR551" s="1404"/>
      <c r="AS551" s="1405"/>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2" customHeight="1">
      <c r="B552" s="1406"/>
      <c r="C552" s="1407"/>
      <c r="D552" s="1407"/>
      <c r="E552" s="1407"/>
      <c r="F552" s="1407"/>
      <c r="G552" s="1407"/>
      <c r="H552" s="1407"/>
      <c r="I552" s="1407"/>
      <c r="J552" s="1407"/>
      <c r="K552" s="1407"/>
      <c r="L552" s="1408"/>
      <c r="M552" s="1406"/>
      <c r="N552" s="1407"/>
      <c r="O552" s="1407"/>
      <c r="P552" s="1408"/>
      <c r="Q552" s="1406"/>
      <c r="R552" s="1407"/>
      <c r="S552" s="1408"/>
      <c r="T552" s="1406"/>
      <c r="U552" s="1407"/>
      <c r="V552" s="1408"/>
      <c r="W552" s="1406"/>
      <c r="X552" s="1407"/>
      <c r="Y552" s="1408"/>
      <c r="Z552" s="1406"/>
      <c r="AA552" s="1407"/>
      <c r="AB552" s="1407"/>
      <c r="AC552" s="1407"/>
      <c r="AD552" s="1408"/>
      <c r="AE552" s="1406"/>
      <c r="AF552" s="1407"/>
      <c r="AG552" s="1407"/>
      <c r="AH552" s="1408"/>
      <c r="AI552" s="1406"/>
      <c r="AJ552" s="1407"/>
      <c r="AK552" s="1407"/>
      <c r="AL552" s="1408"/>
      <c r="AM552" s="1406"/>
      <c r="AN552" s="1407"/>
      <c r="AO552" s="1407"/>
      <c r="AP552" s="1407"/>
      <c r="AQ552" s="1407"/>
      <c r="AR552" s="1407"/>
      <c r="AS552" s="1408"/>
      <c r="AU552" s="107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2" customHeight="1">
      <c r="B553" s="1437"/>
      <c r="C553" s="1438"/>
      <c r="D553" s="1438"/>
      <c r="E553" s="1438"/>
      <c r="F553" s="1438"/>
      <c r="G553" s="1438"/>
      <c r="H553" s="1438"/>
      <c r="I553" s="1438"/>
      <c r="J553" s="1438"/>
      <c r="K553" s="1438"/>
      <c r="L553" s="1439"/>
      <c r="M553" s="1437"/>
      <c r="N553" s="1438"/>
      <c r="O553" s="1438"/>
      <c r="P553" s="1439"/>
      <c r="Q553" s="1437"/>
      <c r="R553" s="1438"/>
      <c r="S553" s="1439"/>
      <c r="T553" s="1437"/>
      <c r="U553" s="1438"/>
      <c r="V553" s="1439"/>
      <c r="W553" s="1437"/>
      <c r="X553" s="1438"/>
      <c r="Y553" s="1439"/>
      <c r="Z553" s="1437"/>
      <c r="AA553" s="1438"/>
      <c r="AB553" s="1438"/>
      <c r="AC553" s="1438"/>
      <c r="AD553" s="1439"/>
      <c r="AE553" s="1437"/>
      <c r="AF553" s="1438"/>
      <c r="AG553" s="1438"/>
      <c r="AH553" s="1439"/>
      <c r="AI553" s="1437"/>
      <c r="AJ553" s="1438"/>
      <c r="AK553" s="1438"/>
      <c r="AL553" s="1439"/>
      <c r="AM553" s="1437"/>
      <c r="AN553" s="1438"/>
      <c r="AO553" s="1438"/>
      <c r="AP553" s="1438"/>
      <c r="AQ553" s="1438"/>
      <c r="AR553" s="1438"/>
      <c r="AS553" s="1439"/>
      <c r="AU553" s="107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2" customHeight="1">
      <c r="B554" s="44" t="s">
        <v>17</v>
      </c>
      <c r="C554" s="1447" t="s">
        <v>1463</v>
      </c>
      <c r="D554" s="1447"/>
      <c r="E554" s="1447"/>
      <c r="F554" s="1447"/>
      <c r="G554" s="1447"/>
      <c r="H554" s="1447"/>
      <c r="I554" s="1447"/>
      <c r="J554" s="1447"/>
      <c r="K554" s="1447"/>
      <c r="L554" s="1447"/>
      <c r="M554" s="1447" t="s">
        <v>1437</v>
      </c>
      <c r="N554" s="1447"/>
      <c r="O554" s="1447"/>
      <c r="P554" s="1447"/>
      <c r="Q554" s="1441">
        <v>36</v>
      </c>
      <c r="R554" s="1441"/>
      <c r="S554" s="1442"/>
      <c r="T554" s="1440">
        <v>36</v>
      </c>
      <c r="U554" s="1441"/>
      <c r="V554" s="1442"/>
      <c r="W554" s="1458">
        <v>7.8E-2</v>
      </c>
      <c r="X554" s="1459"/>
      <c r="Y554" s="1460"/>
      <c r="Z554" s="1443" t="s">
        <v>1464</v>
      </c>
      <c r="AA554" s="1443"/>
      <c r="AB554" s="1443"/>
      <c r="AC554" s="1443"/>
      <c r="AD554" s="1443"/>
      <c r="AE554" s="1450"/>
      <c r="AF554" s="1451"/>
      <c r="AG554" s="1451"/>
      <c r="AH554" s="1452"/>
      <c r="AI554" s="1434"/>
      <c r="AJ554" s="1435"/>
      <c r="AK554" s="1435"/>
      <c r="AL554" s="1436"/>
      <c r="AM554" s="1444">
        <v>37929000</v>
      </c>
      <c r="AN554" s="1445"/>
      <c r="AO554" s="1445"/>
      <c r="AP554" s="1445"/>
      <c r="AQ554" s="1445"/>
      <c r="AR554" s="1445"/>
      <c r="AS554" s="1446"/>
      <c r="AT554" s="1071"/>
      <c r="AU554" s="107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2" customHeight="1">
      <c r="B555" s="45" t="s">
        <v>30</v>
      </c>
      <c r="C555" s="1448" t="s">
        <v>1463</v>
      </c>
      <c r="D555" s="1448"/>
      <c r="E555" s="1448"/>
      <c r="F555" s="1448"/>
      <c r="G555" s="1448"/>
      <c r="H555" s="1448"/>
      <c r="I555" s="1448"/>
      <c r="J555" s="1448"/>
      <c r="K555" s="1448"/>
      <c r="L555" s="1448"/>
      <c r="M555" s="1447" t="s">
        <v>1436</v>
      </c>
      <c r="N555" s="1447"/>
      <c r="O555" s="1447"/>
      <c r="P555" s="1447"/>
      <c r="Q555" s="1440">
        <v>36</v>
      </c>
      <c r="R555" s="1441"/>
      <c r="S555" s="1442"/>
      <c r="T555" s="1440">
        <v>36</v>
      </c>
      <c r="U555" s="1441"/>
      <c r="V555" s="1442"/>
      <c r="W555" s="1458">
        <v>7.8E-2</v>
      </c>
      <c r="X555" s="1459"/>
      <c r="Y555" s="1460"/>
      <c r="Z555" s="1443" t="s">
        <v>1464</v>
      </c>
      <c r="AA555" s="1443"/>
      <c r="AB555" s="1443"/>
      <c r="AC555" s="1443"/>
      <c r="AD555" s="1443"/>
      <c r="AE555" s="1450"/>
      <c r="AF555" s="1451"/>
      <c r="AG555" s="1451"/>
      <c r="AH555" s="1452"/>
      <c r="AI555" s="1434"/>
      <c r="AJ555" s="1435"/>
      <c r="AK555" s="1435"/>
      <c r="AL555" s="1436"/>
      <c r="AM555" s="1444">
        <v>8371685</v>
      </c>
      <c r="AN555" s="1445"/>
      <c r="AO555" s="1445"/>
      <c r="AP555" s="1445"/>
      <c r="AQ555" s="1445"/>
      <c r="AR555" s="1445"/>
      <c r="AS555" s="1446"/>
      <c r="AT555" s="1071" t="str">
        <f>IF(AND(NOT(C554=""),C555="",NOT(C556="")),"!","")</f>
        <v/>
      </c>
      <c r="AU555" s="107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2" customHeight="1">
      <c r="B556" s="45" t="s">
        <v>38</v>
      </c>
      <c r="C556" s="1448" t="s">
        <v>1465</v>
      </c>
      <c r="D556" s="1448"/>
      <c r="E556" s="1448"/>
      <c r="F556" s="1448"/>
      <c r="G556" s="1448"/>
      <c r="H556" s="1448"/>
      <c r="I556" s="1448"/>
      <c r="J556" s="1448"/>
      <c r="K556" s="1448"/>
      <c r="L556" s="1448"/>
      <c r="M556" s="1447" t="s">
        <v>1422</v>
      </c>
      <c r="N556" s="1447"/>
      <c r="O556" s="1447"/>
      <c r="P556" s="1447"/>
      <c r="Q556" s="1440"/>
      <c r="R556" s="1441"/>
      <c r="S556" s="1442"/>
      <c r="T556" s="1440"/>
      <c r="U556" s="1441"/>
      <c r="V556" s="1442"/>
      <c r="W556" s="1458"/>
      <c r="X556" s="1459"/>
      <c r="Y556" s="1460"/>
      <c r="Z556" s="1443" t="s">
        <v>299</v>
      </c>
      <c r="AA556" s="1443"/>
      <c r="AB556" s="1443"/>
      <c r="AC556" s="1443"/>
      <c r="AD556" s="1443"/>
      <c r="AE556" s="1450"/>
      <c r="AF556" s="1451"/>
      <c r="AG556" s="1451"/>
      <c r="AH556" s="1452"/>
      <c r="AI556" s="1434"/>
      <c r="AJ556" s="1435"/>
      <c r="AK556" s="1435"/>
      <c r="AL556" s="1436"/>
      <c r="AM556" s="1444">
        <v>11250000</v>
      </c>
      <c r="AN556" s="1445"/>
      <c r="AO556" s="1445"/>
      <c r="AP556" s="1445"/>
      <c r="AQ556" s="1445"/>
      <c r="AR556" s="1445"/>
      <c r="AS556" s="1446"/>
      <c r="AT556" s="1071" t="str">
        <f>IF(AND(NOT(C555=""),C556="",NOT(C557="")),"!","")</f>
        <v/>
      </c>
      <c r="AU556" s="107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2" customHeight="1">
      <c r="B557" s="45" t="s">
        <v>81</v>
      </c>
      <c r="C557" s="1448" t="s">
        <v>1466</v>
      </c>
      <c r="D557" s="1448"/>
      <c r="E557" s="1448"/>
      <c r="F557" s="1448"/>
      <c r="G557" s="1448"/>
      <c r="H557" s="1448"/>
      <c r="I557" s="1448"/>
      <c r="J557" s="1448"/>
      <c r="K557" s="1448"/>
      <c r="L557" s="1448"/>
      <c r="M557" s="1447" t="s">
        <v>1440</v>
      </c>
      <c r="N557" s="1447"/>
      <c r="O557" s="1447"/>
      <c r="P557" s="1447"/>
      <c r="Q557" s="1440"/>
      <c r="R557" s="1441"/>
      <c r="S557" s="1442"/>
      <c r="T557" s="1440"/>
      <c r="U557" s="1441"/>
      <c r="V557" s="1442"/>
      <c r="W557" s="1458"/>
      <c r="X557" s="1459"/>
      <c r="Y557" s="1460"/>
      <c r="Z557" s="1443" t="s">
        <v>299</v>
      </c>
      <c r="AA557" s="1443"/>
      <c r="AB557" s="1443"/>
      <c r="AC557" s="1443"/>
      <c r="AD557" s="1443"/>
      <c r="AE557" s="1450"/>
      <c r="AF557" s="1451"/>
      <c r="AG557" s="1451"/>
      <c r="AH557" s="1452"/>
      <c r="AI557" s="1434"/>
      <c r="AJ557" s="1435"/>
      <c r="AK557" s="1435"/>
      <c r="AL557" s="1436"/>
      <c r="AM557" s="1444">
        <v>7650000</v>
      </c>
      <c r="AN557" s="1445"/>
      <c r="AO557" s="1445"/>
      <c r="AP557" s="1445"/>
      <c r="AQ557" s="1445"/>
      <c r="AR557" s="1445"/>
      <c r="AS557" s="1446"/>
      <c r="AT557" s="1071" t="str">
        <f>IF(AND(NOT(C556=""),C557="",NOT(C558="")),"!","")</f>
        <v/>
      </c>
      <c r="AU557" s="107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2" customHeight="1">
      <c r="B558" s="45" t="s">
        <v>85</v>
      </c>
      <c r="C558" s="1448" t="s">
        <v>1467</v>
      </c>
      <c r="D558" s="1448"/>
      <c r="E558" s="1448"/>
      <c r="F558" s="1448"/>
      <c r="G558" s="1448"/>
      <c r="H558" s="1448"/>
      <c r="I558" s="1448"/>
      <c r="J558" s="1448"/>
      <c r="K558" s="1448"/>
      <c r="L558" s="1448"/>
      <c r="M558" s="1447" t="s">
        <v>1416</v>
      </c>
      <c r="N558" s="1447"/>
      <c r="O558" s="1447"/>
      <c r="P558" s="1447"/>
      <c r="Q558" s="1440"/>
      <c r="R558" s="1441"/>
      <c r="S558" s="1442"/>
      <c r="T558" s="1440"/>
      <c r="U558" s="1441"/>
      <c r="V558" s="1442"/>
      <c r="W558" s="1458"/>
      <c r="X558" s="1459"/>
      <c r="Y558" s="1460"/>
      <c r="Z558" s="1443" t="s">
        <v>299</v>
      </c>
      <c r="AA558" s="1443"/>
      <c r="AB558" s="1443"/>
      <c r="AC558" s="1443"/>
      <c r="AD558" s="1443"/>
      <c r="AE558" s="1450"/>
      <c r="AF558" s="1451"/>
      <c r="AG558" s="1451"/>
      <c r="AH558" s="1452"/>
      <c r="AI558" s="1434"/>
      <c r="AJ558" s="1435"/>
      <c r="AK558" s="1435"/>
      <c r="AL558" s="1436"/>
      <c r="AM558" s="1444">
        <v>7563773</v>
      </c>
      <c r="AN558" s="1445"/>
      <c r="AO558" s="1445"/>
      <c r="AP558" s="1445"/>
      <c r="AQ558" s="1445"/>
      <c r="AR558" s="1445"/>
      <c r="AS558" s="1446"/>
      <c r="AT558" s="1071" t="str">
        <f t="shared" ref="AT558:AT565" si="0">IF(AND(NOT(C557=""),C558="",NOT(C559="")),"!","")</f>
        <v/>
      </c>
      <c r="AU558" s="1070"/>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2" customHeight="1">
      <c r="B559" s="45" t="s">
        <v>1468</v>
      </c>
      <c r="C559" s="1448" t="s">
        <v>1469</v>
      </c>
      <c r="D559" s="1448"/>
      <c r="E559" s="1448"/>
      <c r="F559" s="1448"/>
      <c r="G559" s="1448"/>
      <c r="H559" s="1448"/>
      <c r="I559" s="1448"/>
      <c r="J559" s="1448"/>
      <c r="K559" s="1448"/>
      <c r="L559" s="1448"/>
      <c r="M559" s="1447" t="s">
        <v>1440</v>
      </c>
      <c r="N559" s="1447"/>
      <c r="O559" s="1447"/>
      <c r="P559" s="1447"/>
      <c r="Q559" s="1440"/>
      <c r="R559" s="1441"/>
      <c r="S559" s="1442"/>
      <c r="T559" s="1440"/>
      <c r="U559" s="1441"/>
      <c r="V559" s="1442"/>
      <c r="W559" s="1458"/>
      <c r="X559" s="1459"/>
      <c r="Y559" s="1460"/>
      <c r="Z559" s="1443" t="s">
        <v>299</v>
      </c>
      <c r="AA559" s="1443"/>
      <c r="AB559" s="1443"/>
      <c r="AC559" s="1443"/>
      <c r="AD559" s="1443"/>
      <c r="AE559" s="1450"/>
      <c r="AF559" s="1451"/>
      <c r="AG559" s="1451"/>
      <c r="AH559" s="1452"/>
      <c r="AI559" s="1434"/>
      <c r="AJ559" s="1435"/>
      <c r="AK559" s="1435"/>
      <c r="AL559" s="1436"/>
      <c r="AM559" s="1444">
        <v>521676</v>
      </c>
      <c r="AN559" s="1445"/>
      <c r="AO559" s="1445"/>
      <c r="AP559" s="1445"/>
      <c r="AQ559" s="1445"/>
      <c r="AR559" s="1445"/>
      <c r="AS559" s="1446"/>
      <c r="AT559" s="1071" t="str">
        <f t="shared" si="0"/>
        <v/>
      </c>
      <c r="AU559" s="1070"/>
      <c r="BB559" s="3"/>
      <c r="BC559" s="3"/>
      <c r="BD559" s="3"/>
      <c r="BE559" s="3"/>
      <c r="BF559" s="3"/>
      <c r="BG559" s="3"/>
      <c r="BH559" s="3" t="s">
        <v>1468</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2" customHeight="1">
      <c r="B560" s="45" t="s">
        <v>1470</v>
      </c>
      <c r="C560" s="1448"/>
      <c r="D560" s="1448"/>
      <c r="E560" s="1448"/>
      <c r="F560" s="1448"/>
      <c r="G560" s="1448"/>
      <c r="H560" s="1448"/>
      <c r="I560" s="1448"/>
      <c r="J560" s="1448"/>
      <c r="K560" s="1448"/>
      <c r="L560" s="1448"/>
      <c r="M560" s="1447" t="s">
        <v>1075</v>
      </c>
      <c r="N560" s="1447"/>
      <c r="O560" s="1447"/>
      <c r="P560" s="1447"/>
      <c r="Q560" s="1440"/>
      <c r="R560" s="1441"/>
      <c r="S560" s="1442"/>
      <c r="T560" s="1440"/>
      <c r="U560" s="1441"/>
      <c r="V560" s="1442"/>
      <c r="W560" s="1458"/>
      <c r="X560" s="1459"/>
      <c r="Y560" s="1460"/>
      <c r="Z560" s="1443" t="s">
        <v>1075</v>
      </c>
      <c r="AA560" s="1443"/>
      <c r="AB560" s="1443"/>
      <c r="AC560" s="1443"/>
      <c r="AD560" s="1443"/>
      <c r="AE560" s="1450"/>
      <c r="AF560" s="1451"/>
      <c r="AG560" s="1451"/>
      <c r="AH560" s="1452"/>
      <c r="AI560" s="1434"/>
      <c r="AJ560" s="1435"/>
      <c r="AK560" s="1435"/>
      <c r="AL560" s="1436"/>
      <c r="AM560" s="1444"/>
      <c r="AN560" s="1445"/>
      <c r="AO560" s="1445"/>
      <c r="AP560" s="1445"/>
      <c r="AQ560" s="1445"/>
      <c r="AR560" s="1445"/>
      <c r="AS560" s="1446"/>
      <c r="AT560" s="1071" t="str">
        <f t="shared" si="0"/>
        <v/>
      </c>
      <c r="AU560" s="107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2" customHeight="1">
      <c r="B561" s="45" t="s">
        <v>1471</v>
      </c>
      <c r="C561" s="1448"/>
      <c r="D561" s="1448"/>
      <c r="E561" s="1448"/>
      <c r="F561" s="1448"/>
      <c r="G561" s="1448"/>
      <c r="H561" s="1448"/>
      <c r="I561" s="1448"/>
      <c r="J561" s="1448"/>
      <c r="K561" s="1448"/>
      <c r="L561" s="1448"/>
      <c r="M561" s="1447" t="s">
        <v>1075</v>
      </c>
      <c r="N561" s="1447"/>
      <c r="O561" s="1447"/>
      <c r="P561" s="1447"/>
      <c r="Q561" s="1440"/>
      <c r="R561" s="1441"/>
      <c r="S561" s="1442"/>
      <c r="T561" s="1440"/>
      <c r="U561" s="1441"/>
      <c r="V561" s="1442"/>
      <c r="W561" s="1458"/>
      <c r="X561" s="1459"/>
      <c r="Y561" s="1460"/>
      <c r="Z561" s="1443" t="s">
        <v>1075</v>
      </c>
      <c r="AA561" s="1443"/>
      <c r="AB561" s="1443"/>
      <c r="AC561" s="1443"/>
      <c r="AD561" s="1443"/>
      <c r="AE561" s="1450"/>
      <c r="AF561" s="1451"/>
      <c r="AG561" s="1451"/>
      <c r="AH561" s="1452"/>
      <c r="AI561" s="1434"/>
      <c r="AJ561" s="1435"/>
      <c r="AK561" s="1435"/>
      <c r="AL561" s="1436"/>
      <c r="AM561" s="1444"/>
      <c r="AN561" s="1445"/>
      <c r="AO561" s="1445"/>
      <c r="AP561" s="1445"/>
      <c r="AQ561" s="1445"/>
      <c r="AR561" s="1445"/>
      <c r="AS561" s="1446"/>
      <c r="AT561" s="1071" t="str">
        <f t="shared" si="0"/>
        <v/>
      </c>
      <c r="AU561" s="107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2" customHeight="1">
      <c r="B562" s="45" t="s">
        <v>1472</v>
      </c>
      <c r="C562" s="1448"/>
      <c r="D562" s="1448"/>
      <c r="E562" s="1448"/>
      <c r="F562" s="1448"/>
      <c r="G562" s="1448"/>
      <c r="H562" s="1448"/>
      <c r="I562" s="1448"/>
      <c r="J562" s="1448"/>
      <c r="K562" s="1448"/>
      <c r="L562" s="1448"/>
      <c r="M562" s="1447" t="s">
        <v>1075</v>
      </c>
      <c r="N562" s="1447"/>
      <c r="O562" s="1447"/>
      <c r="P562" s="1447"/>
      <c r="Q562" s="1440"/>
      <c r="R562" s="1441"/>
      <c r="S562" s="1442"/>
      <c r="T562" s="1440"/>
      <c r="U562" s="1441"/>
      <c r="V562" s="1442"/>
      <c r="W562" s="1458"/>
      <c r="X562" s="1459"/>
      <c r="Y562" s="1460"/>
      <c r="Z562" s="1443" t="s">
        <v>1075</v>
      </c>
      <c r="AA562" s="1443"/>
      <c r="AB562" s="1443"/>
      <c r="AC562" s="1443"/>
      <c r="AD562" s="1443"/>
      <c r="AE562" s="1450"/>
      <c r="AF562" s="1451"/>
      <c r="AG562" s="1451"/>
      <c r="AH562" s="1452"/>
      <c r="AI562" s="1434"/>
      <c r="AJ562" s="1435"/>
      <c r="AK562" s="1435"/>
      <c r="AL562" s="1436"/>
      <c r="AM562" s="1444"/>
      <c r="AN562" s="1445"/>
      <c r="AO562" s="1445"/>
      <c r="AP562" s="1445"/>
      <c r="AQ562" s="1445"/>
      <c r="AR562" s="1445"/>
      <c r="AS562" s="1446"/>
      <c r="AT562" s="1071" t="str">
        <f t="shared" si="0"/>
        <v/>
      </c>
      <c r="AU562" s="107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2" customHeight="1">
      <c r="B563" s="45" t="s">
        <v>1473</v>
      </c>
      <c r="C563" s="1448"/>
      <c r="D563" s="1448"/>
      <c r="E563" s="1448"/>
      <c r="F563" s="1448"/>
      <c r="G563" s="1448"/>
      <c r="H563" s="1448"/>
      <c r="I563" s="1448"/>
      <c r="J563" s="1448"/>
      <c r="K563" s="1448"/>
      <c r="L563" s="1448"/>
      <c r="M563" s="1447" t="s">
        <v>1075</v>
      </c>
      <c r="N563" s="1447"/>
      <c r="O563" s="1447"/>
      <c r="P563" s="1447"/>
      <c r="Q563" s="1440"/>
      <c r="R563" s="1441"/>
      <c r="S563" s="1442"/>
      <c r="T563" s="1440"/>
      <c r="U563" s="1441"/>
      <c r="V563" s="1442"/>
      <c r="W563" s="1458"/>
      <c r="X563" s="1459"/>
      <c r="Y563" s="1460"/>
      <c r="Z563" s="1443" t="s">
        <v>1075</v>
      </c>
      <c r="AA563" s="1443"/>
      <c r="AB563" s="1443"/>
      <c r="AC563" s="1443"/>
      <c r="AD563" s="1443"/>
      <c r="AE563" s="1450"/>
      <c r="AF563" s="1451"/>
      <c r="AG563" s="1451"/>
      <c r="AH563" s="1452"/>
      <c r="AI563" s="1434"/>
      <c r="AJ563" s="1435"/>
      <c r="AK563" s="1435"/>
      <c r="AL563" s="1436"/>
      <c r="AM563" s="1444"/>
      <c r="AN563" s="1445"/>
      <c r="AO563" s="1445"/>
      <c r="AP563" s="1445"/>
      <c r="AQ563" s="1445"/>
      <c r="AR563" s="1445"/>
      <c r="AS563" s="1446"/>
      <c r="AT563" s="107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2" customHeight="1">
      <c r="B564" s="45" t="s">
        <v>1474</v>
      </c>
      <c r="C564" s="1448"/>
      <c r="D564" s="1448"/>
      <c r="E564" s="1448"/>
      <c r="F564" s="1448"/>
      <c r="G564" s="1448"/>
      <c r="H564" s="1448"/>
      <c r="I564" s="1448"/>
      <c r="J564" s="1448"/>
      <c r="K564" s="1448"/>
      <c r="L564" s="1448"/>
      <c r="M564" s="1447" t="s">
        <v>1075</v>
      </c>
      <c r="N564" s="1447"/>
      <c r="O564" s="1447"/>
      <c r="P564" s="1447"/>
      <c r="Q564" s="1440"/>
      <c r="R564" s="1441"/>
      <c r="S564" s="1442"/>
      <c r="T564" s="1440"/>
      <c r="U564" s="1441"/>
      <c r="V564" s="1442"/>
      <c r="W564" s="1458"/>
      <c r="X564" s="1459"/>
      <c r="Y564" s="1460"/>
      <c r="Z564" s="1443" t="s">
        <v>1075</v>
      </c>
      <c r="AA564" s="1443"/>
      <c r="AB564" s="1443"/>
      <c r="AC564" s="1443"/>
      <c r="AD564" s="1443"/>
      <c r="AE564" s="1450"/>
      <c r="AF564" s="1451"/>
      <c r="AG564" s="1451"/>
      <c r="AH564" s="1452"/>
      <c r="AI564" s="1434"/>
      <c r="AJ564" s="1435"/>
      <c r="AK564" s="1435"/>
      <c r="AL564" s="1436"/>
      <c r="AM564" s="1444"/>
      <c r="AN564" s="1445"/>
      <c r="AO564" s="1445"/>
      <c r="AP564" s="1445"/>
      <c r="AQ564" s="1445"/>
      <c r="AR564" s="1445"/>
      <c r="AS564" s="1446"/>
      <c r="AT564" s="107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2" customHeight="1">
      <c r="B565" s="45" t="s">
        <v>1475</v>
      </c>
      <c r="C565" s="1448"/>
      <c r="D565" s="1448"/>
      <c r="E565" s="1448"/>
      <c r="F565" s="1448"/>
      <c r="G565" s="1448"/>
      <c r="H565" s="1448"/>
      <c r="I565" s="1448"/>
      <c r="J565" s="1448"/>
      <c r="K565" s="1448"/>
      <c r="L565" s="1448"/>
      <c r="M565" s="1447" t="s">
        <v>1075</v>
      </c>
      <c r="N565" s="1447"/>
      <c r="O565" s="1447"/>
      <c r="P565" s="1447"/>
      <c r="Q565" s="1440"/>
      <c r="R565" s="1441"/>
      <c r="S565" s="1442"/>
      <c r="T565" s="1440"/>
      <c r="U565" s="1441"/>
      <c r="V565" s="1442"/>
      <c r="W565" s="1458"/>
      <c r="X565" s="1459"/>
      <c r="Y565" s="1460"/>
      <c r="Z565" s="1443" t="s">
        <v>1075</v>
      </c>
      <c r="AA565" s="1443"/>
      <c r="AB565" s="1443"/>
      <c r="AC565" s="1443"/>
      <c r="AD565" s="1443"/>
      <c r="AE565" s="1450"/>
      <c r="AF565" s="1451"/>
      <c r="AG565" s="1451"/>
      <c r="AH565" s="1452"/>
      <c r="AI565" s="1434"/>
      <c r="AJ565" s="1435"/>
      <c r="AK565" s="1435"/>
      <c r="AL565" s="1436"/>
      <c r="AM565" s="1444"/>
      <c r="AN565" s="1445"/>
      <c r="AO565" s="1445"/>
      <c r="AP565" s="1445"/>
      <c r="AQ565" s="1445"/>
      <c r="AR565" s="1445"/>
      <c r="AS565" s="1446"/>
      <c r="AT565" s="107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2" customHeight="1">
      <c r="B566" s="1555" t="s">
        <v>1476</v>
      </c>
      <c r="C566" s="1556"/>
      <c r="D566" s="1556"/>
      <c r="E566" s="1556"/>
      <c r="F566" s="1556"/>
      <c r="G566" s="1556"/>
      <c r="H566" s="1556"/>
      <c r="I566" s="1556"/>
      <c r="J566" s="1556"/>
      <c r="K566" s="1556"/>
      <c r="L566" s="1556"/>
      <c r="M566" s="1556"/>
      <c r="N566" s="1556"/>
      <c r="O566" s="1556"/>
      <c r="P566" s="1556"/>
      <c r="Q566" s="1556"/>
      <c r="R566" s="1556"/>
      <c r="S566" s="1556"/>
      <c r="T566" s="1556"/>
      <c r="U566" s="1652"/>
      <c r="V566" s="1556"/>
      <c r="W566" s="1556"/>
      <c r="X566" s="1556"/>
      <c r="Y566" s="1556"/>
      <c r="Z566" s="1556"/>
      <c r="AA566" s="1556"/>
      <c r="AB566" s="1556"/>
      <c r="AC566" s="1556"/>
      <c r="AD566" s="1556"/>
      <c r="AE566" s="1556"/>
      <c r="AF566" s="1556"/>
      <c r="AG566" s="1556"/>
      <c r="AH566" s="1556"/>
      <c r="AI566" s="1556"/>
      <c r="AJ566" s="1556"/>
      <c r="AK566" s="1556"/>
      <c r="AL566" s="1557"/>
      <c r="AM566" s="1530">
        <f>SUM(AM554:AS565)</f>
        <v>73286134</v>
      </c>
      <c r="AN566" s="1531"/>
      <c r="AO566" s="1531"/>
      <c r="AP566" s="1531"/>
      <c r="AQ566" s="1531"/>
      <c r="AR566" s="1531"/>
      <c r="AS566" s="1532"/>
      <c r="BB566" s="3"/>
      <c r="BC566" s="3"/>
      <c r="BD566" s="3"/>
      <c r="BE566" s="3"/>
      <c r="BF566" s="3"/>
      <c r="BG566" s="3"/>
      <c r="BH566" s="3" t="s">
        <v>1470</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2"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1471</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2" customHeight="1">
      <c r="A568" s="48" t="s">
        <v>17</v>
      </c>
      <c r="B568" t="s">
        <v>1477</v>
      </c>
      <c r="G568" s="1449" t="str">
        <f>C554</f>
        <v>Citibank,N.A.</v>
      </c>
      <c r="H568" s="1449"/>
      <c r="I568" s="1449"/>
      <c r="J568" s="1449"/>
      <c r="K568" s="1449"/>
      <c r="L568" s="1449"/>
      <c r="M568" s="1449"/>
      <c r="N568" s="1449"/>
      <c r="O568" s="1449"/>
      <c r="P568" s="1449"/>
      <c r="Q568" s="1449"/>
      <c r="R568" s="1449"/>
      <c r="S568" s="8"/>
      <c r="T568" s="48" t="s">
        <v>30</v>
      </c>
      <c r="U568" t="s">
        <v>1477</v>
      </c>
      <c r="Z568" s="1449" t="str">
        <f>C555</f>
        <v>Citibank,N.A.</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2" customHeight="1">
      <c r="A569" s="20"/>
      <c r="B569" t="s">
        <v>1109</v>
      </c>
      <c r="G569" s="1381" t="s">
        <v>1478</v>
      </c>
      <c r="H569" s="1381"/>
      <c r="I569" s="1381"/>
      <c r="J569" s="1381"/>
      <c r="K569" s="1381"/>
      <c r="L569" s="1381"/>
      <c r="M569" s="1381"/>
      <c r="N569" s="1381"/>
      <c r="O569" s="1381"/>
      <c r="P569" s="1381"/>
      <c r="Q569" s="1381"/>
      <c r="R569" s="1381"/>
      <c r="S569" s="8"/>
      <c r="T569" s="20"/>
      <c r="U569" t="s">
        <v>1109</v>
      </c>
      <c r="Z569" s="1381" t="s">
        <v>1478</v>
      </c>
      <c r="AA569" s="1381"/>
      <c r="AB569" s="1381"/>
      <c r="AC569" s="1381"/>
      <c r="AD569" s="1381"/>
      <c r="AE569" s="1381"/>
      <c r="AF569" s="1381"/>
      <c r="AG569" s="1381"/>
      <c r="AH569" s="1381"/>
      <c r="AI569" s="1381"/>
      <c r="AJ569" s="1381"/>
      <c r="AK569" s="138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2" customHeight="1">
      <c r="A570" s="20"/>
      <c r="B570" t="s">
        <v>979</v>
      </c>
      <c r="G570" s="1381" t="s">
        <v>1186</v>
      </c>
      <c r="H570" s="1381"/>
      <c r="I570" s="1381"/>
      <c r="J570" s="1381"/>
      <c r="K570" s="1381"/>
      <c r="L570" s="1381"/>
      <c r="M570" s="1381"/>
      <c r="N570" s="1381"/>
      <c r="O570" s="1381"/>
      <c r="P570" s="1381"/>
      <c r="Q570" s="1381"/>
      <c r="R570" s="1381"/>
      <c r="T570" s="20"/>
      <c r="U570" t="s">
        <v>979</v>
      </c>
      <c r="Z570" s="1329" t="s">
        <v>1186</v>
      </c>
      <c r="AA570" s="1329"/>
      <c r="AB570" s="1329"/>
      <c r="AC570" s="1329"/>
      <c r="AD570" s="1329"/>
      <c r="AE570" s="1329"/>
      <c r="AF570" s="1329"/>
      <c r="AG570" s="1329"/>
      <c r="AH570" s="1329"/>
      <c r="AI570" s="1329"/>
      <c r="AJ570" s="1329"/>
      <c r="AK570" s="132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2" customHeight="1">
      <c r="A571" s="20"/>
      <c r="B571" t="s">
        <v>1479</v>
      </c>
      <c r="G571" s="1381" t="s">
        <v>1480</v>
      </c>
      <c r="H571" s="1381"/>
      <c r="I571" s="1381"/>
      <c r="J571" s="1381"/>
      <c r="K571" s="1381"/>
      <c r="L571" s="1381"/>
      <c r="M571" s="1381"/>
      <c r="N571" s="1381"/>
      <c r="O571" s="1381"/>
      <c r="P571" s="1381"/>
      <c r="Q571" s="1381"/>
      <c r="R571" s="1381"/>
      <c r="S571" s="8"/>
      <c r="T571" s="20"/>
      <c r="U571" t="s">
        <v>1479</v>
      </c>
      <c r="Z571" s="1329" t="s">
        <v>1480</v>
      </c>
      <c r="AA571" s="1329"/>
      <c r="AB571" s="1329"/>
      <c r="AC571" s="1329"/>
      <c r="AD571" s="1329"/>
      <c r="AE571" s="1329"/>
      <c r="AF571" s="1329"/>
      <c r="AG571" s="1329"/>
      <c r="AH571" s="1329"/>
      <c r="AI571" s="1329"/>
      <c r="AJ571" s="1329"/>
      <c r="AK571" s="132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2" customHeight="1">
      <c r="A572" s="20"/>
      <c r="B572" t="s">
        <v>881</v>
      </c>
      <c r="G572" s="1378" t="s">
        <v>1481</v>
      </c>
      <c r="H572" s="1378"/>
      <c r="I572" s="1378"/>
      <c r="J572" s="1378"/>
      <c r="K572" s="1378"/>
      <c r="L572" s="1378"/>
      <c r="O572" s="948" t="s">
        <v>1117</v>
      </c>
      <c r="P572" s="1349"/>
      <c r="Q572" s="1349"/>
      <c r="R572" s="1349"/>
      <c r="S572" s="10"/>
      <c r="T572" s="20"/>
      <c r="U572" t="s">
        <v>881</v>
      </c>
      <c r="Z572" s="1378" t="s">
        <v>1481</v>
      </c>
      <c r="AA572" s="1378"/>
      <c r="AB572" s="1378"/>
      <c r="AC572" s="1378"/>
      <c r="AD572" s="1378"/>
      <c r="AE572" s="1378"/>
      <c r="AH572" s="948" t="s">
        <v>1117</v>
      </c>
      <c r="AI572" s="1349"/>
      <c r="AJ572" s="1349"/>
      <c r="AK572" s="134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2" customHeight="1">
      <c r="A573" s="20"/>
      <c r="B573" t="s">
        <v>1482</v>
      </c>
      <c r="H573" s="1381" t="s">
        <v>1483</v>
      </c>
      <c r="I573" s="1381"/>
      <c r="J573" s="1381"/>
      <c r="K573" s="1381"/>
      <c r="L573" s="1381"/>
      <c r="M573" s="1381"/>
      <c r="N573" s="1381"/>
      <c r="O573" s="1381"/>
      <c r="P573" s="1381"/>
      <c r="Q573" s="1381"/>
      <c r="R573" s="1381"/>
      <c r="S573" s="8"/>
      <c r="T573" s="20"/>
      <c r="U573" t="s">
        <v>1482</v>
      </c>
      <c r="AA573" s="1381" t="s">
        <v>1484</v>
      </c>
      <c r="AB573" s="1381"/>
      <c r="AC573" s="1381"/>
      <c r="AD573" s="1381"/>
      <c r="AE573" s="1381"/>
      <c r="AF573" s="1381"/>
      <c r="AG573" s="1381"/>
      <c r="AH573" s="1381"/>
      <c r="AI573" s="1381"/>
      <c r="AJ573" s="1381"/>
      <c r="AK573" s="138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2" customHeight="1">
      <c r="A574" s="20"/>
      <c r="B574" s="243" t="s">
        <v>1485</v>
      </c>
      <c r="H574" s="8"/>
      <c r="I574" s="8"/>
      <c r="J574" s="8"/>
      <c r="K574" s="8"/>
      <c r="L574" s="8"/>
      <c r="M574" s="1515"/>
      <c r="N574" s="1515"/>
      <c r="O574" s="1515"/>
      <c r="P574" s="1515"/>
      <c r="Q574" s="1515"/>
      <c r="R574" s="1515"/>
      <c r="S574" s="8"/>
      <c r="T574" s="20"/>
      <c r="U574" s="243" t="s">
        <v>1485</v>
      </c>
      <c r="AA574" s="8"/>
      <c r="AB574" s="8"/>
      <c r="AC574" s="8"/>
      <c r="AD574" s="8"/>
      <c r="AE574" s="8"/>
      <c r="AF574" s="1515"/>
      <c r="AG574" s="1515"/>
      <c r="AH574" s="1515"/>
      <c r="AI574" s="1515"/>
      <c r="AJ574" s="1515"/>
      <c r="AK574" s="151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2" customHeight="1">
      <c r="A575" s="20"/>
      <c r="B575" t="s">
        <v>1486</v>
      </c>
      <c r="N575" s="1348" t="s">
        <v>836</v>
      </c>
      <c r="O575" s="1348"/>
      <c r="T575" s="20"/>
      <c r="U575" t="s">
        <v>1486</v>
      </c>
      <c r="AG575" s="1348" t="s">
        <v>836</v>
      </c>
      <c r="AH575" s="134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2"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2" customHeight="1">
      <c r="A577" s="48" t="s">
        <v>38</v>
      </c>
      <c r="B577" t="s">
        <v>1477</v>
      </c>
      <c r="G577" s="1449" t="str">
        <f>C556</f>
        <v xml:space="preserve">CREA </v>
      </c>
      <c r="H577" s="1449"/>
      <c r="I577" s="1449"/>
      <c r="J577" s="1449"/>
      <c r="K577" s="1449"/>
      <c r="L577" s="1449"/>
      <c r="M577" s="1449"/>
      <c r="N577" s="1449"/>
      <c r="O577" s="1449"/>
      <c r="P577" s="1449"/>
      <c r="Q577" s="1449"/>
      <c r="R577" s="1449"/>
      <c r="T577" s="48" t="s">
        <v>81</v>
      </c>
      <c r="U577" t="s">
        <v>1477</v>
      </c>
      <c r="Z577" s="1449" t="str">
        <f>C557</f>
        <v>Philanthropic Funds (WLAVC)</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2" customHeight="1">
      <c r="A578" s="20"/>
      <c r="B578" t="s">
        <v>1109</v>
      </c>
      <c r="G578" s="1381" t="s">
        <v>1487</v>
      </c>
      <c r="H578" s="1381"/>
      <c r="I578" s="1381"/>
      <c r="J578" s="1381"/>
      <c r="K578" s="1381"/>
      <c r="L578" s="1381"/>
      <c r="M578" s="1381"/>
      <c r="N578" s="1381"/>
      <c r="O578" s="1381"/>
      <c r="P578" s="1381"/>
      <c r="Q578" s="1381"/>
      <c r="R578" s="1381"/>
      <c r="T578" s="20"/>
      <c r="U578" t="s">
        <v>1109</v>
      </c>
      <c r="Z578" s="1381" t="s">
        <v>1488</v>
      </c>
      <c r="AA578" s="1381"/>
      <c r="AB578" s="1381"/>
      <c r="AC578" s="1381"/>
      <c r="AD578" s="1381"/>
      <c r="AE578" s="1381"/>
      <c r="AF578" s="1381"/>
      <c r="AG578" s="1381"/>
      <c r="AH578" s="1381"/>
      <c r="AI578" s="1381"/>
      <c r="AJ578" s="1381"/>
      <c r="AK578" s="138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2" customHeight="1">
      <c r="A579" s="20"/>
      <c r="B579" t="s">
        <v>979</v>
      </c>
      <c r="G579" s="1329" t="s">
        <v>1489</v>
      </c>
      <c r="H579" s="1329"/>
      <c r="I579" s="1329"/>
      <c r="J579" s="1329"/>
      <c r="K579" s="1329"/>
      <c r="L579" s="1329"/>
      <c r="M579" s="1329"/>
      <c r="N579" s="1329"/>
      <c r="O579" s="1329"/>
      <c r="P579" s="1329"/>
      <c r="Q579" s="1329"/>
      <c r="R579" s="1329"/>
      <c r="T579" s="20"/>
      <c r="U579" t="s">
        <v>979</v>
      </c>
      <c r="Z579" s="1329" t="s">
        <v>1490</v>
      </c>
      <c r="AA579" s="1329"/>
      <c r="AB579" s="1329"/>
      <c r="AC579" s="1329"/>
      <c r="AD579" s="1329"/>
      <c r="AE579" s="1329"/>
      <c r="AF579" s="1329"/>
      <c r="AG579" s="1329"/>
      <c r="AH579" s="1329"/>
      <c r="AI579" s="1329"/>
      <c r="AJ579" s="1329"/>
      <c r="AK579" s="132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2" customHeight="1">
      <c r="A580" s="20"/>
      <c r="B580" t="s">
        <v>1479</v>
      </c>
      <c r="G580" s="1329" t="s">
        <v>1491</v>
      </c>
      <c r="H580" s="1329"/>
      <c r="I580" s="1329"/>
      <c r="J580" s="1329"/>
      <c r="K580" s="1329"/>
      <c r="L580" s="1329"/>
      <c r="M580" s="1329"/>
      <c r="N580" s="1329"/>
      <c r="O580" s="1329"/>
      <c r="P580" s="1329"/>
      <c r="Q580" s="1329"/>
      <c r="R580" s="1329"/>
      <c r="T580" s="20"/>
      <c r="U580" t="s">
        <v>1479</v>
      </c>
      <c r="Z580" s="1329" t="s">
        <v>1492</v>
      </c>
      <c r="AA580" s="1329"/>
      <c r="AB580" s="1329"/>
      <c r="AC580" s="1329"/>
      <c r="AD580" s="1329"/>
      <c r="AE580" s="1329"/>
      <c r="AF580" s="1329"/>
      <c r="AG580" s="1329"/>
      <c r="AH580" s="1329"/>
      <c r="AI580" s="1329"/>
      <c r="AJ580" s="1329"/>
      <c r="AK580" s="132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2" customHeight="1">
      <c r="A581" s="20"/>
      <c r="B581" t="s">
        <v>881</v>
      </c>
      <c r="G581" s="1378" t="s">
        <v>1493</v>
      </c>
      <c r="H581" s="1378"/>
      <c r="I581" s="1378"/>
      <c r="J581" s="1378"/>
      <c r="K581" s="1378"/>
      <c r="L581" s="1378"/>
      <c r="O581" s="948" t="s">
        <v>1117</v>
      </c>
      <c r="P581" s="1349"/>
      <c r="Q581" s="1349"/>
      <c r="R581" s="1349"/>
      <c r="T581" s="20"/>
      <c r="U581" t="s">
        <v>881</v>
      </c>
      <c r="Z581" s="1378" t="s">
        <v>1494</v>
      </c>
      <c r="AA581" s="1378"/>
      <c r="AB581" s="1378"/>
      <c r="AC581" s="1378"/>
      <c r="AD581" s="1378"/>
      <c r="AE581" s="1378"/>
      <c r="AH581" s="948" t="s">
        <v>1117</v>
      </c>
      <c r="AI581" s="1349"/>
      <c r="AJ581" s="1349"/>
      <c r="AK581" s="134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2" customHeight="1">
      <c r="A582" s="20"/>
      <c r="B582" t="s">
        <v>1482</v>
      </c>
      <c r="H582" s="1381" t="s">
        <v>1495</v>
      </c>
      <c r="I582" s="1381"/>
      <c r="J582" s="1381"/>
      <c r="K582" s="1381"/>
      <c r="L582" s="1381"/>
      <c r="M582" s="1381"/>
      <c r="N582" s="1381"/>
      <c r="O582" s="1381"/>
      <c r="P582" s="1381"/>
      <c r="Q582" s="1381"/>
      <c r="R582" s="1381"/>
      <c r="T582" s="20"/>
      <c r="U582" t="s">
        <v>1482</v>
      </c>
      <c r="AA582" s="1381" t="s">
        <v>1496</v>
      </c>
      <c r="AB582" s="1381"/>
      <c r="AC582" s="1381"/>
      <c r="AD582" s="1381"/>
      <c r="AE582" s="1381"/>
      <c r="AF582" s="1381"/>
      <c r="AG582" s="1381"/>
      <c r="AH582" s="1381"/>
      <c r="AI582" s="1381"/>
      <c r="AJ582" s="1381"/>
      <c r="AK582" s="138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2" customHeight="1">
      <c r="A583" s="20"/>
      <c r="B583" t="s">
        <v>1486</v>
      </c>
      <c r="N583" s="1348" t="s">
        <v>836</v>
      </c>
      <c r="O583" s="1348"/>
      <c r="T583" s="20"/>
      <c r="U583" t="s">
        <v>1486</v>
      </c>
      <c r="AG583" s="1348" t="s">
        <v>836</v>
      </c>
      <c r="AH583" s="134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2"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2" customHeight="1">
      <c r="A585" s="48" t="s">
        <v>85</v>
      </c>
      <c r="B585" t="s">
        <v>1477</v>
      </c>
      <c r="G585" s="1449" t="str">
        <f>C558</f>
        <v>Deferred Developer Fee</v>
      </c>
      <c r="H585" s="1449"/>
      <c r="I585" s="1449"/>
      <c r="J585" s="1449"/>
      <c r="K585" s="1449"/>
      <c r="L585" s="1449"/>
      <c r="M585" s="1449"/>
      <c r="N585" s="1449"/>
      <c r="O585" s="1449"/>
      <c r="P585" s="1449"/>
      <c r="Q585" s="1449"/>
      <c r="R585" s="1449"/>
      <c r="T585" s="48" t="s">
        <v>1468</v>
      </c>
      <c r="U585" t="s">
        <v>1477</v>
      </c>
      <c r="Z585" s="1449" t="str">
        <f>C559</f>
        <v>Deferred Reserves</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2" customHeight="1">
      <c r="A586" s="20"/>
      <c r="B586" t="s">
        <v>1109</v>
      </c>
      <c r="G586" s="1381" t="s">
        <v>1170</v>
      </c>
      <c r="H586" s="1381"/>
      <c r="I586" s="1381"/>
      <c r="J586" s="1381"/>
      <c r="K586" s="1381"/>
      <c r="L586" s="1381"/>
      <c r="M586" s="1381"/>
      <c r="N586" s="1381"/>
      <c r="O586" s="1381"/>
      <c r="P586" s="1381"/>
      <c r="Q586" s="1381"/>
      <c r="R586" s="1381"/>
      <c r="T586" s="20"/>
      <c r="U586" t="s">
        <v>1109</v>
      </c>
      <c r="Z586" s="1381" t="s">
        <v>1170</v>
      </c>
      <c r="AA586" s="1381"/>
      <c r="AB586" s="1381"/>
      <c r="AC586" s="1381"/>
      <c r="AD586" s="1381"/>
      <c r="AE586" s="1381"/>
      <c r="AF586" s="1381"/>
      <c r="AG586" s="1381"/>
      <c r="AH586" s="1381"/>
      <c r="AI586" s="1381"/>
      <c r="AJ586" s="1381"/>
      <c r="AK586" s="138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2" customHeight="1">
      <c r="A587" s="20"/>
      <c r="B587" t="s">
        <v>979</v>
      </c>
      <c r="G587" s="1381" t="s">
        <v>1497</v>
      </c>
      <c r="H587" s="1381"/>
      <c r="I587" s="1381"/>
      <c r="J587" s="1381"/>
      <c r="K587" s="1381"/>
      <c r="L587" s="1381"/>
      <c r="M587" s="1381"/>
      <c r="N587" s="1381"/>
      <c r="O587" s="1381"/>
      <c r="P587" s="1381"/>
      <c r="Q587" s="1381"/>
      <c r="R587" s="1381"/>
      <c r="T587" s="20"/>
      <c r="U587" t="s">
        <v>979</v>
      </c>
      <c r="Z587" s="1329" t="s">
        <v>1497</v>
      </c>
      <c r="AA587" s="1329"/>
      <c r="AB587" s="1329"/>
      <c r="AC587" s="1329"/>
      <c r="AD587" s="1329"/>
      <c r="AE587" s="1329"/>
      <c r="AF587" s="1329"/>
      <c r="AG587" s="1329"/>
      <c r="AH587" s="1329"/>
      <c r="AI587" s="1329"/>
      <c r="AJ587" s="1329"/>
      <c r="AK587" s="132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2" customHeight="1">
      <c r="A588" s="20"/>
      <c r="B588" t="s">
        <v>1479</v>
      </c>
      <c r="G588" s="1381" t="s">
        <v>1143</v>
      </c>
      <c r="H588" s="1381"/>
      <c r="I588" s="1381"/>
      <c r="J588" s="1381"/>
      <c r="K588" s="1381"/>
      <c r="L588" s="1381"/>
      <c r="M588" s="1381"/>
      <c r="N588" s="1381"/>
      <c r="O588" s="1381"/>
      <c r="P588" s="1381"/>
      <c r="Q588" s="1381"/>
      <c r="R588" s="1381"/>
      <c r="T588" s="20"/>
      <c r="U588" t="s">
        <v>1479</v>
      </c>
      <c r="Z588" s="1329" t="s">
        <v>1143</v>
      </c>
      <c r="AA588" s="1329"/>
      <c r="AB588" s="1329"/>
      <c r="AC588" s="1329"/>
      <c r="AD588" s="1329"/>
      <c r="AE588" s="1329"/>
      <c r="AF588" s="1329"/>
      <c r="AG588" s="1329"/>
      <c r="AH588" s="1329"/>
      <c r="AI588" s="1329"/>
      <c r="AJ588" s="1329"/>
      <c r="AK588" s="1329"/>
    </row>
    <row r="589" spans="1:110" ht="13.2" customHeight="1">
      <c r="A589" s="20"/>
      <c r="B589" t="s">
        <v>881</v>
      </c>
      <c r="G589" s="1378" t="s">
        <v>1144</v>
      </c>
      <c r="H589" s="1378"/>
      <c r="I589" s="1378"/>
      <c r="J589" s="1378"/>
      <c r="K589" s="1378"/>
      <c r="L589" s="1378"/>
      <c r="O589" s="948" t="s">
        <v>1117</v>
      </c>
      <c r="P589" s="1349"/>
      <c r="Q589" s="1349"/>
      <c r="R589" s="1349"/>
      <c r="T589" s="20"/>
      <c r="U589" t="s">
        <v>881</v>
      </c>
      <c r="Z589" s="1378" t="s">
        <v>1144</v>
      </c>
      <c r="AA589" s="1378"/>
      <c r="AB589" s="1378"/>
      <c r="AC589" s="1378"/>
      <c r="AD589" s="1378"/>
      <c r="AE589" s="1378"/>
      <c r="AH589" s="948" t="s">
        <v>1117</v>
      </c>
      <c r="AI589" s="1349"/>
      <c r="AJ589" s="1349"/>
      <c r="AK589" s="134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2" customHeight="1">
      <c r="A590" s="20"/>
      <c r="B590" t="s">
        <v>1482</v>
      </c>
      <c r="H590" s="1381" t="s">
        <v>1467</v>
      </c>
      <c r="I590" s="1381"/>
      <c r="J590" s="1381"/>
      <c r="K590" s="1381"/>
      <c r="L590" s="1381"/>
      <c r="M590" s="1381"/>
      <c r="N590" s="1381"/>
      <c r="O590" s="1381"/>
      <c r="P590" s="1381"/>
      <c r="Q590" s="1381"/>
      <c r="R590" s="1381"/>
      <c r="T590" s="20"/>
      <c r="U590" t="s">
        <v>1482</v>
      </c>
      <c r="AA590" s="1381" t="s">
        <v>1469</v>
      </c>
      <c r="AB590" s="1381"/>
      <c r="AC590" s="1381"/>
      <c r="AD590" s="1381"/>
      <c r="AE590" s="1381"/>
      <c r="AF590" s="1381"/>
      <c r="AG590" s="1381"/>
      <c r="AH590" s="1381"/>
      <c r="AI590" s="1381"/>
      <c r="AJ590" s="1381"/>
      <c r="AK590" s="138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2" customHeight="1">
      <c r="A591" s="20"/>
      <c r="B591" t="s">
        <v>1486</v>
      </c>
      <c r="N591" s="1348" t="s">
        <v>836</v>
      </c>
      <c r="O591" s="1348"/>
      <c r="T591" s="20"/>
      <c r="U591" t="s">
        <v>1486</v>
      </c>
      <c r="AG591" s="1348" t="s">
        <v>836</v>
      </c>
      <c r="AH591" s="134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2"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2" customHeight="1">
      <c r="A593" s="48" t="s">
        <v>1470</v>
      </c>
      <c r="B593" t="s">
        <v>1477</v>
      </c>
      <c r="G593" s="1449">
        <f>C560</f>
        <v>0</v>
      </c>
      <c r="H593" s="1449"/>
      <c r="I593" s="1449"/>
      <c r="J593" s="1449"/>
      <c r="K593" s="1449"/>
      <c r="L593" s="1449"/>
      <c r="M593" s="1449"/>
      <c r="N593" s="1449"/>
      <c r="O593" s="1449"/>
      <c r="P593" s="1449"/>
      <c r="Q593" s="1449"/>
      <c r="R593" s="1449"/>
      <c r="T593" s="48" t="s">
        <v>1471</v>
      </c>
      <c r="U593" t="s">
        <v>1477</v>
      </c>
      <c r="Z593" s="1449">
        <f>C561</f>
        <v>0</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2" customHeight="1">
      <c r="A594" s="20"/>
      <c r="B594" t="s">
        <v>1109</v>
      </c>
      <c r="C594"/>
      <c r="D594"/>
      <c r="E594"/>
      <c r="F594"/>
      <c r="G594" s="1381"/>
      <c r="H594" s="1381"/>
      <c r="I594" s="1381"/>
      <c r="J594" s="1381"/>
      <c r="K594" s="1381"/>
      <c r="L594" s="1381"/>
      <c r="M594" s="1381"/>
      <c r="N594" s="1381"/>
      <c r="O594" s="1381"/>
      <c r="P594" s="1381"/>
      <c r="Q594" s="1381"/>
      <c r="R594" s="1381"/>
      <c r="S594"/>
      <c r="T594" s="20"/>
      <c r="U594" t="s">
        <v>1109</v>
      </c>
      <c r="V594"/>
      <c r="W594"/>
      <c r="X594"/>
      <c r="Y594"/>
      <c r="Z594" s="1381"/>
      <c r="AA594" s="1381"/>
      <c r="AB594" s="1381"/>
      <c r="AC594" s="1381"/>
      <c r="AD594" s="1381"/>
      <c r="AE594" s="1381"/>
      <c r="AF594" s="1381"/>
      <c r="AG594" s="1381"/>
      <c r="AH594" s="1381"/>
      <c r="AI594" s="1381"/>
      <c r="AJ594" s="1381"/>
      <c r="AK594" s="138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2" customHeight="1">
      <c r="A595" s="20"/>
      <c r="B595" t="s">
        <v>979</v>
      </c>
      <c r="C595"/>
      <c r="D595"/>
      <c r="E595"/>
      <c r="F595"/>
      <c r="G595" s="1381"/>
      <c r="H595" s="1381"/>
      <c r="I595" s="1381"/>
      <c r="J595" s="1381"/>
      <c r="K595" s="1381"/>
      <c r="L595" s="1381"/>
      <c r="M595" s="1381"/>
      <c r="N595" s="1381"/>
      <c r="O595" s="1381"/>
      <c r="P595" s="1381"/>
      <c r="Q595" s="1381"/>
      <c r="R595" s="1381"/>
      <c r="S595"/>
      <c r="T595" s="20"/>
      <c r="U595" t="s">
        <v>979</v>
      </c>
      <c r="V595"/>
      <c r="W595"/>
      <c r="X595"/>
      <c r="Y595"/>
      <c r="Z595" s="1329"/>
      <c r="AA595" s="1329"/>
      <c r="AB595" s="1329"/>
      <c r="AC595" s="1329"/>
      <c r="AD595" s="1329"/>
      <c r="AE595" s="1329"/>
      <c r="AF595" s="1329"/>
      <c r="AG595" s="1329"/>
      <c r="AH595" s="1329"/>
      <c r="AI595" s="1329"/>
      <c r="AJ595" s="1329"/>
      <c r="AK595" s="132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1498</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1499</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1500</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2" customHeight="1">
      <c r="A596" s="20"/>
      <c r="B596" t="s">
        <v>1479</v>
      </c>
      <c r="C596"/>
      <c r="D596"/>
      <c r="E596"/>
      <c r="F596"/>
      <c r="G596" s="1381"/>
      <c r="H596" s="1381"/>
      <c r="I596" s="1381"/>
      <c r="J596" s="1381"/>
      <c r="K596" s="1381"/>
      <c r="L596" s="1381"/>
      <c r="M596" s="1381"/>
      <c r="N596" s="1381"/>
      <c r="O596" s="1381"/>
      <c r="P596" s="1381"/>
      <c r="Q596" s="1381"/>
      <c r="R596" s="1381"/>
      <c r="S596"/>
      <c r="T596" s="20"/>
      <c r="U596" t="s">
        <v>1479</v>
      </c>
      <c r="V596"/>
      <c r="W596"/>
      <c r="X596"/>
      <c r="Y596"/>
      <c r="Z596" s="1329"/>
      <c r="AA596" s="1329"/>
      <c r="AB596" s="1329"/>
      <c r="AC596" s="1329"/>
      <c r="AD596" s="1329"/>
      <c r="AE596" s="1329"/>
      <c r="AF596" s="1329"/>
      <c r="AG596" s="1329"/>
      <c r="AH596" s="1329"/>
      <c r="AI596" s="1329"/>
      <c r="AJ596" s="1329"/>
      <c r="AK596" s="1329"/>
      <c r="AL596"/>
      <c r="AM596"/>
      <c r="AN596"/>
      <c r="AO596"/>
      <c r="AP596"/>
      <c r="AQ596"/>
      <c r="AR596"/>
      <c r="AS596"/>
      <c r="AT596"/>
      <c r="AU596"/>
      <c r="AV596"/>
      <c r="AW596"/>
      <c r="AX596"/>
      <c r="AY596"/>
      <c r="AZ596" s="3"/>
      <c r="BA596" s="3" t="s">
        <v>1380</v>
      </c>
      <c r="BB596" s="3"/>
      <c r="BC596" s="3"/>
      <c r="BD596" s="3"/>
      <c r="BE596" s="88" t="s">
        <v>1501</v>
      </c>
      <c r="BF596" s="89"/>
      <c r="BG596" s="1339"/>
      <c r="BH596" s="1341"/>
      <c r="BI596" s="88" t="s">
        <v>1502</v>
      </c>
      <c r="BJ596" s="89"/>
      <c r="BK596" s="1339"/>
      <c r="BL596" s="1341"/>
      <c r="BM596" s="3"/>
      <c r="BN596" s="1454" t="s">
        <v>1503</v>
      </c>
      <c r="BO596" s="1455"/>
      <c r="BP596" s="1455"/>
      <c r="BQ596" s="1455"/>
      <c r="BR596" s="1456"/>
      <c r="BS596" s="1453" t="s">
        <v>1381</v>
      </c>
      <c r="BT596" s="1453"/>
      <c r="BU596" s="1453"/>
      <c r="BV596" s="1453"/>
      <c r="BW596" s="1453"/>
      <c r="BX596" s="1453" t="s">
        <v>1382</v>
      </c>
      <c r="BY596" s="1453"/>
      <c r="BZ596" s="1453"/>
      <c r="CA596" s="1453"/>
      <c r="CB596" s="1453"/>
      <c r="CC596" s="1453" t="s">
        <v>1383</v>
      </c>
      <c r="CD596" s="1453"/>
      <c r="CE596" s="1453"/>
      <c r="CF596" s="1453"/>
      <c r="CG596" s="1453"/>
      <c r="CH596" s="1453" t="s">
        <v>1504</v>
      </c>
      <c r="CI596" s="1453"/>
      <c r="CJ596" s="1453"/>
      <c r="CK596" s="1453"/>
      <c r="CL596" s="1453"/>
      <c r="CM596" s="1453" t="s">
        <v>1385</v>
      </c>
      <c r="CN596" s="1453"/>
      <c r="CO596" s="1453"/>
      <c r="CP596" s="1453"/>
      <c r="CQ596" s="1453"/>
      <c r="CR596" s="66"/>
      <c r="CS596" s="1453" t="s">
        <v>1503</v>
      </c>
      <c r="CT596" s="1453"/>
      <c r="CU596" s="1453"/>
      <c r="CV596" s="1453"/>
      <c r="CW596" s="1453"/>
      <c r="CX596" s="1453" t="s">
        <v>1381</v>
      </c>
      <c r="CY596" s="1453"/>
      <c r="CZ596" s="1453"/>
      <c r="DA596" s="1453"/>
      <c r="DB596" s="1453"/>
      <c r="DC596" s="1453" t="s">
        <v>1382</v>
      </c>
      <c r="DD596" s="1453"/>
      <c r="DE596" s="1453"/>
      <c r="DF596" s="1453"/>
      <c r="DG596" s="1453"/>
      <c r="DH596" s="1453" t="s">
        <v>1383</v>
      </c>
      <c r="DI596" s="1453"/>
      <c r="DJ596" s="1453"/>
      <c r="DK596" s="1453"/>
      <c r="DL596" s="1453"/>
      <c r="DM596" s="1453" t="s">
        <v>1504</v>
      </c>
      <c r="DN596" s="1453"/>
      <c r="DO596" s="1453"/>
      <c r="DP596" s="1453"/>
      <c r="DQ596" s="1453"/>
      <c r="DR596" s="1453" t="s">
        <v>1385</v>
      </c>
      <c r="DS596" s="1453"/>
      <c r="DT596" s="1453"/>
      <c r="DU596" s="1453"/>
      <c r="DV596" s="1453"/>
      <c r="DW596" s="3"/>
      <c r="DX596" s="1453" t="s">
        <v>1503</v>
      </c>
      <c r="DY596" s="1453"/>
      <c r="DZ596" s="1453"/>
      <c r="EA596" s="1453"/>
      <c r="EB596" s="1453"/>
      <c r="EC596" s="1453" t="s">
        <v>1381</v>
      </c>
      <c r="ED596" s="1453"/>
      <c r="EE596" s="1453"/>
      <c r="EF596" s="1453"/>
      <c r="EG596" s="1453"/>
      <c r="EH596" s="1453" t="s">
        <v>1382</v>
      </c>
      <c r="EI596" s="1453"/>
      <c r="EJ596" s="1453"/>
      <c r="EK596" s="1453"/>
      <c r="EL596" s="1453"/>
      <c r="EM596" s="1453" t="s">
        <v>1383</v>
      </c>
      <c r="EN596" s="1453"/>
      <c r="EO596" s="1453"/>
      <c r="EP596" s="1453"/>
      <c r="EQ596" s="1453"/>
      <c r="ER596" s="1453" t="s">
        <v>1504</v>
      </c>
      <c r="ES596" s="1453"/>
      <c r="ET596" s="1453"/>
      <c r="EU596" s="1453"/>
      <c r="EV596" s="1453"/>
      <c r="EW596" s="1453" t="s">
        <v>1385</v>
      </c>
      <c r="EX596" s="1453"/>
      <c r="EY596" s="1453"/>
      <c r="EZ596" s="1453"/>
      <c r="FA596" s="1453"/>
    </row>
    <row r="597" spans="1:157" s="4" customFormat="1" ht="13.2" customHeight="1">
      <c r="A597" s="20"/>
      <c r="B597" t="s">
        <v>881</v>
      </c>
      <c r="C597"/>
      <c r="D597"/>
      <c r="E597"/>
      <c r="F597"/>
      <c r="G597" s="1378"/>
      <c r="H597" s="1378"/>
      <c r="I597" s="1378"/>
      <c r="J597" s="1378"/>
      <c r="K597" s="1378"/>
      <c r="L597" s="1378"/>
      <c r="M597"/>
      <c r="N597"/>
      <c r="O597" s="948" t="s">
        <v>1117</v>
      </c>
      <c r="P597" s="1349"/>
      <c r="Q597" s="1349"/>
      <c r="R597" s="1349"/>
      <c r="S597"/>
      <c r="T597" s="20"/>
      <c r="U597" t="s">
        <v>881</v>
      </c>
      <c r="V597"/>
      <c r="W597"/>
      <c r="X597"/>
      <c r="Y597"/>
      <c r="Z597" s="1378"/>
      <c r="AA597" s="1378"/>
      <c r="AB597" s="1378"/>
      <c r="AC597" s="1378"/>
      <c r="AD597" s="1378"/>
      <c r="AE597" s="1378"/>
      <c r="AF597"/>
      <c r="AG597"/>
      <c r="AH597" s="948" t="s">
        <v>1117</v>
      </c>
      <c r="AI597" s="1349"/>
      <c r="AJ597" s="1349"/>
      <c r="AK597" s="1349"/>
      <c r="AL597"/>
      <c r="AM597"/>
      <c r="AN597"/>
      <c r="AO597"/>
      <c r="AP597"/>
      <c r="AQ597"/>
      <c r="AR597"/>
      <c r="AS597"/>
      <c r="AT597"/>
      <c r="AU597"/>
      <c r="AV597"/>
      <c r="AW597"/>
      <c r="AX597"/>
      <c r="AY597"/>
      <c r="AZ597" s="3"/>
      <c r="BA597" s="3" t="s">
        <v>1381</v>
      </c>
      <c r="BB597" s="3"/>
      <c r="BC597" s="3"/>
      <c r="BD597" s="3"/>
      <c r="BE597" s="1339">
        <f t="shared" ref="BE597:BE631" si="1">IF(AND(AC718&lt;=0.5,AC718&gt;=0.36),1,0)</f>
        <v>0</v>
      </c>
      <c r="BF597" s="1341"/>
      <c r="BG597" s="1339">
        <f t="shared" ref="BG597:BG631" si="2">IF(BE597=1,G718,0)</f>
        <v>0</v>
      </c>
      <c r="BH597" s="1341"/>
      <c r="BI597" s="1339">
        <f t="shared" ref="BI597:BI631" si="3">IF(AND(AC718&lt;=0.35,AC718&gt;0),1,0)</f>
        <v>1</v>
      </c>
      <c r="BJ597" s="1341"/>
      <c r="BK597" s="1339">
        <f t="shared" ref="BK597:BK631" si="4">IF(BI597=1,G718,0)</f>
        <v>50</v>
      </c>
      <c r="BL597" s="1341"/>
      <c r="BM597" s="3"/>
      <c r="BN597" s="1345">
        <f t="shared" ref="BN597:BN631" si="5">IF(B718="SRO/Studio",G718,0)</f>
        <v>0</v>
      </c>
      <c r="BO597" s="1346"/>
      <c r="BP597" s="1346"/>
      <c r="BQ597" s="1346"/>
      <c r="BR597" s="1347"/>
      <c r="BS597" s="1344">
        <f t="shared" ref="BS597:BS631" si="6">IF(B718="1 Bedroom",G718,0)</f>
        <v>50</v>
      </c>
      <c r="BT597" s="1344"/>
      <c r="BU597" s="1344"/>
      <c r="BV597" s="1344"/>
      <c r="BW597" s="1344"/>
      <c r="BX597" s="1344">
        <f t="shared" ref="BX597:BX631" si="7">IF(B718="2 Bedrooms",G718,0)</f>
        <v>0</v>
      </c>
      <c r="BY597" s="1344"/>
      <c r="BZ597" s="1344"/>
      <c r="CA597" s="1344"/>
      <c r="CB597" s="1344"/>
      <c r="CC597" s="1344">
        <f t="shared" ref="CC597:CC631" si="8">IF(B718="3 Bedrooms",G718,0)</f>
        <v>0</v>
      </c>
      <c r="CD597" s="1344"/>
      <c r="CE597" s="1344"/>
      <c r="CF597" s="1344"/>
      <c r="CG597" s="1344"/>
      <c r="CH597" s="1344">
        <f t="shared" ref="CH597:CH631" si="9">IF(B718="4 Bedrooms",G718,0)</f>
        <v>0</v>
      </c>
      <c r="CI597" s="1344"/>
      <c r="CJ597" s="1344"/>
      <c r="CK597" s="1344"/>
      <c r="CL597" s="1344"/>
      <c r="CM597" s="1344">
        <f t="shared" ref="CM597:CM631" si="10">IF(B718="5 Bedrooms",G718,0)</f>
        <v>0</v>
      </c>
      <c r="CN597" s="1344"/>
      <c r="CO597" s="1344"/>
      <c r="CP597" s="1344"/>
      <c r="CQ597" s="1344"/>
      <c r="CR597" s="278"/>
      <c r="CS597" s="1343">
        <f t="shared" ref="CS597:CS631" si="11">IF(AND(B718="SRO/Studio",AC718&lt;=0.3),G718,0)</f>
        <v>0</v>
      </c>
      <c r="CT597" s="1343"/>
      <c r="CU597" s="1343"/>
      <c r="CV597" s="1343"/>
      <c r="CW597" s="1343"/>
      <c r="CX597" s="1343">
        <f t="shared" ref="CX597:CX631" si="12">IF(AND(B718="1 Bedroom",AC718&lt;=0.3),G718,0)</f>
        <v>50</v>
      </c>
      <c r="CY597" s="1343"/>
      <c r="CZ597" s="1343"/>
      <c r="DA597" s="1343"/>
      <c r="DB597" s="1343"/>
      <c r="DC597" s="1343">
        <f t="shared" ref="DC597:DC631" si="13">IF(AND(B718="2 Bedrooms",AC718&lt;=0.3),G718,0)</f>
        <v>0</v>
      </c>
      <c r="DD597" s="1343"/>
      <c r="DE597" s="1343"/>
      <c r="DF597" s="1343"/>
      <c r="DG597" s="1343"/>
      <c r="DH597" s="1343">
        <f t="shared" ref="DH597:DH631" si="14">IF(AND(B718="3 Bedrooms",AC718&lt;=0.3),G718,0)</f>
        <v>0</v>
      </c>
      <c r="DI597" s="1343"/>
      <c r="DJ597" s="1343"/>
      <c r="DK597" s="1343"/>
      <c r="DL597" s="1343"/>
      <c r="DM597" s="1343">
        <f t="shared" ref="DM597:DM631" si="15">IF(AND(B718="4 Bedrooms",AC718&lt;=0.3),G718,0)</f>
        <v>0</v>
      </c>
      <c r="DN597" s="1343"/>
      <c r="DO597" s="1343"/>
      <c r="DP597" s="1343"/>
      <c r="DQ597" s="1343"/>
      <c r="DR597" s="1343">
        <f t="shared" ref="DR597:DR631" si="16">IF(AND(B718="5 Bedrooms",AC718&lt;=0.3),G718,0)</f>
        <v>0</v>
      </c>
      <c r="DS597" s="1343"/>
      <c r="DT597" s="1343"/>
      <c r="DU597" s="1343"/>
      <c r="DV597" s="1343"/>
      <c r="DW597" s="3"/>
      <c r="DX597" s="1339" t="str">
        <f t="shared" ref="DX597:DX631" si="17">IF(BN597&gt;0,O718,"")</f>
        <v/>
      </c>
      <c r="DY597" s="1340"/>
      <c r="DZ597" s="1340"/>
      <c r="EA597" s="1340"/>
      <c r="EB597" s="1341"/>
      <c r="EC597" s="1339">
        <f t="shared" ref="EC597:EC631" si="18">IF(BS597&gt;0,O718,"")</f>
        <v>680</v>
      </c>
      <c r="ED597" s="1340"/>
      <c r="EE597" s="1340"/>
      <c r="EF597" s="1340"/>
      <c r="EG597" s="1341"/>
      <c r="EH597" s="1339" t="str">
        <f t="shared" ref="EH597:EH631" si="19">IF(BX597&gt;0,O718,"")</f>
        <v/>
      </c>
      <c r="EI597" s="1340"/>
      <c r="EJ597" s="1340"/>
      <c r="EK597" s="1340"/>
      <c r="EL597" s="1341"/>
      <c r="EM597" s="1339" t="str">
        <f t="shared" ref="EM597:EM631" si="20">IF(CC597&gt;0,O718,"")</f>
        <v/>
      </c>
      <c r="EN597" s="1340"/>
      <c r="EO597" s="1340"/>
      <c r="EP597" s="1340"/>
      <c r="EQ597" s="1341"/>
      <c r="ER597" s="1339" t="str">
        <f t="shared" ref="ER597:ER631" si="21">IF(CH597&gt;0,O718,"")</f>
        <v/>
      </c>
      <c r="ES597" s="1340"/>
      <c r="ET597" s="1340"/>
      <c r="EU597" s="1340"/>
      <c r="EV597" s="1341"/>
      <c r="EW597" s="1339" t="str">
        <f t="shared" ref="EW597:EW631" si="22">IF(CM597&gt;0,O718,"")</f>
        <v/>
      </c>
      <c r="EX597" s="1340"/>
      <c r="EY597" s="1340"/>
      <c r="EZ597" s="1340"/>
      <c r="FA597" s="1341"/>
    </row>
    <row r="598" spans="1:157" s="4" customFormat="1" ht="13.2" customHeight="1">
      <c r="A598" s="20"/>
      <c r="B598" t="s">
        <v>1482</v>
      </c>
      <c r="C598"/>
      <c r="D598"/>
      <c r="E598"/>
      <c r="F598"/>
      <c r="G598"/>
      <c r="H598" s="1381"/>
      <c r="I598" s="1381"/>
      <c r="J598" s="1381"/>
      <c r="K598" s="1381"/>
      <c r="L598" s="1381"/>
      <c r="M598" s="1381"/>
      <c r="N598" s="1381"/>
      <c r="O598" s="1381"/>
      <c r="P598" s="1381"/>
      <c r="Q598" s="1381"/>
      <c r="R598" s="1381"/>
      <c r="S598"/>
      <c r="T598" s="20"/>
      <c r="U598" t="s">
        <v>1482</v>
      </c>
      <c r="V598"/>
      <c r="W598"/>
      <c r="X598"/>
      <c r="Y598"/>
      <c r="Z598"/>
      <c r="AA598" s="1381"/>
      <c r="AB598" s="1381"/>
      <c r="AC598" s="1381"/>
      <c r="AD598" s="1381"/>
      <c r="AE598" s="1381"/>
      <c r="AF598" s="1381"/>
      <c r="AG598" s="1381"/>
      <c r="AH598" s="1381"/>
      <c r="AI598" s="1381"/>
      <c r="AJ598" s="1381"/>
      <c r="AK598" s="1381"/>
      <c r="AL598"/>
      <c r="AM598"/>
      <c r="AN598"/>
      <c r="AO598"/>
      <c r="AP598"/>
      <c r="AQ598"/>
      <c r="AR598"/>
      <c r="AS598"/>
      <c r="AT598"/>
      <c r="AU598"/>
      <c r="AV598"/>
      <c r="AW598"/>
      <c r="AX598"/>
      <c r="AY598"/>
      <c r="AZ598" s="3"/>
      <c r="BA598" s="3" t="s">
        <v>1382</v>
      </c>
      <c r="BB598" s="3"/>
      <c r="BC598" s="3"/>
      <c r="BD598" s="3"/>
      <c r="BE598" s="1339">
        <f t="shared" si="1"/>
        <v>0</v>
      </c>
      <c r="BF598" s="1341"/>
      <c r="BG598" s="1339">
        <f t="shared" si="2"/>
        <v>0</v>
      </c>
      <c r="BH598" s="1341"/>
      <c r="BI598" s="1339">
        <f t="shared" si="3"/>
        <v>0</v>
      </c>
      <c r="BJ598" s="1341"/>
      <c r="BK598" s="1339">
        <f t="shared" si="4"/>
        <v>0</v>
      </c>
      <c r="BL598" s="1341"/>
      <c r="BM598" s="3"/>
      <c r="BN598" s="1345">
        <f t="shared" si="5"/>
        <v>0</v>
      </c>
      <c r="BO598" s="1346"/>
      <c r="BP598" s="1346"/>
      <c r="BQ598" s="1346"/>
      <c r="BR598" s="1347"/>
      <c r="BS598" s="1344">
        <f t="shared" si="6"/>
        <v>25</v>
      </c>
      <c r="BT598" s="1344"/>
      <c r="BU598" s="1344"/>
      <c r="BV598" s="1344"/>
      <c r="BW598" s="1344"/>
      <c r="BX598" s="1344">
        <f t="shared" si="7"/>
        <v>0</v>
      </c>
      <c r="BY598" s="1344"/>
      <c r="BZ598" s="1344"/>
      <c r="CA598" s="1344"/>
      <c r="CB598" s="1344"/>
      <c r="CC598" s="1344">
        <f t="shared" si="8"/>
        <v>0</v>
      </c>
      <c r="CD598" s="1344"/>
      <c r="CE598" s="1344"/>
      <c r="CF598" s="1344"/>
      <c r="CG598" s="1344"/>
      <c r="CH598" s="1344">
        <f t="shared" si="9"/>
        <v>0</v>
      </c>
      <c r="CI598" s="1344"/>
      <c r="CJ598" s="1344"/>
      <c r="CK598" s="1344"/>
      <c r="CL598" s="1344"/>
      <c r="CM598" s="1344">
        <f t="shared" si="10"/>
        <v>0</v>
      </c>
      <c r="CN598" s="1344"/>
      <c r="CO598" s="1344"/>
      <c r="CP598" s="1344"/>
      <c r="CQ598" s="1344"/>
      <c r="CR598" s="278"/>
      <c r="CS598" s="1343">
        <f t="shared" si="11"/>
        <v>0</v>
      </c>
      <c r="CT598" s="1343"/>
      <c r="CU598" s="1343"/>
      <c r="CV598" s="1343"/>
      <c r="CW598" s="1343"/>
      <c r="CX598" s="1343">
        <f t="shared" si="12"/>
        <v>0</v>
      </c>
      <c r="CY598" s="1343"/>
      <c r="CZ598" s="1343"/>
      <c r="DA598" s="1343"/>
      <c r="DB598" s="1343"/>
      <c r="DC598" s="1343">
        <f t="shared" si="13"/>
        <v>0</v>
      </c>
      <c r="DD598" s="1343"/>
      <c r="DE598" s="1343"/>
      <c r="DF598" s="1343"/>
      <c r="DG598" s="1343"/>
      <c r="DH598" s="1343">
        <f t="shared" si="14"/>
        <v>0</v>
      </c>
      <c r="DI598" s="1343"/>
      <c r="DJ598" s="1343"/>
      <c r="DK598" s="1343"/>
      <c r="DL598" s="1343"/>
      <c r="DM598" s="1343">
        <f t="shared" si="15"/>
        <v>0</v>
      </c>
      <c r="DN598" s="1343"/>
      <c r="DO598" s="1343"/>
      <c r="DP598" s="1343"/>
      <c r="DQ598" s="1343"/>
      <c r="DR598" s="1343">
        <f t="shared" si="16"/>
        <v>0</v>
      </c>
      <c r="DS598" s="1343"/>
      <c r="DT598" s="1343"/>
      <c r="DU598" s="1343"/>
      <c r="DV598" s="1343"/>
      <c r="DW598" s="3"/>
      <c r="DX598" s="1339" t="str">
        <f t="shared" si="17"/>
        <v/>
      </c>
      <c r="DY598" s="1340"/>
      <c r="DZ598" s="1340"/>
      <c r="EA598" s="1340"/>
      <c r="EB598" s="1341"/>
      <c r="EC598" s="1339">
        <f t="shared" si="18"/>
        <v>1460</v>
      </c>
      <c r="ED598" s="1340"/>
      <c r="EE598" s="1340"/>
      <c r="EF598" s="1340"/>
      <c r="EG598" s="1341"/>
      <c r="EH598" s="1339" t="str">
        <f t="shared" si="19"/>
        <v/>
      </c>
      <c r="EI598" s="1340"/>
      <c r="EJ598" s="1340"/>
      <c r="EK598" s="1340"/>
      <c r="EL598" s="1341"/>
      <c r="EM598" s="1339" t="str">
        <f t="shared" si="20"/>
        <v/>
      </c>
      <c r="EN598" s="1340"/>
      <c r="EO598" s="1340"/>
      <c r="EP598" s="1340"/>
      <c r="EQ598" s="1341"/>
      <c r="ER598" s="1339" t="str">
        <f t="shared" si="21"/>
        <v/>
      </c>
      <c r="ES598" s="1340"/>
      <c r="ET598" s="1340"/>
      <c r="EU598" s="1340"/>
      <c r="EV598" s="1341"/>
      <c r="EW598" s="1339" t="str">
        <f t="shared" si="22"/>
        <v/>
      </c>
      <c r="EX598" s="1340"/>
      <c r="EY598" s="1340"/>
      <c r="EZ598" s="1340"/>
      <c r="FA598" s="1341"/>
    </row>
    <row r="599" spans="1:157" ht="13.2" customHeight="1">
      <c r="A599" s="20"/>
      <c r="B599" t="s">
        <v>1486</v>
      </c>
      <c r="N599" s="1348" t="s">
        <v>892</v>
      </c>
      <c r="O599" s="1348"/>
      <c r="T599" s="20"/>
      <c r="U599" t="s">
        <v>1486</v>
      </c>
      <c r="AG599" s="1348" t="s">
        <v>892</v>
      </c>
      <c r="AH599" s="1348"/>
      <c r="BA599" s="3" t="s">
        <v>1383</v>
      </c>
      <c r="BB599" s="3"/>
      <c r="BC599" s="3"/>
      <c r="BD599" s="3"/>
      <c r="BE599" s="1339">
        <f t="shared" si="1"/>
        <v>0</v>
      </c>
      <c r="BF599" s="1341"/>
      <c r="BG599" s="1339">
        <f t="shared" si="2"/>
        <v>0</v>
      </c>
      <c r="BH599" s="1341"/>
      <c r="BI599" s="1339">
        <f t="shared" si="3"/>
        <v>0</v>
      </c>
      <c r="BJ599" s="1341"/>
      <c r="BK599" s="1339">
        <f t="shared" si="4"/>
        <v>0</v>
      </c>
      <c r="BL599" s="1341"/>
      <c r="BM599" s="3"/>
      <c r="BN599" s="1345">
        <f t="shared" si="5"/>
        <v>0</v>
      </c>
      <c r="BO599" s="1346"/>
      <c r="BP599" s="1346"/>
      <c r="BQ599" s="1346"/>
      <c r="BR599" s="1347"/>
      <c r="BS599" s="1344">
        <f t="shared" si="6"/>
        <v>22</v>
      </c>
      <c r="BT599" s="1344"/>
      <c r="BU599" s="1344"/>
      <c r="BV599" s="1344"/>
      <c r="BW599" s="1344"/>
      <c r="BX599" s="1344">
        <f t="shared" si="7"/>
        <v>0</v>
      </c>
      <c r="BY599" s="1344"/>
      <c r="BZ599" s="1344"/>
      <c r="CA599" s="1344"/>
      <c r="CB599" s="1344"/>
      <c r="CC599" s="1344">
        <f t="shared" si="8"/>
        <v>0</v>
      </c>
      <c r="CD599" s="1344"/>
      <c r="CE599" s="1344"/>
      <c r="CF599" s="1344"/>
      <c r="CG599" s="1344"/>
      <c r="CH599" s="1344">
        <f t="shared" si="9"/>
        <v>0</v>
      </c>
      <c r="CI599" s="1344"/>
      <c r="CJ599" s="1344"/>
      <c r="CK599" s="1344"/>
      <c r="CL599" s="1344"/>
      <c r="CM599" s="1344">
        <f t="shared" si="10"/>
        <v>0</v>
      </c>
      <c r="CN599" s="1344"/>
      <c r="CO599" s="1344"/>
      <c r="CP599" s="1344"/>
      <c r="CQ599" s="1344"/>
      <c r="CR599" s="278"/>
      <c r="CS599" s="1343">
        <f t="shared" si="11"/>
        <v>0</v>
      </c>
      <c r="CT599" s="1343"/>
      <c r="CU599" s="1343"/>
      <c r="CV599" s="1343"/>
      <c r="CW599" s="1343"/>
      <c r="CX599" s="1343">
        <f t="shared" si="12"/>
        <v>0</v>
      </c>
      <c r="CY599" s="1343"/>
      <c r="CZ599" s="1343"/>
      <c r="DA599" s="1343"/>
      <c r="DB599" s="1343"/>
      <c r="DC599" s="1343">
        <f t="shared" si="13"/>
        <v>0</v>
      </c>
      <c r="DD599" s="1343"/>
      <c r="DE599" s="1343"/>
      <c r="DF599" s="1343"/>
      <c r="DG599" s="1343"/>
      <c r="DH599" s="1343">
        <f t="shared" si="14"/>
        <v>0</v>
      </c>
      <c r="DI599" s="1343"/>
      <c r="DJ599" s="1343"/>
      <c r="DK599" s="1343"/>
      <c r="DL599" s="1343"/>
      <c r="DM599" s="1343">
        <f t="shared" si="15"/>
        <v>0</v>
      </c>
      <c r="DN599" s="1343"/>
      <c r="DO599" s="1343"/>
      <c r="DP599" s="1343"/>
      <c r="DQ599" s="1343"/>
      <c r="DR599" s="1343">
        <f t="shared" si="16"/>
        <v>0</v>
      </c>
      <c r="DS599" s="1343"/>
      <c r="DT599" s="1343"/>
      <c r="DU599" s="1343"/>
      <c r="DV599" s="1343"/>
      <c r="DX599" s="1339" t="str">
        <f t="shared" si="17"/>
        <v/>
      </c>
      <c r="DY599" s="1340"/>
      <c r="DZ599" s="1340"/>
      <c r="EA599" s="1340"/>
      <c r="EB599" s="1341"/>
      <c r="EC599" s="1339">
        <f t="shared" si="18"/>
        <v>1980</v>
      </c>
      <c r="ED599" s="1340"/>
      <c r="EE599" s="1340"/>
      <c r="EF599" s="1340"/>
      <c r="EG599" s="1341"/>
      <c r="EH599" s="1339" t="str">
        <f t="shared" si="19"/>
        <v/>
      </c>
      <c r="EI599" s="1340"/>
      <c r="EJ599" s="1340"/>
      <c r="EK599" s="1340"/>
      <c r="EL599" s="1341"/>
      <c r="EM599" s="1339" t="str">
        <f t="shared" si="20"/>
        <v/>
      </c>
      <c r="EN599" s="1340"/>
      <c r="EO599" s="1340"/>
      <c r="EP599" s="1340"/>
      <c r="EQ599" s="1341"/>
      <c r="ER599" s="1339" t="str">
        <f t="shared" si="21"/>
        <v/>
      </c>
      <c r="ES599" s="1340"/>
      <c r="ET599" s="1340"/>
      <c r="EU599" s="1340"/>
      <c r="EV599" s="1341"/>
      <c r="EW599" s="1339" t="str">
        <f t="shared" si="22"/>
        <v/>
      </c>
      <c r="EX599" s="1340"/>
      <c r="EY599" s="1340"/>
      <c r="EZ599" s="1340"/>
      <c r="FA599" s="1341"/>
    </row>
    <row r="600" spans="1:157" ht="13.2" customHeight="1">
      <c r="A600" s="20"/>
      <c r="T600" s="20"/>
      <c r="BA600" s="3" t="s">
        <v>1384</v>
      </c>
      <c r="BB600" s="3"/>
      <c r="BC600" s="3"/>
      <c r="BD600" s="3"/>
      <c r="BE600" s="1339">
        <f t="shared" si="1"/>
        <v>0</v>
      </c>
      <c r="BF600" s="1341"/>
      <c r="BG600" s="1339">
        <f t="shared" si="2"/>
        <v>0</v>
      </c>
      <c r="BH600" s="1341"/>
      <c r="BI600" s="1339">
        <f t="shared" si="3"/>
        <v>0</v>
      </c>
      <c r="BJ600" s="1341"/>
      <c r="BK600" s="1339">
        <f t="shared" si="4"/>
        <v>0</v>
      </c>
      <c r="BL600" s="1341"/>
      <c r="BM600" s="3"/>
      <c r="BN600" s="1345">
        <f t="shared" si="5"/>
        <v>0</v>
      </c>
      <c r="BO600" s="1346"/>
      <c r="BP600" s="1346"/>
      <c r="BQ600" s="1346"/>
      <c r="BR600" s="1347"/>
      <c r="BS600" s="1344">
        <f t="shared" si="6"/>
        <v>0</v>
      </c>
      <c r="BT600" s="1344"/>
      <c r="BU600" s="1344"/>
      <c r="BV600" s="1344"/>
      <c r="BW600" s="1344"/>
      <c r="BX600" s="1344">
        <f t="shared" si="7"/>
        <v>3</v>
      </c>
      <c r="BY600" s="1344"/>
      <c r="BZ600" s="1344"/>
      <c r="CA600" s="1344"/>
      <c r="CB600" s="1344"/>
      <c r="CC600" s="1344">
        <f t="shared" si="8"/>
        <v>0</v>
      </c>
      <c r="CD600" s="1344"/>
      <c r="CE600" s="1344"/>
      <c r="CF600" s="1344"/>
      <c r="CG600" s="1344"/>
      <c r="CH600" s="1344">
        <f t="shared" si="9"/>
        <v>0</v>
      </c>
      <c r="CI600" s="1344"/>
      <c r="CJ600" s="1344"/>
      <c r="CK600" s="1344"/>
      <c r="CL600" s="1344"/>
      <c r="CM600" s="1344">
        <f t="shared" si="10"/>
        <v>0</v>
      </c>
      <c r="CN600" s="1344"/>
      <c r="CO600" s="1344"/>
      <c r="CP600" s="1344"/>
      <c r="CQ600" s="1344"/>
      <c r="CR600" s="278"/>
      <c r="CS600" s="1343">
        <f t="shared" si="11"/>
        <v>0</v>
      </c>
      <c r="CT600" s="1343"/>
      <c r="CU600" s="1343"/>
      <c r="CV600" s="1343"/>
      <c r="CW600" s="1343"/>
      <c r="CX600" s="1343">
        <f t="shared" si="12"/>
        <v>0</v>
      </c>
      <c r="CY600" s="1343"/>
      <c r="CZ600" s="1343"/>
      <c r="DA600" s="1343"/>
      <c r="DB600" s="1343"/>
      <c r="DC600" s="1343">
        <f t="shared" si="13"/>
        <v>0</v>
      </c>
      <c r="DD600" s="1343"/>
      <c r="DE600" s="1343"/>
      <c r="DF600" s="1343"/>
      <c r="DG600" s="1343"/>
      <c r="DH600" s="1343">
        <f t="shared" si="14"/>
        <v>0</v>
      </c>
      <c r="DI600" s="1343"/>
      <c r="DJ600" s="1343"/>
      <c r="DK600" s="1343"/>
      <c r="DL600" s="1343"/>
      <c r="DM600" s="1343">
        <f t="shared" si="15"/>
        <v>0</v>
      </c>
      <c r="DN600" s="1343"/>
      <c r="DO600" s="1343"/>
      <c r="DP600" s="1343"/>
      <c r="DQ600" s="1343"/>
      <c r="DR600" s="1343">
        <f t="shared" si="16"/>
        <v>0</v>
      </c>
      <c r="DS600" s="1343"/>
      <c r="DT600" s="1343"/>
      <c r="DU600" s="1343"/>
      <c r="DV600" s="1343"/>
      <c r="DX600" s="1339" t="str">
        <f t="shared" si="17"/>
        <v/>
      </c>
      <c r="DY600" s="1340"/>
      <c r="DZ600" s="1340"/>
      <c r="EA600" s="1340"/>
      <c r="EB600" s="1341"/>
      <c r="EC600" s="1339" t="str">
        <f t="shared" si="18"/>
        <v/>
      </c>
      <c r="ED600" s="1340"/>
      <c r="EE600" s="1340"/>
      <c r="EF600" s="1340"/>
      <c r="EG600" s="1341"/>
      <c r="EH600" s="1339">
        <f t="shared" si="19"/>
        <v>2368</v>
      </c>
      <c r="EI600" s="1340"/>
      <c r="EJ600" s="1340"/>
      <c r="EK600" s="1340"/>
      <c r="EL600" s="1341"/>
      <c r="EM600" s="1339" t="str">
        <f t="shared" si="20"/>
        <v/>
      </c>
      <c r="EN600" s="1340"/>
      <c r="EO600" s="1340"/>
      <c r="EP600" s="1340"/>
      <c r="EQ600" s="1341"/>
      <c r="ER600" s="1339" t="str">
        <f t="shared" si="21"/>
        <v/>
      </c>
      <c r="ES600" s="1340"/>
      <c r="ET600" s="1340"/>
      <c r="EU600" s="1340"/>
      <c r="EV600" s="1341"/>
      <c r="EW600" s="1339" t="str">
        <f t="shared" si="22"/>
        <v/>
      </c>
      <c r="EX600" s="1340"/>
      <c r="EY600" s="1340"/>
      <c r="EZ600" s="1340"/>
      <c r="FA600" s="1341"/>
    </row>
    <row r="601" spans="1:157" ht="13.2" customHeight="1">
      <c r="A601" s="48" t="s">
        <v>1472</v>
      </c>
      <c r="B601" t="s">
        <v>1477</v>
      </c>
      <c r="G601" s="1449">
        <f>C562</f>
        <v>0</v>
      </c>
      <c r="H601" s="1449"/>
      <c r="I601" s="1449"/>
      <c r="J601" s="1449"/>
      <c r="K601" s="1449"/>
      <c r="L601" s="1449"/>
      <c r="M601" s="1449"/>
      <c r="N601" s="1449"/>
      <c r="O601" s="1449"/>
      <c r="P601" s="1449"/>
      <c r="Q601" s="1449"/>
      <c r="R601" s="1449"/>
      <c r="T601" s="48" t="s">
        <v>1473</v>
      </c>
      <c r="U601" t="s">
        <v>1477</v>
      </c>
      <c r="Z601" s="1449">
        <f>C563</f>
        <v>0</v>
      </c>
      <c r="AA601" s="1449"/>
      <c r="AB601" s="1449"/>
      <c r="AC601" s="1449"/>
      <c r="AD601" s="1449"/>
      <c r="AE601" s="1449"/>
      <c r="AF601" s="1449"/>
      <c r="AG601" s="1449"/>
      <c r="AH601" s="1449"/>
      <c r="AI601" s="1449"/>
      <c r="AJ601" s="1449"/>
      <c r="AK601" s="1449"/>
      <c r="BA601" s="3" t="s">
        <v>1385</v>
      </c>
      <c r="BB601" s="3"/>
      <c r="BC601" s="3"/>
      <c r="BD601" s="3"/>
      <c r="BE601" s="1339">
        <f t="shared" si="1"/>
        <v>0</v>
      </c>
      <c r="BF601" s="1341"/>
      <c r="BG601" s="1339">
        <f t="shared" si="2"/>
        <v>0</v>
      </c>
      <c r="BH601" s="1341"/>
      <c r="BI601" s="1339">
        <f t="shared" si="3"/>
        <v>0</v>
      </c>
      <c r="BJ601" s="1341"/>
      <c r="BK601" s="1339">
        <f t="shared" si="4"/>
        <v>0</v>
      </c>
      <c r="BL601" s="1341"/>
      <c r="BM601" s="3"/>
      <c r="BN601" s="1345">
        <f t="shared" si="5"/>
        <v>0</v>
      </c>
      <c r="BO601" s="1346"/>
      <c r="BP601" s="1346"/>
      <c r="BQ601" s="1346"/>
      <c r="BR601" s="1347"/>
      <c r="BS601" s="1344">
        <f t="shared" si="6"/>
        <v>0</v>
      </c>
      <c r="BT601" s="1344"/>
      <c r="BU601" s="1344"/>
      <c r="BV601" s="1344"/>
      <c r="BW601" s="1344"/>
      <c r="BX601" s="1344">
        <f t="shared" si="7"/>
        <v>0</v>
      </c>
      <c r="BY601" s="1344"/>
      <c r="BZ601" s="1344"/>
      <c r="CA601" s="1344"/>
      <c r="CB601" s="1344"/>
      <c r="CC601" s="1344">
        <f t="shared" si="8"/>
        <v>0</v>
      </c>
      <c r="CD601" s="1344"/>
      <c r="CE601" s="1344"/>
      <c r="CF601" s="1344"/>
      <c r="CG601" s="1344"/>
      <c r="CH601" s="1344">
        <f t="shared" si="9"/>
        <v>0</v>
      </c>
      <c r="CI601" s="1344"/>
      <c r="CJ601" s="1344"/>
      <c r="CK601" s="1344"/>
      <c r="CL601" s="1344"/>
      <c r="CM601" s="1344">
        <f t="shared" si="10"/>
        <v>0</v>
      </c>
      <c r="CN601" s="1344"/>
      <c r="CO601" s="1344"/>
      <c r="CP601" s="1344"/>
      <c r="CQ601" s="1344"/>
      <c r="CR601" s="278"/>
      <c r="CS601" s="1343">
        <f t="shared" si="11"/>
        <v>0</v>
      </c>
      <c r="CT601" s="1343"/>
      <c r="CU601" s="1343"/>
      <c r="CV601" s="1343"/>
      <c r="CW601" s="1343"/>
      <c r="CX601" s="1343">
        <f t="shared" si="12"/>
        <v>0</v>
      </c>
      <c r="CY601" s="1343"/>
      <c r="CZ601" s="1343"/>
      <c r="DA601" s="1343"/>
      <c r="DB601" s="1343"/>
      <c r="DC601" s="1343">
        <f t="shared" si="13"/>
        <v>0</v>
      </c>
      <c r="DD601" s="1343"/>
      <c r="DE601" s="1343"/>
      <c r="DF601" s="1343"/>
      <c r="DG601" s="1343"/>
      <c r="DH601" s="1343">
        <f t="shared" si="14"/>
        <v>0</v>
      </c>
      <c r="DI601" s="1343"/>
      <c r="DJ601" s="1343"/>
      <c r="DK601" s="1343"/>
      <c r="DL601" s="1343"/>
      <c r="DM601" s="1343">
        <f t="shared" si="15"/>
        <v>0</v>
      </c>
      <c r="DN601" s="1343"/>
      <c r="DO601" s="1343"/>
      <c r="DP601" s="1343"/>
      <c r="DQ601" s="1343"/>
      <c r="DR601" s="1343">
        <f t="shared" si="16"/>
        <v>0</v>
      </c>
      <c r="DS601" s="1343"/>
      <c r="DT601" s="1343"/>
      <c r="DU601" s="1343"/>
      <c r="DV601" s="1343"/>
      <c r="DX601" s="1339" t="str">
        <f t="shared" si="17"/>
        <v/>
      </c>
      <c r="DY601" s="1340"/>
      <c r="DZ601" s="1340"/>
      <c r="EA601" s="1340"/>
      <c r="EB601" s="1341"/>
      <c r="EC601" s="1339" t="str">
        <f t="shared" si="18"/>
        <v/>
      </c>
      <c r="ED601" s="1340"/>
      <c r="EE601" s="1340"/>
      <c r="EF601" s="1340"/>
      <c r="EG601" s="1341"/>
      <c r="EH601" s="1339" t="str">
        <f t="shared" si="19"/>
        <v/>
      </c>
      <c r="EI601" s="1340"/>
      <c r="EJ601" s="1340"/>
      <c r="EK601" s="1340"/>
      <c r="EL601" s="1341"/>
      <c r="EM601" s="1339" t="str">
        <f t="shared" si="20"/>
        <v/>
      </c>
      <c r="EN601" s="1340"/>
      <c r="EO601" s="1340"/>
      <c r="EP601" s="1340"/>
      <c r="EQ601" s="1341"/>
      <c r="ER601" s="1339" t="str">
        <f t="shared" si="21"/>
        <v/>
      </c>
      <c r="ES601" s="1340"/>
      <c r="ET601" s="1340"/>
      <c r="EU601" s="1340"/>
      <c r="EV601" s="1341"/>
      <c r="EW601" s="1339" t="str">
        <f t="shared" si="22"/>
        <v/>
      </c>
      <c r="EX601" s="1340"/>
      <c r="EY601" s="1340"/>
      <c r="EZ601" s="1340"/>
      <c r="FA601" s="1341"/>
    </row>
    <row r="602" spans="1:157" ht="13.2" customHeight="1">
      <c r="A602" s="20"/>
      <c r="B602" t="s">
        <v>1109</v>
      </c>
      <c r="G602" s="1381"/>
      <c r="H602" s="1381"/>
      <c r="I602" s="1381"/>
      <c r="J602" s="1381"/>
      <c r="K602" s="1381"/>
      <c r="L602" s="1381"/>
      <c r="M602" s="1381"/>
      <c r="N602" s="1381"/>
      <c r="O602" s="1381"/>
      <c r="P602" s="1381"/>
      <c r="Q602" s="1381"/>
      <c r="R602" s="1381"/>
      <c r="T602" s="20"/>
      <c r="U602" t="s">
        <v>1109</v>
      </c>
      <c r="Z602" s="1381"/>
      <c r="AA602" s="1381"/>
      <c r="AB602" s="1381"/>
      <c r="AC602" s="1381"/>
      <c r="AD602" s="1381"/>
      <c r="AE602" s="1381"/>
      <c r="AF602" s="1381"/>
      <c r="AG602" s="1381"/>
      <c r="AH602" s="1381"/>
      <c r="AI602" s="1381"/>
      <c r="AJ602" s="1381"/>
      <c r="AK602" s="1381"/>
      <c r="AZ602" s="3"/>
      <c r="BA602" s="3"/>
      <c r="BB602" s="3"/>
      <c r="BC602" s="3"/>
      <c r="BD602" s="3"/>
      <c r="BE602" s="1339">
        <f t="shared" si="1"/>
        <v>0</v>
      </c>
      <c r="BF602" s="1341"/>
      <c r="BG602" s="1339">
        <f t="shared" si="2"/>
        <v>0</v>
      </c>
      <c r="BH602" s="1341"/>
      <c r="BI602" s="1339">
        <f t="shared" si="3"/>
        <v>0</v>
      </c>
      <c r="BJ602" s="1341"/>
      <c r="BK602" s="1339">
        <f t="shared" si="4"/>
        <v>0</v>
      </c>
      <c r="BL602" s="1341"/>
      <c r="BM602" s="3"/>
      <c r="BN602" s="1345">
        <f t="shared" si="5"/>
        <v>0</v>
      </c>
      <c r="BO602" s="1346"/>
      <c r="BP602" s="1346"/>
      <c r="BQ602" s="1346"/>
      <c r="BR602" s="1347"/>
      <c r="BS602" s="1344">
        <f t="shared" si="6"/>
        <v>0</v>
      </c>
      <c r="BT602" s="1344"/>
      <c r="BU602" s="1344"/>
      <c r="BV602" s="1344"/>
      <c r="BW602" s="1344"/>
      <c r="BX602" s="1344">
        <f t="shared" si="7"/>
        <v>0</v>
      </c>
      <c r="BY602" s="1344"/>
      <c r="BZ602" s="1344"/>
      <c r="CA602" s="1344"/>
      <c r="CB602" s="1344"/>
      <c r="CC602" s="1344">
        <f t="shared" si="8"/>
        <v>0</v>
      </c>
      <c r="CD602" s="1344"/>
      <c r="CE602" s="1344"/>
      <c r="CF602" s="1344"/>
      <c r="CG602" s="1344"/>
      <c r="CH602" s="1344">
        <f t="shared" si="9"/>
        <v>0</v>
      </c>
      <c r="CI602" s="1344"/>
      <c r="CJ602" s="1344"/>
      <c r="CK602" s="1344"/>
      <c r="CL602" s="1344"/>
      <c r="CM602" s="1344">
        <f t="shared" si="10"/>
        <v>0</v>
      </c>
      <c r="CN602" s="1344"/>
      <c r="CO602" s="1344"/>
      <c r="CP602" s="1344"/>
      <c r="CQ602" s="1344"/>
      <c r="CR602" s="278"/>
      <c r="CS602" s="1343">
        <f t="shared" si="11"/>
        <v>0</v>
      </c>
      <c r="CT602" s="1343"/>
      <c r="CU602" s="1343"/>
      <c r="CV602" s="1343"/>
      <c r="CW602" s="1343"/>
      <c r="CX602" s="1343">
        <f t="shared" si="12"/>
        <v>0</v>
      </c>
      <c r="CY602" s="1343"/>
      <c r="CZ602" s="1343"/>
      <c r="DA602" s="1343"/>
      <c r="DB602" s="1343"/>
      <c r="DC602" s="1343">
        <f t="shared" si="13"/>
        <v>0</v>
      </c>
      <c r="DD602" s="1343"/>
      <c r="DE602" s="1343"/>
      <c r="DF602" s="1343"/>
      <c r="DG602" s="1343"/>
      <c r="DH602" s="1343">
        <f t="shared" si="14"/>
        <v>0</v>
      </c>
      <c r="DI602" s="1343"/>
      <c r="DJ602" s="1343"/>
      <c r="DK602" s="1343"/>
      <c r="DL602" s="1343"/>
      <c r="DM602" s="1343">
        <f t="shared" si="15"/>
        <v>0</v>
      </c>
      <c r="DN602" s="1343"/>
      <c r="DO602" s="1343"/>
      <c r="DP602" s="1343"/>
      <c r="DQ602" s="1343"/>
      <c r="DR602" s="1343">
        <f t="shared" si="16"/>
        <v>0</v>
      </c>
      <c r="DS602" s="1343"/>
      <c r="DT602" s="1343"/>
      <c r="DU602" s="1343"/>
      <c r="DV602" s="1343"/>
      <c r="DX602" s="1339" t="str">
        <f t="shared" si="17"/>
        <v/>
      </c>
      <c r="DY602" s="1340"/>
      <c r="DZ602" s="1340"/>
      <c r="EA602" s="1340"/>
      <c r="EB602" s="1341"/>
      <c r="EC602" s="1339" t="str">
        <f t="shared" si="18"/>
        <v/>
      </c>
      <c r="ED602" s="1340"/>
      <c r="EE602" s="1340"/>
      <c r="EF602" s="1340"/>
      <c r="EG602" s="1341"/>
      <c r="EH602" s="1339" t="str">
        <f t="shared" si="19"/>
        <v/>
      </c>
      <c r="EI602" s="1340"/>
      <c r="EJ602" s="1340"/>
      <c r="EK602" s="1340"/>
      <c r="EL602" s="1341"/>
      <c r="EM602" s="1339" t="str">
        <f t="shared" si="20"/>
        <v/>
      </c>
      <c r="EN602" s="1340"/>
      <c r="EO602" s="1340"/>
      <c r="EP602" s="1340"/>
      <c r="EQ602" s="1341"/>
      <c r="ER602" s="1339" t="str">
        <f t="shared" si="21"/>
        <v/>
      </c>
      <c r="ES602" s="1340"/>
      <c r="ET602" s="1340"/>
      <c r="EU602" s="1340"/>
      <c r="EV602" s="1341"/>
      <c r="EW602" s="1339" t="str">
        <f t="shared" si="22"/>
        <v/>
      </c>
      <c r="EX602" s="1340"/>
      <c r="EY602" s="1340"/>
      <c r="EZ602" s="1340"/>
      <c r="FA602" s="1341"/>
    </row>
    <row r="603" spans="1:157" ht="13.2" customHeight="1">
      <c r="A603" s="20"/>
      <c r="B603" t="s">
        <v>979</v>
      </c>
      <c r="G603" s="1381"/>
      <c r="H603" s="1381"/>
      <c r="I603" s="1381"/>
      <c r="J603" s="1381"/>
      <c r="K603" s="1381"/>
      <c r="L603" s="1381"/>
      <c r="M603" s="1381"/>
      <c r="N603" s="1381"/>
      <c r="O603" s="1381"/>
      <c r="P603" s="1381"/>
      <c r="Q603" s="1381"/>
      <c r="R603" s="1381"/>
      <c r="T603" s="20"/>
      <c r="U603" t="s">
        <v>979</v>
      </c>
      <c r="Z603" s="1329"/>
      <c r="AA603" s="1329"/>
      <c r="AB603" s="1329"/>
      <c r="AC603" s="1329"/>
      <c r="AD603" s="1329"/>
      <c r="AE603" s="1329"/>
      <c r="AF603" s="1329"/>
      <c r="AG603" s="1329"/>
      <c r="AH603" s="1329"/>
      <c r="AI603" s="1329"/>
      <c r="AJ603" s="1329"/>
      <c r="AK603" s="1329"/>
      <c r="AZ603" s="3"/>
      <c r="BA603" s="3"/>
      <c r="BB603" s="3"/>
      <c r="BC603" s="3"/>
      <c r="BD603" s="3"/>
      <c r="BE603" s="1339">
        <f t="shared" si="1"/>
        <v>0</v>
      </c>
      <c r="BF603" s="1341"/>
      <c r="BG603" s="1339">
        <f t="shared" si="2"/>
        <v>0</v>
      </c>
      <c r="BH603" s="1341"/>
      <c r="BI603" s="1339">
        <f t="shared" si="3"/>
        <v>0</v>
      </c>
      <c r="BJ603" s="1341"/>
      <c r="BK603" s="1339">
        <f t="shared" si="4"/>
        <v>0</v>
      </c>
      <c r="BL603" s="1341"/>
      <c r="BM603" s="3"/>
      <c r="BN603" s="1345">
        <f t="shared" si="5"/>
        <v>0</v>
      </c>
      <c r="BO603" s="1346"/>
      <c r="BP603" s="1346"/>
      <c r="BQ603" s="1346"/>
      <c r="BR603" s="1347"/>
      <c r="BS603" s="1344">
        <f t="shared" si="6"/>
        <v>0</v>
      </c>
      <c r="BT603" s="1344"/>
      <c r="BU603" s="1344"/>
      <c r="BV603" s="1344"/>
      <c r="BW603" s="1344"/>
      <c r="BX603" s="1344">
        <f t="shared" si="7"/>
        <v>0</v>
      </c>
      <c r="BY603" s="1344"/>
      <c r="BZ603" s="1344"/>
      <c r="CA603" s="1344"/>
      <c r="CB603" s="1344"/>
      <c r="CC603" s="1344">
        <f t="shared" si="8"/>
        <v>0</v>
      </c>
      <c r="CD603" s="1344"/>
      <c r="CE603" s="1344"/>
      <c r="CF603" s="1344"/>
      <c r="CG603" s="1344"/>
      <c r="CH603" s="1344">
        <f t="shared" si="9"/>
        <v>0</v>
      </c>
      <c r="CI603" s="1344"/>
      <c r="CJ603" s="1344"/>
      <c r="CK603" s="1344"/>
      <c r="CL603" s="1344"/>
      <c r="CM603" s="1344">
        <f t="shared" si="10"/>
        <v>0</v>
      </c>
      <c r="CN603" s="1344"/>
      <c r="CO603" s="1344"/>
      <c r="CP603" s="1344"/>
      <c r="CQ603" s="1344"/>
      <c r="CR603" s="278"/>
      <c r="CS603" s="1343">
        <f t="shared" si="11"/>
        <v>0</v>
      </c>
      <c r="CT603" s="1343"/>
      <c r="CU603" s="1343"/>
      <c r="CV603" s="1343"/>
      <c r="CW603" s="1343"/>
      <c r="CX603" s="1343">
        <f t="shared" si="12"/>
        <v>0</v>
      </c>
      <c r="CY603" s="1343"/>
      <c r="CZ603" s="1343"/>
      <c r="DA603" s="1343"/>
      <c r="DB603" s="1343"/>
      <c r="DC603" s="1343">
        <f t="shared" si="13"/>
        <v>0</v>
      </c>
      <c r="DD603" s="1343"/>
      <c r="DE603" s="1343"/>
      <c r="DF603" s="1343"/>
      <c r="DG603" s="1343"/>
      <c r="DH603" s="1343">
        <f t="shared" si="14"/>
        <v>0</v>
      </c>
      <c r="DI603" s="1343"/>
      <c r="DJ603" s="1343"/>
      <c r="DK603" s="1343"/>
      <c r="DL603" s="1343"/>
      <c r="DM603" s="1343">
        <f t="shared" si="15"/>
        <v>0</v>
      </c>
      <c r="DN603" s="1343"/>
      <c r="DO603" s="1343"/>
      <c r="DP603" s="1343"/>
      <c r="DQ603" s="1343"/>
      <c r="DR603" s="1343">
        <f t="shared" si="16"/>
        <v>0</v>
      </c>
      <c r="DS603" s="1343"/>
      <c r="DT603" s="1343"/>
      <c r="DU603" s="1343"/>
      <c r="DV603" s="1343"/>
      <c r="DX603" s="1339" t="str">
        <f t="shared" si="17"/>
        <v/>
      </c>
      <c r="DY603" s="1340"/>
      <c r="DZ603" s="1340"/>
      <c r="EA603" s="1340"/>
      <c r="EB603" s="1341"/>
      <c r="EC603" s="1339" t="str">
        <f t="shared" si="18"/>
        <v/>
      </c>
      <c r="ED603" s="1340"/>
      <c r="EE603" s="1340"/>
      <c r="EF603" s="1340"/>
      <c r="EG603" s="1341"/>
      <c r="EH603" s="1339" t="str">
        <f t="shared" si="19"/>
        <v/>
      </c>
      <c r="EI603" s="1340"/>
      <c r="EJ603" s="1340"/>
      <c r="EK603" s="1340"/>
      <c r="EL603" s="1341"/>
      <c r="EM603" s="1339" t="str">
        <f t="shared" si="20"/>
        <v/>
      </c>
      <c r="EN603" s="1340"/>
      <c r="EO603" s="1340"/>
      <c r="EP603" s="1340"/>
      <c r="EQ603" s="1341"/>
      <c r="ER603" s="1339" t="str">
        <f t="shared" si="21"/>
        <v/>
      </c>
      <c r="ES603" s="1340"/>
      <c r="ET603" s="1340"/>
      <c r="EU603" s="1340"/>
      <c r="EV603" s="1341"/>
      <c r="EW603" s="1339" t="str">
        <f t="shared" si="22"/>
        <v/>
      </c>
      <c r="EX603" s="1340"/>
      <c r="EY603" s="1340"/>
      <c r="EZ603" s="1340"/>
      <c r="FA603" s="1341"/>
    </row>
    <row r="604" spans="1:157" ht="13.2" customHeight="1">
      <c r="A604" s="20"/>
      <c r="B604" t="s">
        <v>1479</v>
      </c>
      <c r="G604" s="1381"/>
      <c r="H604" s="1381"/>
      <c r="I604" s="1381"/>
      <c r="J604" s="1381"/>
      <c r="K604" s="1381"/>
      <c r="L604" s="1381"/>
      <c r="M604" s="1381"/>
      <c r="N604" s="1381"/>
      <c r="O604" s="1381"/>
      <c r="P604" s="1381"/>
      <c r="Q604" s="1381"/>
      <c r="R604" s="1381"/>
      <c r="T604" s="20"/>
      <c r="U604" t="s">
        <v>1479</v>
      </c>
      <c r="Z604" s="1329"/>
      <c r="AA604" s="1329"/>
      <c r="AB604" s="1329"/>
      <c r="AC604" s="1329"/>
      <c r="AD604" s="1329"/>
      <c r="AE604" s="1329"/>
      <c r="AF604" s="1329"/>
      <c r="AG604" s="1329"/>
      <c r="AH604" s="1329"/>
      <c r="AI604" s="1329"/>
      <c r="AJ604" s="1329"/>
      <c r="AK604" s="1329"/>
      <c r="AZ604" s="3"/>
      <c r="BA604" s="3"/>
      <c r="BB604" s="3"/>
      <c r="BC604" s="3"/>
      <c r="BD604" s="3"/>
      <c r="BE604" s="1339">
        <f t="shared" si="1"/>
        <v>0</v>
      </c>
      <c r="BF604" s="1341"/>
      <c r="BG604" s="1339">
        <f t="shared" si="2"/>
        <v>0</v>
      </c>
      <c r="BH604" s="1341"/>
      <c r="BI604" s="1339">
        <f t="shared" si="3"/>
        <v>0</v>
      </c>
      <c r="BJ604" s="1341"/>
      <c r="BK604" s="1339">
        <f t="shared" si="4"/>
        <v>0</v>
      </c>
      <c r="BL604" s="1341"/>
      <c r="BM604" s="3"/>
      <c r="BN604" s="1345">
        <f t="shared" si="5"/>
        <v>0</v>
      </c>
      <c r="BO604" s="1346"/>
      <c r="BP604" s="1346"/>
      <c r="BQ604" s="1346"/>
      <c r="BR604" s="1347"/>
      <c r="BS604" s="1344">
        <f t="shared" si="6"/>
        <v>0</v>
      </c>
      <c r="BT604" s="1344"/>
      <c r="BU604" s="1344"/>
      <c r="BV604" s="1344"/>
      <c r="BW604" s="1344"/>
      <c r="BX604" s="1344">
        <f t="shared" si="7"/>
        <v>0</v>
      </c>
      <c r="BY604" s="1344"/>
      <c r="BZ604" s="1344"/>
      <c r="CA604" s="1344"/>
      <c r="CB604" s="1344"/>
      <c r="CC604" s="1344">
        <f t="shared" si="8"/>
        <v>0</v>
      </c>
      <c r="CD604" s="1344"/>
      <c r="CE604" s="1344"/>
      <c r="CF604" s="1344"/>
      <c r="CG604" s="1344"/>
      <c r="CH604" s="1344">
        <f t="shared" si="9"/>
        <v>0</v>
      </c>
      <c r="CI604" s="1344"/>
      <c r="CJ604" s="1344"/>
      <c r="CK604" s="1344"/>
      <c r="CL604" s="1344"/>
      <c r="CM604" s="1344">
        <f t="shared" si="10"/>
        <v>0</v>
      </c>
      <c r="CN604" s="1344"/>
      <c r="CO604" s="1344"/>
      <c r="CP604" s="1344"/>
      <c r="CQ604" s="1344"/>
      <c r="CR604" s="278"/>
      <c r="CS604" s="1343">
        <f t="shared" si="11"/>
        <v>0</v>
      </c>
      <c r="CT604" s="1343"/>
      <c r="CU604" s="1343"/>
      <c r="CV604" s="1343"/>
      <c r="CW604" s="1343"/>
      <c r="CX604" s="1343">
        <f t="shared" si="12"/>
        <v>0</v>
      </c>
      <c r="CY604" s="1343"/>
      <c r="CZ604" s="1343"/>
      <c r="DA604" s="1343"/>
      <c r="DB604" s="1343"/>
      <c r="DC604" s="1343">
        <f t="shared" si="13"/>
        <v>0</v>
      </c>
      <c r="DD604" s="1343"/>
      <c r="DE604" s="1343"/>
      <c r="DF604" s="1343"/>
      <c r="DG604" s="1343"/>
      <c r="DH604" s="1343">
        <f t="shared" si="14"/>
        <v>0</v>
      </c>
      <c r="DI604" s="1343"/>
      <c r="DJ604" s="1343"/>
      <c r="DK604" s="1343"/>
      <c r="DL604" s="1343"/>
      <c r="DM604" s="1343">
        <f t="shared" si="15"/>
        <v>0</v>
      </c>
      <c r="DN604" s="1343"/>
      <c r="DO604" s="1343"/>
      <c r="DP604" s="1343"/>
      <c r="DQ604" s="1343"/>
      <c r="DR604" s="1343">
        <f t="shared" si="16"/>
        <v>0</v>
      </c>
      <c r="DS604" s="1343"/>
      <c r="DT604" s="1343"/>
      <c r="DU604" s="1343"/>
      <c r="DV604" s="1343"/>
      <c r="DX604" s="1339" t="str">
        <f t="shared" si="17"/>
        <v/>
      </c>
      <c r="DY604" s="1340"/>
      <c r="DZ604" s="1340"/>
      <c r="EA604" s="1340"/>
      <c r="EB604" s="1341"/>
      <c r="EC604" s="1339" t="str">
        <f t="shared" si="18"/>
        <v/>
      </c>
      <c r="ED604" s="1340"/>
      <c r="EE604" s="1340"/>
      <c r="EF604" s="1340"/>
      <c r="EG604" s="1341"/>
      <c r="EH604" s="1339" t="str">
        <f t="shared" si="19"/>
        <v/>
      </c>
      <c r="EI604" s="1340"/>
      <c r="EJ604" s="1340"/>
      <c r="EK604" s="1340"/>
      <c r="EL604" s="1341"/>
      <c r="EM604" s="1339" t="str">
        <f t="shared" si="20"/>
        <v/>
      </c>
      <c r="EN604" s="1340"/>
      <c r="EO604" s="1340"/>
      <c r="EP604" s="1340"/>
      <c r="EQ604" s="1341"/>
      <c r="ER604" s="1339" t="str">
        <f t="shared" si="21"/>
        <v/>
      </c>
      <c r="ES604" s="1340"/>
      <c r="ET604" s="1340"/>
      <c r="EU604" s="1340"/>
      <c r="EV604" s="1341"/>
      <c r="EW604" s="1339" t="str">
        <f t="shared" si="22"/>
        <v/>
      </c>
      <c r="EX604" s="1340"/>
      <c r="EY604" s="1340"/>
      <c r="EZ604" s="1340"/>
      <c r="FA604" s="1341"/>
    </row>
    <row r="605" spans="1:157" s="4" customFormat="1" ht="13.2" customHeight="1">
      <c r="A605" s="20"/>
      <c r="B605" t="s">
        <v>881</v>
      </c>
      <c r="C605"/>
      <c r="D605"/>
      <c r="E605"/>
      <c r="F605"/>
      <c r="G605" s="1378"/>
      <c r="H605" s="1378"/>
      <c r="I605" s="1378"/>
      <c r="J605" s="1378"/>
      <c r="K605" s="1378"/>
      <c r="L605" s="1378"/>
      <c r="M605"/>
      <c r="N605"/>
      <c r="O605" s="948" t="s">
        <v>1117</v>
      </c>
      <c r="P605" s="1349"/>
      <c r="Q605" s="1349"/>
      <c r="R605" s="1349"/>
      <c r="S605"/>
      <c r="T605" s="20"/>
      <c r="U605" t="s">
        <v>881</v>
      </c>
      <c r="V605"/>
      <c r="W605"/>
      <c r="X605"/>
      <c r="Y605"/>
      <c r="Z605" s="1378"/>
      <c r="AA605" s="1378"/>
      <c r="AB605" s="1378"/>
      <c r="AC605" s="1378"/>
      <c r="AD605" s="1378"/>
      <c r="AE605" s="1378"/>
      <c r="AF605"/>
      <c r="AG605"/>
      <c r="AH605" s="948" t="s">
        <v>1117</v>
      </c>
      <c r="AI605" s="1349"/>
      <c r="AJ605" s="1349"/>
      <c r="AK605" s="1349"/>
      <c r="AL605"/>
      <c r="AM605"/>
      <c r="AN605"/>
      <c r="AO605"/>
      <c r="AP605"/>
      <c r="AQ605"/>
      <c r="AR605"/>
      <c r="AS605"/>
      <c r="AT605"/>
      <c r="AU605"/>
      <c r="AV605"/>
      <c r="AW605"/>
      <c r="AX605"/>
      <c r="AY605"/>
      <c r="AZ605" s="3"/>
      <c r="BA605" s="3"/>
      <c r="BB605" s="3"/>
      <c r="BC605" s="3"/>
      <c r="BD605" s="3"/>
      <c r="BE605" s="1339">
        <f t="shared" si="1"/>
        <v>0</v>
      </c>
      <c r="BF605" s="1341"/>
      <c r="BG605" s="1339">
        <f t="shared" si="2"/>
        <v>0</v>
      </c>
      <c r="BH605" s="1341"/>
      <c r="BI605" s="1339">
        <f t="shared" si="3"/>
        <v>0</v>
      </c>
      <c r="BJ605" s="1341"/>
      <c r="BK605" s="1339">
        <f t="shared" si="4"/>
        <v>0</v>
      </c>
      <c r="BL605" s="1341"/>
      <c r="BM605" s="3"/>
      <c r="BN605" s="1345">
        <f t="shared" si="5"/>
        <v>0</v>
      </c>
      <c r="BO605" s="1346"/>
      <c r="BP605" s="1346"/>
      <c r="BQ605" s="1346"/>
      <c r="BR605" s="1347"/>
      <c r="BS605" s="1344">
        <f t="shared" si="6"/>
        <v>0</v>
      </c>
      <c r="BT605" s="1344"/>
      <c r="BU605" s="1344"/>
      <c r="BV605" s="1344"/>
      <c r="BW605" s="1344"/>
      <c r="BX605" s="1344">
        <f t="shared" si="7"/>
        <v>0</v>
      </c>
      <c r="BY605" s="1344"/>
      <c r="BZ605" s="1344"/>
      <c r="CA605" s="1344"/>
      <c r="CB605" s="1344"/>
      <c r="CC605" s="1344">
        <f t="shared" si="8"/>
        <v>0</v>
      </c>
      <c r="CD605" s="1344"/>
      <c r="CE605" s="1344"/>
      <c r="CF605" s="1344"/>
      <c r="CG605" s="1344"/>
      <c r="CH605" s="1344">
        <f t="shared" si="9"/>
        <v>0</v>
      </c>
      <c r="CI605" s="1344"/>
      <c r="CJ605" s="1344"/>
      <c r="CK605" s="1344"/>
      <c r="CL605" s="1344"/>
      <c r="CM605" s="1344">
        <f t="shared" si="10"/>
        <v>0</v>
      </c>
      <c r="CN605" s="1344"/>
      <c r="CO605" s="1344"/>
      <c r="CP605" s="1344"/>
      <c r="CQ605" s="1344"/>
      <c r="CR605" s="278"/>
      <c r="CS605" s="1343">
        <f t="shared" si="11"/>
        <v>0</v>
      </c>
      <c r="CT605" s="1343"/>
      <c r="CU605" s="1343"/>
      <c r="CV605" s="1343"/>
      <c r="CW605" s="1343"/>
      <c r="CX605" s="1343">
        <f t="shared" si="12"/>
        <v>0</v>
      </c>
      <c r="CY605" s="1343"/>
      <c r="CZ605" s="1343"/>
      <c r="DA605" s="1343"/>
      <c r="DB605" s="1343"/>
      <c r="DC605" s="1343">
        <f t="shared" si="13"/>
        <v>0</v>
      </c>
      <c r="DD605" s="1343"/>
      <c r="DE605" s="1343"/>
      <c r="DF605" s="1343"/>
      <c r="DG605" s="1343"/>
      <c r="DH605" s="1343">
        <f t="shared" si="14"/>
        <v>0</v>
      </c>
      <c r="DI605" s="1343"/>
      <c r="DJ605" s="1343"/>
      <c r="DK605" s="1343"/>
      <c r="DL605" s="1343"/>
      <c r="DM605" s="1343">
        <f t="shared" si="15"/>
        <v>0</v>
      </c>
      <c r="DN605" s="1343"/>
      <c r="DO605" s="1343"/>
      <c r="DP605" s="1343"/>
      <c r="DQ605" s="1343"/>
      <c r="DR605" s="1343">
        <f t="shared" si="16"/>
        <v>0</v>
      </c>
      <c r="DS605" s="1343"/>
      <c r="DT605" s="1343"/>
      <c r="DU605" s="1343"/>
      <c r="DV605" s="1343"/>
      <c r="DW605" s="3"/>
      <c r="DX605" s="1339" t="str">
        <f t="shared" si="17"/>
        <v/>
      </c>
      <c r="DY605" s="1340"/>
      <c r="DZ605" s="1340"/>
      <c r="EA605" s="1340"/>
      <c r="EB605" s="1341"/>
      <c r="EC605" s="1339" t="str">
        <f t="shared" si="18"/>
        <v/>
      </c>
      <c r="ED605" s="1340"/>
      <c r="EE605" s="1340"/>
      <c r="EF605" s="1340"/>
      <c r="EG605" s="1341"/>
      <c r="EH605" s="1339" t="str">
        <f t="shared" si="19"/>
        <v/>
      </c>
      <c r="EI605" s="1340"/>
      <c r="EJ605" s="1340"/>
      <c r="EK605" s="1340"/>
      <c r="EL605" s="1341"/>
      <c r="EM605" s="1339" t="str">
        <f t="shared" si="20"/>
        <v/>
      </c>
      <c r="EN605" s="1340"/>
      <c r="EO605" s="1340"/>
      <c r="EP605" s="1340"/>
      <c r="EQ605" s="1341"/>
      <c r="ER605" s="1339" t="str">
        <f t="shared" si="21"/>
        <v/>
      </c>
      <c r="ES605" s="1340"/>
      <c r="ET605" s="1340"/>
      <c r="EU605" s="1340"/>
      <c r="EV605" s="1341"/>
      <c r="EW605" s="1339" t="str">
        <f t="shared" si="22"/>
        <v/>
      </c>
      <c r="EX605" s="1340"/>
      <c r="EY605" s="1340"/>
      <c r="EZ605" s="1340"/>
      <c r="FA605" s="1341"/>
    </row>
    <row r="606" spans="1:157" s="4" customFormat="1" ht="13.2" customHeight="1">
      <c r="A606" s="20"/>
      <c r="B606" t="s">
        <v>1482</v>
      </c>
      <c r="C606"/>
      <c r="D606"/>
      <c r="E606"/>
      <c r="F606"/>
      <c r="G606"/>
      <c r="H606" s="1381"/>
      <c r="I606" s="1381"/>
      <c r="J606" s="1381"/>
      <c r="K606" s="1381"/>
      <c r="L606" s="1381"/>
      <c r="M606" s="1381"/>
      <c r="N606" s="1381"/>
      <c r="O606" s="1381"/>
      <c r="P606" s="1381"/>
      <c r="Q606" s="1381"/>
      <c r="R606" s="1381"/>
      <c r="S606"/>
      <c r="T606" s="20"/>
      <c r="U606" t="s">
        <v>1482</v>
      </c>
      <c r="V606"/>
      <c r="W606"/>
      <c r="X606"/>
      <c r="Y606"/>
      <c r="Z606"/>
      <c r="AA606" s="1381"/>
      <c r="AB606" s="1381"/>
      <c r="AC606" s="1381"/>
      <c r="AD606" s="1381"/>
      <c r="AE606" s="1381"/>
      <c r="AF606" s="1381"/>
      <c r="AG606" s="1381"/>
      <c r="AH606" s="1381"/>
      <c r="AI606" s="1381"/>
      <c r="AJ606" s="1381"/>
      <c r="AK606" s="1381"/>
      <c r="AL606"/>
      <c r="AM606"/>
      <c r="AN606"/>
      <c r="AO606"/>
      <c r="AP606"/>
      <c r="AQ606"/>
      <c r="AR606"/>
      <c r="AS606"/>
      <c r="AT606"/>
      <c r="AU606"/>
      <c r="AV606"/>
      <c r="AW606"/>
      <c r="AX606"/>
      <c r="AY606"/>
      <c r="AZ606" s="3"/>
      <c r="BA606" s="3"/>
      <c r="BB606" s="3"/>
      <c r="BC606" s="3"/>
      <c r="BD606" s="3"/>
      <c r="BE606" s="1339">
        <f t="shared" si="1"/>
        <v>0</v>
      </c>
      <c r="BF606" s="1341"/>
      <c r="BG606" s="1339">
        <f t="shared" si="2"/>
        <v>0</v>
      </c>
      <c r="BH606" s="1341"/>
      <c r="BI606" s="1339">
        <f t="shared" si="3"/>
        <v>0</v>
      </c>
      <c r="BJ606" s="1341"/>
      <c r="BK606" s="1339">
        <f t="shared" si="4"/>
        <v>0</v>
      </c>
      <c r="BL606" s="1341"/>
      <c r="BM606" s="3"/>
      <c r="BN606" s="1345">
        <f t="shared" si="5"/>
        <v>0</v>
      </c>
      <c r="BO606" s="1346"/>
      <c r="BP606" s="1346"/>
      <c r="BQ606" s="1346"/>
      <c r="BR606" s="1347"/>
      <c r="BS606" s="1344">
        <f t="shared" si="6"/>
        <v>0</v>
      </c>
      <c r="BT606" s="1344"/>
      <c r="BU606" s="1344"/>
      <c r="BV606" s="1344"/>
      <c r="BW606" s="1344"/>
      <c r="BX606" s="1344">
        <f t="shared" si="7"/>
        <v>0</v>
      </c>
      <c r="BY606" s="1344"/>
      <c r="BZ606" s="1344"/>
      <c r="CA606" s="1344"/>
      <c r="CB606" s="1344"/>
      <c r="CC606" s="1344">
        <f t="shared" si="8"/>
        <v>0</v>
      </c>
      <c r="CD606" s="1344"/>
      <c r="CE606" s="1344"/>
      <c r="CF606" s="1344"/>
      <c r="CG606" s="1344"/>
      <c r="CH606" s="1344">
        <f t="shared" si="9"/>
        <v>0</v>
      </c>
      <c r="CI606" s="1344"/>
      <c r="CJ606" s="1344"/>
      <c r="CK606" s="1344"/>
      <c r="CL606" s="1344"/>
      <c r="CM606" s="1344">
        <f t="shared" si="10"/>
        <v>0</v>
      </c>
      <c r="CN606" s="1344"/>
      <c r="CO606" s="1344"/>
      <c r="CP606" s="1344"/>
      <c r="CQ606" s="1344"/>
      <c r="CR606" s="278"/>
      <c r="CS606" s="1343">
        <f t="shared" si="11"/>
        <v>0</v>
      </c>
      <c r="CT606" s="1343"/>
      <c r="CU606" s="1343"/>
      <c r="CV606" s="1343"/>
      <c r="CW606" s="1343"/>
      <c r="CX606" s="1343">
        <f t="shared" si="12"/>
        <v>0</v>
      </c>
      <c r="CY606" s="1343"/>
      <c r="CZ606" s="1343"/>
      <c r="DA606" s="1343"/>
      <c r="DB606" s="1343"/>
      <c r="DC606" s="1343">
        <f t="shared" si="13"/>
        <v>0</v>
      </c>
      <c r="DD606" s="1343"/>
      <c r="DE606" s="1343"/>
      <c r="DF606" s="1343"/>
      <c r="DG606" s="1343"/>
      <c r="DH606" s="1343">
        <f t="shared" si="14"/>
        <v>0</v>
      </c>
      <c r="DI606" s="1343"/>
      <c r="DJ606" s="1343"/>
      <c r="DK606" s="1343"/>
      <c r="DL606" s="1343"/>
      <c r="DM606" s="1343">
        <f t="shared" si="15"/>
        <v>0</v>
      </c>
      <c r="DN606" s="1343"/>
      <c r="DO606" s="1343"/>
      <c r="DP606" s="1343"/>
      <c r="DQ606" s="1343"/>
      <c r="DR606" s="1343">
        <f t="shared" si="16"/>
        <v>0</v>
      </c>
      <c r="DS606" s="1343"/>
      <c r="DT606" s="1343"/>
      <c r="DU606" s="1343"/>
      <c r="DV606" s="1343"/>
      <c r="DW606" s="3"/>
      <c r="DX606" s="1339" t="str">
        <f t="shared" si="17"/>
        <v/>
      </c>
      <c r="DY606" s="1340"/>
      <c r="DZ606" s="1340"/>
      <c r="EA606" s="1340"/>
      <c r="EB606" s="1341"/>
      <c r="EC606" s="1339" t="str">
        <f t="shared" si="18"/>
        <v/>
      </c>
      <c r="ED606" s="1340"/>
      <c r="EE606" s="1340"/>
      <c r="EF606" s="1340"/>
      <c r="EG606" s="1341"/>
      <c r="EH606" s="1339" t="str">
        <f t="shared" si="19"/>
        <v/>
      </c>
      <c r="EI606" s="1340"/>
      <c r="EJ606" s="1340"/>
      <c r="EK606" s="1340"/>
      <c r="EL606" s="1341"/>
      <c r="EM606" s="1339" t="str">
        <f t="shared" si="20"/>
        <v/>
      </c>
      <c r="EN606" s="1340"/>
      <c r="EO606" s="1340"/>
      <c r="EP606" s="1340"/>
      <c r="EQ606" s="1341"/>
      <c r="ER606" s="1339" t="str">
        <f t="shared" si="21"/>
        <v/>
      </c>
      <c r="ES606" s="1340"/>
      <c r="ET606" s="1340"/>
      <c r="EU606" s="1340"/>
      <c r="EV606" s="1341"/>
      <c r="EW606" s="1339" t="str">
        <f t="shared" si="22"/>
        <v/>
      </c>
      <c r="EX606" s="1340"/>
      <c r="EY606" s="1340"/>
      <c r="EZ606" s="1340"/>
      <c r="FA606" s="1341"/>
    </row>
    <row r="607" spans="1:157" s="4" customFormat="1" ht="13.2" customHeight="1">
      <c r="A607" s="20"/>
      <c r="B607" t="s">
        <v>1486</v>
      </c>
      <c r="C607"/>
      <c r="D607"/>
      <c r="E607"/>
      <c r="F607"/>
      <c r="G607"/>
      <c r="H607"/>
      <c r="I607"/>
      <c r="J607"/>
      <c r="K607"/>
      <c r="L607"/>
      <c r="M607"/>
      <c r="N607" s="1348" t="s">
        <v>892</v>
      </c>
      <c r="O607" s="1348"/>
      <c r="P607"/>
      <c r="Q607"/>
      <c r="R607"/>
      <c r="S607"/>
      <c r="T607" s="20"/>
      <c r="U607" t="s">
        <v>1486</v>
      </c>
      <c r="V607"/>
      <c r="W607"/>
      <c r="X607"/>
      <c r="Y607"/>
      <c r="Z607"/>
      <c r="AA607"/>
      <c r="AB607"/>
      <c r="AC607"/>
      <c r="AD607"/>
      <c r="AE607"/>
      <c r="AF607"/>
      <c r="AG607" s="1348" t="s">
        <v>892</v>
      </c>
      <c r="AH607" s="1348"/>
      <c r="AI607"/>
      <c r="AJ607"/>
      <c r="AK607"/>
      <c r="AL607"/>
      <c r="AM607"/>
      <c r="AN607"/>
      <c r="AO607"/>
      <c r="AP607"/>
      <c r="AQ607"/>
      <c r="AR607"/>
      <c r="AS607"/>
      <c r="AT607"/>
      <c r="AU607"/>
      <c r="AV607"/>
      <c r="AW607"/>
      <c r="AX607"/>
      <c r="AY607"/>
      <c r="AZ607" s="3"/>
      <c r="BA607" s="3"/>
      <c r="BB607" s="3"/>
      <c r="BC607" s="3"/>
      <c r="BD607" s="3"/>
      <c r="BE607" s="1339">
        <f t="shared" si="1"/>
        <v>0</v>
      </c>
      <c r="BF607" s="1341"/>
      <c r="BG607" s="1339">
        <f t="shared" si="2"/>
        <v>0</v>
      </c>
      <c r="BH607" s="1341"/>
      <c r="BI607" s="1339">
        <f t="shared" si="3"/>
        <v>0</v>
      </c>
      <c r="BJ607" s="1341"/>
      <c r="BK607" s="1339">
        <f t="shared" si="4"/>
        <v>0</v>
      </c>
      <c r="BL607" s="1341"/>
      <c r="BM607" s="3"/>
      <c r="BN607" s="1345">
        <f t="shared" si="5"/>
        <v>0</v>
      </c>
      <c r="BO607" s="1346"/>
      <c r="BP607" s="1346"/>
      <c r="BQ607" s="1346"/>
      <c r="BR607" s="1347"/>
      <c r="BS607" s="1344">
        <f t="shared" si="6"/>
        <v>0</v>
      </c>
      <c r="BT607" s="1344"/>
      <c r="BU607" s="1344"/>
      <c r="BV607" s="1344"/>
      <c r="BW607" s="1344"/>
      <c r="BX607" s="1344">
        <f t="shared" si="7"/>
        <v>0</v>
      </c>
      <c r="BY607" s="1344"/>
      <c r="BZ607" s="1344"/>
      <c r="CA607" s="1344"/>
      <c r="CB607" s="1344"/>
      <c r="CC607" s="1344">
        <f t="shared" si="8"/>
        <v>0</v>
      </c>
      <c r="CD607" s="1344"/>
      <c r="CE607" s="1344"/>
      <c r="CF607" s="1344"/>
      <c r="CG607" s="1344"/>
      <c r="CH607" s="1344">
        <f t="shared" si="9"/>
        <v>0</v>
      </c>
      <c r="CI607" s="1344"/>
      <c r="CJ607" s="1344"/>
      <c r="CK607" s="1344"/>
      <c r="CL607" s="1344"/>
      <c r="CM607" s="1344">
        <f t="shared" si="10"/>
        <v>0</v>
      </c>
      <c r="CN607" s="1344"/>
      <c r="CO607" s="1344"/>
      <c r="CP607" s="1344"/>
      <c r="CQ607" s="1344"/>
      <c r="CR607" s="278"/>
      <c r="CS607" s="1343">
        <f t="shared" si="11"/>
        <v>0</v>
      </c>
      <c r="CT607" s="1343"/>
      <c r="CU607" s="1343"/>
      <c r="CV607" s="1343"/>
      <c r="CW607" s="1343"/>
      <c r="CX607" s="1343">
        <f t="shared" si="12"/>
        <v>0</v>
      </c>
      <c r="CY607" s="1343"/>
      <c r="CZ607" s="1343"/>
      <c r="DA607" s="1343"/>
      <c r="DB607" s="1343"/>
      <c r="DC607" s="1343">
        <f t="shared" si="13"/>
        <v>0</v>
      </c>
      <c r="DD607" s="1343"/>
      <c r="DE607" s="1343"/>
      <c r="DF607" s="1343"/>
      <c r="DG607" s="1343"/>
      <c r="DH607" s="1343">
        <f t="shared" si="14"/>
        <v>0</v>
      </c>
      <c r="DI607" s="1343"/>
      <c r="DJ607" s="1343"/>
      <c r="DK607" s="1343"/>
      <c r="DL607" s="1343"/>
      <c r="DM607" s="1343">
        <f t="shared" si="15"/>
        <v>0</v>
      </c>
      <c r="DN607" s="1343"/>
      <c r="DO607" s="1343"/>
      <c r="DP607" s="1343"/>
      <c r="DQ607" s="1343"/>
      <c r="DR607" s="1343">
        <f t="shared" si="16"/>
        <v>0</v>
      </c>
      <c r="DS607" s="1343"/>
      <c r="DT607" s="1343"/>
      <c r="DU607" s="1343"/>
      <c r="DV607" s="1343"/>
      <c r="DW607" s="3"/>
      <c r="DX607" s="1339" t="str">
        <f t="shared" si="17"/>
        <v/>
      </c>
      <c r="DY607" s="1340"/>
      <c r="DZ607" s="1340"/>
      <c r="EA607" s="1340"/>
      <c r="EB607" s="1341"/>
      <c r="EC607" s="1339" t="str">
        <f t="shared" si="18"/>
        <v/>
      </c>
      <c r="ED607" s="1340"/>
      <c r="EE607" s="1340"/>
      <c r="EF607" s="1340"/>
      <c r="EG607" s="1341"/>
      <c r="EH607" s="1339" t="str">
        <f t="shared" si="19"/>
        <v/>
      </c>
      <c r="EI607" s="1340"/>
      <c r="EJ607" s="1340"/>
      <c r="EK607" s="1340"/>
      <c r="EL607" s="1341"/>
      <c r="EM607" s="1339" t="str">
        <f t="shared" si="20"/>
        <v/>
      </c>
      <c r="EN607" s="1340"/>
      <c r="EO607" s="1340"/>
      <c r="EP607" s="1340"/>
      <c r="EQ607" s="1341"/>
      <c r="ER607" s="1339" t="str">
        <f t="shared" si="21"/>
        <v/>
      </c>
      <c r="ES607" s="1340"/>
      <c r="ET607" s="1340"/>
      <c r="EU607" s="1340"/>
      <c r="EV607" s="1341"/>
      <c r="EW607" s="1339" t="str">
        <f t="shared" si="22"/>
        <v/>
      </c>
      <c r="EX607" s="1340"/>
      <c r="EY607" s="1340"/>
      <c r="EZ607" s="1340"/>
      <c r="FA607" s="1341"/>
    </row>
    <row r="608" spans="1:157" ht="13.2" customHeight="1">
      <c r="A608" s="20"/>
      <c r="T608" s="20"/>
      <c r="AZ608" s="3"/>
      <c r="BA608" s="3"/>
      <c r="BB608" s="3"/>
      <c r="BC608" s="3"/>
      <c r="BD608" s="3"/>
      <c r="BE608" s="1339">
        <f t="shared" si="1"/>
        <v>0</v>
      </c>
      <c r="BF608" s="1341"/>
      <c r="BG608" s="1339">
        <f t="shared" si="2"/>
        <v>0</v>
      </c>
      <c r="BH608" s="1341"/>
      <c r="BI608" s="1339">
        <f t="shared" si="3"/>
        <v>0</v>
      </c>
      <c r="BJ608" s="1341"/>
      <c r="BK608" s="1339">
        <f t="shared" si="4"/>
        <v>0</v>
      </c>
      <c r="BL608" s="1341"/>
      <c r="BM608" s="3"/>
      <c r="BN608" s="1345">
        <f t="shared" si="5"/>
        <v>0</v>
      </c>
      <c r="BO608" s="1346"/>
      <c r="BP608" s="1346"/>
      <c r="BQ608" s="1346"/>
      <c r="BR608" s="1347"/>
      <c r="BS608" s="1344">
        <f t="shared" si="6"/>
        <v>0</v>
      </c>
      <c r="BT608" s="1344"/>
      <c r="BU608" s="1344"/>
      <c r="BV608" s="1344"/>
      <c r="BW608" s="1344"/>
      <c r="BX608" s="1344">
        <f t="shared" si="7"/>
        <v>0</v>
      </c>
      <c r="BY608" s="1344"/>
      <c r="BZ608" s="1344"/>
      <c r="CA608" s="1344"/>
      <c r="CB608" s="1344"/>
      <c r="CC608" s="1344">
        <f t="shared" si="8"/>
        <v>0</v>
      </c>
      <c r="CD608" s="1344"/>
      <c r="CE608" s="1344"/>
      <c r="CF608" s="1344"/>
      <c r="CG608" s="1344"/>
      <c r="CH608" s="1344">
        <f t="shared" si="9"/>
        <v>0</v>
      </c>
      <c r="CI608" s="1344"/>
      <c r="CJ608" s="1344"/>
      <c r="CK608" s="1344"/>
      <c r="CL608" s="1344"/>
      <c r="CM608" s="1344">
        <f t="shared" si="10"/>
        <v>0</v>
      </c>
      <c r="CN608" s="1344"/>
      <c r="CO608" s="1344"/>
      <c r="CP608" s="1344"/>
      <c r="CQ608" s="1344"/>
      <c r="CR608" s="278"/>
      <c r="CS608" s="1343">
        <f t="shared" si="11"/>
        <v>0</v>
      </c>
      <c r="CT608" s="1343"/>
      <c r="CU608" s="1343"/>
      <c r="CV608" s="1343"/>
      <c r="CW608" s="1343"/>
      <c r="CX608" s="1343">
        <f t="shared" si="12"/>
        <v>0</v>
      </c>
      <c r="CY608" s="1343"/>
      <c r="CZ608" s="1343"/>
      <c r="DA608" s="1343"/>
      <c r="DB608" s="1343"/>
      <c r="DC608" s="1343">
        <f t="shared" si="13"/>
        <v>0</v>
      </c>
      <c r="DD608" s="1343"/>
      <c r="DE608" s="1343"/>
      <c r="DF608" s="1343"/>
      <c r="DG608" s="1343"/>
      <c r="DH608" s="1343">
        <f t="shared" si="14"/>
        <v>0</v>
      </c>
      <c r="DI608" s="1343"/>
      <c r="DJ608" s="1343"/>
      <c r="DK608" s="1343"/>
      <c r="DL608" s="1343"/>
      <c r="DM608" s="1343">
        <f t="shared" si="15"/>
        <v>0</v>
      </c>
      <c r="DN608" s="1343"/>
      <c r="DO608" s="1343"/>
      <c r="DP608" s="1343"/>
      <c r="DQ608" s="1343"/>
      <c r="DR608" s="1343">
        <f t="shared" si="16"/>
        <v>0</v>
      </c>
      <c r="DS608" s="1343"/>
      <c r="DT608" s="1343"/>
      <c r="DU608" s="1343"/>
      <c r="DV608" s="1343"/>
      <c r="DX608" s="1339" t="str">
        <f t="shared" si="17"/>
        <v/>
      </c>
      <c r="DY608" s="1340"/>
      <c r="DZ608" s="1340"/>
      <c r="EA608" s="1340"/>
      <c r="EB608" s="1341"/>
      <c r="EC608" s="1339" t="str">
        <f t="shared" si="18"/>
        <v/>
      </c>
      <c r="ED608" s="1340"/>
      <c r="EE608" s="1340"/>
      <c r="EF608" s="1340"/>
      <c r="EG608" s="1341"/>
      <c r="EH608" s="1339" t="str">
        <f t="shared" si="19"/>
        <v/>
      </c>
      <c r="EI608" s="1340"/>
      <c r="EJ608" s="1340"/>
      <c r="EK608" s="1340"/>
      <c r="EL608" s="1341"/>
      <c r="EM608" s="1339" t="str">
        <f t="shared" si="20"/>
        <v/>
      </c>
      <c r="EN608" s="1340"/>
      <c r="EO608" s="1340"/>
      <c r="EP608" s="1340"/>
      <c r="EQ608" s="1341"/>
      <c r="ER608" s="1339" t="str">
        <f t="shared" si="21"/>
        <v/>
      </c>
      <c r="ES608" s="1340"/>
      <c r="ET608" s="1340"/>
      <c r="EU608" s="1340"/>
      <c r="EV608" s="1341"/>
      <c r="EW608" s="1339" t="str">
        <f t="shared" si="22"/>
        <v/>
      </c>
      <c r="EX608" s="1340"/>
      <c r="EY608" s="1340"/>
      <c r="EZ608" s="1340"/>
      <c r="FA608" s="1341"/>
    </row>
    <row r="609" spans="1:157" ht="13.2" customHeight="1">
      <c r="A609" s="48" t="s">
        <v>1474</v>
      </c>
      <c r="B609" t="s">
        <v>1477</v>
      </c>
      <c r="G609" s="1449">
        <f>C564</f>
        <v>0</v>
      </c>
      <c r="H609" s="1449"/>
      <c r="I609" s="1449"/>
      <c r="J609" s="1449"/>
      <c r="K609" s="1449"/>
      <c r="L609" s="1449"/>
      <c r="M609" s="1449"/>
      <c r="N609" s="1449"/>
      <c r="O609" s="1449"/>
      <c r="P609" s="1449"/>
      <c r="Q609" s="1449"/>
      <c r="R609" s="1449"/>
      <c r="T609" s="48" t="s">
        <v>1475</v>
      </c>
      <c r="U609" t="s">
        <v>1477</v>
      </c>
      <c r="Z609" s="1449">
        <f>C565</f>
        <v>0</v>
      </c>
      <c r="AA609" s="1449"/>
      <c r="AB609" s="1449"/>
      <c r="AC609" s="1449"/>
      <c r="AD609" s="1449"/>
      <c r="AE609" s="1449"/>
      <c r="AF609" s="1449"/>
      <c r="AG609" s="1449"/>
      <c r="AH609" s="1449"/>
      <c r="AI609" s="1449"/>
      <c r="AJ609" s="1449"/>
      <c r="AK609" s="1449"/>
      <c r="AZ609" s="3"/>
      <c r="BA609" s="3"/>
      <c r="BB609" s="3"/>
      <c r="BC609" s="3"/>
      <c r="BD609" s="3"/>
      <c r="BE609" s="1339">
        <f t="shared" si="1"/>
        <v>0</v>
      </c>
      <c r="BF609" s="1341"/>
      <c r="BG609" s="1339">
        <f t="shared" si="2"/>
        <v>0</v>
      </c>
      <c r="BH609" s="1341"/>
      <c r="BI609" s="1339">
        <f t="shared" si="3"/>
        <v>0</v>
      </c>
      <c r="BJ609" s="1341"/>
      <c r="BK609" s="1339">
        <f t="shared" si="4"/>
        <v>0</v>
      </c>
      <c r="BL609" s="1341"/>
      <c r="BM609" s="3"/>
      <c r="BN609" s="1345">
        <f t="shared" si="5"/>
        <v>0</v>
      </c>
      <c r="BO609" s="1346"/>
      <c r="BP609" s="1346"/>
      <c r="BQ609" s="1346"/>
      <c r="BR609" s="1347"/>
      <c r="BS609" s="1344">
        <f t="shared" si="6"/>
        <v>0</v>
      </c>
      <c r="BT609" s="1344"/>
      <c r="BU609" s="1344"/>
      <c r="BV609" s="1344"/>
      <c r="BW609" s="1344"/>
      <c r="BX609" s="1344">
        <f t="shared" si="7"/>
        <v>0</v>
      </c>
      <c r="BY609" s="1344"/>
      <c r="BZ609" s="1344"/>
      <c r="CA609" s="1344"/>
      <c r="CB609" s="1344"/>
      <c r="CC609" s="1344">
        <f t="shared" si="8"/>
        <v>0</v>
      </c>
      <c r="CD609" s="1344"/>
      <c r="CE609" s="1344"/>
      <c r="CF609" s="1344"/>
      <c r="CG609" s="1344"/>
      <c r="CH609" s="1344">
        <f t="shared" si="9"/>
        <v>0</v>
      </c>
      <c r="CI609" s="1344"/>
      <c r="CJ609" s="1344"/>
      <c r="CK609" s="1344"/>
      <c r="CL609" s="1344"/>
      <c r="CM609" s="1344">
        <f t="shared" si="10"/>
        <v>0</v>
      </c>
      <c r="CN609" s="1344"/>
      <c r="CO609" s="1344"/>
      <c r="CP609" s="1344"/>
      <c r="CQ609" s="1344"/>
      <c r="CR609" s="278"/>
      <c r="CS609" s="1343">
        <f t="shared" si="11"/>
        <v>0</v>
      </c>
      <c r="CT609" s="1343"/>
      <c r="CU609" s="1343"/>
      <c r="CV609" s="1343"/>
      <c r="CW609" s="1343"/>
      <c r="CX609" s="1343">
        <f t="shared" si="12"/>
        <v>0</v>
      </c>
      <c r="CY609" s="1343"/>
      <c r="CZ609" s="1343"/>
      <c r="DA609" s="1343"/>
      <c r="DB609" s="1343"/>
      <c r="DC609" s="1343">
        <f t="shared" si="13"/>
        <v>0</v>
      </c>
      <c r="DD609" s="1343"/>
      <c r="DE609" s="1343"/>
      <c r="DF609" s="1343"/>
      <c r="DG609" s="1343"/>
      <c r="DH609" s="1343">
        <f t="shared" si="14"/>
        <v>0</v>
      </c>
      <c r="DI609" s="1343"/>
      <c r="DJ609" s="1343"/>
      <c r="DK609" s="1343"/>
      <c r="DL609" s="1343"/>
      <c r="DM609" s="1343">
        <f t="shared" si="15"/>
        <v>0</v>
      </c>
      <c r="DN609" s="1343"/>
      <c r="DO609" s="1343"/>
      <c r="DP609" s="1343"/>
      <c r="DQ609" s="1343"/>
      <c r="DR609" s="1343">
        <f t="shared" si="16"/>
        <v>0</v>
      </c>
      <c r="DS609" s="1343"/>
      <c r="DT609" s="1343"/>
      <c r="DU609" s="1343"/>
      <c r="DV609" s="1343"/>
      <c r="DX609" s="1339" t="str">
        <f t="shared" si="17"/>
        <v/>
      </c>
      <c r="DY609" s="1340"/>
      <c r="DZ609" s="1340"/>
      <c r="EA609" s="1340"/>
      <c r="EB609" s="1341"/>
      <c r="EC609" s="1339" t="str">
        <f t="shared" si="18"/>
        <v/>
      </c>
      <c r="ED609" s="1340"/>
      <c r="EE609" s="1340"/>
      <c r="EF609" s="1340"/>
      <c r="EG609" s="1341"/>
      <c r="EH609" s="1339" t="str">
        <f t="shared" si="19"/>
        <v/>
      </c>
      <c r="EI609" s="1340"/>
      <c r="EJ609" s="1340"/>
      <c r="EK609" s="1340"/>
      <c r="EL609" s="1341"/>
      <c r="EM609" s="1339" t="str">
        <f t="shared" si="20"/>
        <v/>
      </c>
      <c r="EN609" s="1340"/>
      <c r="EO609" s="1340"/>
      <c r="EP609" s="1340"/>
      <c r="EQ609" s="1341"/>
      <c r="ER609" s="1339" t="str">
        <f t="shared" si="21"/>
        <v/>
      </c>
      <c r="ES609" s="1340"/>
      <c r="ET609" s="1340"/>
      <c r="EU609" s="1340"/>
      <c r="EV609" s="1341"/>
      <c r="EW609" s="1339" t="str">
        <f t="shared" si="22"/>
        <v/>
      </c>
      <c r="EX609" s="1340"/>
      <c r="EY609" s="1340"/>
      <c r="EZ609" s="1340"/>
      <c r="FA609" s="1341"/>
    </row>
    <row r="610" spans="1:157" ht="13.2" customHeight="1">
      <c r="B610" t="s">
        <v>1109</v>
      </c>
      <c r="G610" s="1381"/>
      <c r="H610" s="1381"/>
      <c r="I610" s="1381"/>
      <c r="J610" s="1381"/>
      <c r="K610" s="1381"/>
      <c r="L610" s="1381"/>
      <c r="M610" s="1381"/>
      <c r="N610" s="1381"/>
      <c r="O610" s="1381"/>
      <c r="P610" s="1381"/>
      <c r="Q610" s="1381"/>
      <c r="R610" s="1381"/>
      <c r="U610" t="s">
        <v>1109</v>
      </c>
      <c r="Z610" s="1381"/>
      <c r="AA610" s="1381"/>
      <c r="AB610" s="1381"/>
      <c r="AC610" s="1381"/>
      <c r="AD610" s="1381"/>
      <c r="AE610" s="1381"/>
      <c r="AF610" s="1381"/>
      <c r="AG610" s="1381"/>
      <c r="AH610" s="1381"/>
      <c r="AI610" s="1381"/>
      <c r="AJ610" s="1381"/>
      <c r="AK610" s="1381"/>
      <c r="AZ610" s="3"/>
      <c r="BA610" s="3"/>
      <c r="BB610" s="3"/>
      <c r="BC610" s="3"/>
      <c r="BD610" s="3"/>
      <c r="BE610" s="1339">
        <f t="shared" si="1"/>
        <v>0</v>
      </c>
      <c r="BF610" s="1341"/>
      <c r="BG610" s="1339">
        <f t="shared" si="2"/>
        <v>0</v>
      </c>
      <c r="BH610" s="1341"/>
      <c r="BI610" s="1339">
        <f t="shared" si="3"/>
        <v>0</v>
      </c>
      <c r="BJ610" s="1341"/>
      <c r="BK610" s="1339">
        <f t="shared" si="4"/>
        <v>0</v>
      </c>
      <c r="BL610" s="1341"/>
      <c r="BM610" s="3"/>
      <c r="BN610" s="1345">
        <f t="shared" si="5"/>
        <v>0</v>
      </c>
      <c r="BO610" s="1346"/>
      <c r="BP610" s="1346"/>
      <c r="BQ610" s="1346"/>
      <c r="BR610" s="1347"/>
      <c r="BS610" s="1344">
        <f t="shared" si="6"/>
        <v>0</v>
      </c>
      <c r="BT610" s="1344"/>
      <c r="BU610" s="1344"/>
      <c r="BV610" s="1344"/>
      <c r="BW610" s="1344"/>
      <c r="BX610" s="1344">
        <f t="shared" si="7"/>
        <v>0</v>
      </c>
      <c r="BY610" s="1344"/>
      <c r="BZ610" s="1344"/>
      <c r="CA610" s="1344"/>
      <c r="CB610" s="1344"/>
      <c r="CC610" s="1344">
        <f t="shared" si="8"/>
        <v>0</v>
      </c>
      <c r="CD610" s="1344"/>
      <c r="CE610" s="1344"/>
      <c r="CF610" s="1344"/>
      <c r="CG610" s="1344"/>
      <c r="CH610" s="1344">
        <f t="shared" si="9"/>
        <v>0</v>
      </c>
      <c r="CI610" s="1344"/>
      <c r="CJ610" s="1344"/>
      <c r="CK610" s="1344"/>
      <c r="CL610" s="1344"/>
      <c r="CM610" s="1344">
        <f t="shared" si="10"/>
        <v>0</v>
      </c>
      <c r="CN610" s="1344"/>
      <c r="CO610" s="1344"/>
      <c r="CP610" s="1344"/>
      <c r="CQ610" s="1344"/>
      <c r="CR610" s="278"/>
      <c r="CS610" s="1343">
        <f t="shared" si="11"/>
        <v>0</v>
      </c>
      <c r="CT610" s="1343"/>
      <c r="CU610" s="1343"/>
      <c r="CV610" s="1343"/>
      <c r="CW610" s="1343"/>
      <c r="CX610" s="1343">
        <f t="shared" si="12"/>
        <v>0</v>
      </c>
      <c r="CY610" s="1343"/>
      <c r="CZ610" s="1343"/>
      <c r="DA610" s="1343"/>
      <c r="DB610" s="1343"/>
      <c r="DC610" s="1343">
        <f t="shared" si="13"/>
        <v>0</v>
      </c>
      <c r="DD610" s="1343"/>
      <c r="DE610" s="1343"/>
      <c r="DF610" s="1343"/>
      <c r="DG610" s="1343"/>
      <c r="DH610" s="1343">
        <f t="shared" si="14"/>
        <v>0</v>
      </c>
      <c r="DI610" s="1343"/>
      <c r="DJ610" s="1343"/>
      <c r="DK610" s="1343"/>
      <c r="DL610" s="1343"/>
      <c r="DM610" s="1343">
        <f t="shared" si="15"/>
        <v>0</v>
      </c>
      <c r="DN610" s="1343"/>
      <c r="DO610" s="1343"/>
      <c r="DP610" s="1343"/>
      <c r="DQ610" s="1343"/>
      <c r="DR610" s="1343">
        <f t="shared" si="16"/>
        <v>0</v>
      </c>
      <c r="DS610" s="1343"/>
      <c r="DT610" s="1343"/>
      <c r="DU610" s="1343"/>
      <c r="DV610" s="1343"/>
      <c r="DX610" s="1339" t="str">
        <f t="shared" si="17"/>
        <v/>
      </c>
      <c r="DY610" s="1340"/>
      <c r="DZ610" s="1340"/>
      <c r="EA610" s="1340"/>
      <c r="EB610" s="1341"/>
      <c r="EC610" s="1339" t="str">
        <f t="shared" si="18"/>
        <v/>
      </c>
      <c r="ED610" s="1340"/>
      <c r="EE610" s="1340"/>
      <c r="EF610" s="1340"/>
      <c r="EG610" s="1341"/>
      <c r="EH610" s="1339" t="str">
        <f t="shared" si="19"/>
        <v/>
      </c>
      <c r="EI610" s="1340"/>
      <c r="EJ610" s="1340"/>
      <c r="EK610" s="1340"/>
      <c r="EL610" s="1341"/>
      <c r="EM610" s="1339" t="str">
        <f t="shared" si="20"/>
        <v/>
      </c>
      <c r="EN610" s="1340"/>
      <c r="EO610" s="1340"/>
      <c r="EP610" s="1340"/>
      <c r="EQ610" s="1341"/>
      <c r="ER610" s="1339" t="str">
        <f t="shared" si="21"/>
        <v/>
      </c>
      <c r="ES610" s="1340"/>
      <c r="ET610" s="1340"/>
      <c r="EU610" s="1340"/>
      <c r="EV610" s="1341"/>
      <c r="EW610" s="1339" t="str">
        <f t="shared" si="22"/>
        <v/>
      </c>
      <c r="EX610" s="1340"/>
      <c r="EY610" s="1340"/>
      <c r="EZ610" s="1340"/>
      <c r="FA610" s="1341"/>
    </row>
    <row r="611" spans="1:157" ht="13.2" customHeight="1">
      <c r="B611" t="s">
        <v>979</v>
      </c>
      <c r="G611" s="1381"/>
      <c r="H611" s="1381"/>
      <c r="I611" s="1381"/>
      <c r="J611" s="1381"/>
      <c r="K611" s="1381"/>
      <c r="L611" s="1381"/>
      <c r="M611" s="1381"/>
      <c r="N611" s="1381"/>
      <c r="O611" s="1381"/>
      <c r="P611" s="1381"/>
      <c r="Q611" s="1381"/>
      <c r="R611" s="1381"/>
      <c r="U611" t="s">
        <v>979</v>
      </c>
      <c r="Z611" s="1329"/>
      <c r="AA611" s="1329"/>
      <c r="AB611" s="1329"/>
      <c r="AC611" s="1329"/>
      <c r="AD611" s="1329"/>
      <c r="AE611" s="1329"/>
      <c r="AF611" s="1329"/>
      <c r="AG611" s="1329"/>
      <c r="AH611" s="1329"/>
      <c r="AI611" s="1329"/>
      <c r="AJ611" s="1329"/>
      <c r="AK611" s="1329"/>
      <c r="AZ611" s="3"/>
      <c r="BA611" s="3"/>
      <c r="BB611" s="3"/>
      <c r="BC611" s="3"/>
      <c r="BD611" s="3"/>
      <c r="BE611" s="1339">
        <f t="shared" si="1"/>
        <v>0</v>
      </c>
      <c r="BF611" s="1341"/>
      <c r="BG611" s="1339">
        <f t="shared" si="2"/>
        <v>0</v>
      </c>
      <c r="BH611" s="1341"/>
      <c r="BI611" s="1339">
        <f t="shared" si="3"/>
        <v>0</v>
      </c>
      <c r="BJ611" s="1341"/>
      <c r="BK611" s="1339">
        <f t="shared" si="4"/>
        <v>0</v>
      </c>
      <c r="BL611" s="1341"/>
      <c r="BM611" s="3"/>
      <c r="BN611" s="1345">
        <f t="shared" si="5"/>
        <v>0</v>
      </c>
      <c r="BO611" s="1346"/>
      <c r="BP611" s="1346"/>
      <c r="BQ611" s="1346"/>
      <c r="BR611" s="1347"/>
      <c r="BS611" s="1344">
        <f t="shared" si="6"/>
        <v>0</v>
      </c>
      <c r="BT611" s="1344"/>
      <c r="BU611" s="1344"/>
      <c r="BV611" s="1344"/>
      <c r="BW611" s="1344"/>
      <c r="BX611" s="1344">
        <f t="shared" si="7"/>
        <v>0</v>
      </c>
      <c r="BY611" s="1344"/>
      <c r="BZ611" s="1344"/>
      <c r="CA611" s="1344"/>
      <c r="CB611" s="1344"/>
      <c r="CC611" s="1344">
        <f t="shared" si="8"/>
        <v>0</v>
      </c>
      <c r="CD611" s="1344"/>
      <c r="CE611" s="1344"/>
      <c r="CF611" s="1344"/>
      <c r="CG611" s="1344"/>
      <c r="CH611" s="1344">
        <f t="shared" si="9"/>
        <v>0</v>
      </c>
      <c r="CI611" s="1344"/>
      <c r="CJ611" s="1344"/>
      <c r="CK611" s="1344"/>
      <c r="CL611" s="1344"/>
      <c r="CM611" s="1344">
        <f t="shared" si="10"/>
        <v>0</v>
      </c>
      <c r="CN611" s="1344"/>
      <c r="CO611" s="1344"/>
      <c r="CP611" s="1344"/>
      <c r="CQ611" s="1344"/>
      <c r="CR611" s="278"/>
      <c r="CS611" s="1343">
        <f t="shared" si="11"/>
        <v>0</v>
      </c>
      <c r="CT611" s="1343"/>
      <c r="CU611" s="1343"/>
      <c r="CV611" s="1343"/>
      <c r="CW611" s="1343"/>
      <c r="CX611" s="1343">
        <f t="shared" si="12"/>
        <v>0</v>
      </c>
      <c r="CY611" s="1343"/>
      <c r="CZ611" s="1343"/>
      <c r="DA611" s="1343"/>
      <c r="DB611" s="1343"/>
      <c r="DC611" s="1343">
        <f t="shared" si="13"/>
        <v>0</v>
      </c>
      <c r="DD611" s="1343"/>
      <c r="DE611" s="1343"/>
      <c r="DF611" s="1343"/>
      <c r="DG611" s="1343"/>
      <c r="DH611" s="1343">
        <f t="shared" si="14"/>
        <v>0</v>
      </c>
      <c r="DI611" s="1343"/>
      <c r="DJ611" s="1343"/>
      <c r="DK611" s="1343"/>
      <c r="DL611" s="1343"/>
      <c r="DM611" s="1343">
        <f t="shared" si="15"/>
        <v>0</v>
      </c>
      <c r="DN611" s="1343"/>
      <c r="DO611" s="1343"/>
      <c r="DP611" s="1343"/>
      <c r="DQ611" s="1343"/>
      <c r="DR611" s="1343">
        <f t="shared" si="16"/>
        <v>0</v>
      </c>
      <c r="DS611" s="1343"/>
      <c r="DT611" s="1343"/>
      <c r="DU611" s="1343"/>
      <c r="DV611" s="1343"/>
      <c r="DX611" s="1339" t="str">
        <f t="shared" si="17"/>
        <v/>
      </c>
      <c r="DY611" s="1340"/>
      <c r="DZ611" s="1340"/>
      <c r="EA611" s="1340"/>
      <c r="EB611" s="1341"/>
      <c r="EC611" s="1339" t="str">
        <f t="shared" si="18"/>
        <v/>
      </c>
      <c r="ED611" s="1340"/>
      <c r="EE611" s="1340"/>
      <c r="EF611" s="1340"/>
      <c r="EG611" s="1341"/>
      <c r="EH611" s="1339" t="str">
        <f t="shared" si="19"/>
        <v/>
      </c>
      <c r="EI611" s="1340"/>
      <c r="EJ611" s="1340"/>
      <c r="EK611" s="1340"/>
      <c r="EL611" s="1341"/>
      <c r="EM611" s="1339" t="str">
        <f t="shared" si="20"/>
        <v/>
      </c>
      <c r="EN611" s="1340"/>
      <c r="EO611" s="1340"/>
      <c r="EP611" s="1340"/>
      <c r="EQ611" s="1341"/>
      <c r="ER611" s="1339" t="str">
        <f t="shared" si="21"/>
        <v/>
      </c>
      <c r="ES611" s="1340"/>
      <c r="ET611" s="1340"/>
      <c r="EU611" s="1340"/>
      <c r="EV611" s="1341"/>
      <c r="EW611" s="1339" t="str">
        <f t="shared" si="22"/>
        <v/>
      </c>
      <c r="EX611" s="1340"/>
      <c r="EY611" s="1340"/>
      <c r="EZ611" s="1340"/>
      <c r="FA611" s="1341"/>
    </row>
    <row r="612" spans="1:157" ht="13.2" customHeight="1">
      <c r="B612" t="s">
        <v>1479</v>
      </c>
      <c r="G612" s="1381"/>
      <c r="H612" s="1381"/>
      <c r="I612" s="1381"/>
      <c r="J612" s="1381"/>
      <c r="K612" s="1381"/>
      <c r="L612" s="1381"/>
      <c r="M612" s="1381"/>
      <c r="N612" s="1381"/>
      <c r="O612" s="1381"/>
      <c r="P612" s="1381"/>
      <c r="Q612" s="1381"/>
      <c r="R612" s="1381"/>
      <c r="U612" t="s">
        <v>1479</v>
      </c>
      <c r="Z612" s="1329"/>
      <c r="AA612" s="1329"/>
      <c r="AB612" s="1329"/>
      <c r="AC612" s="1329"/>
      <c r="AD612" s="1329"/>
      <c r="AE612" s="1329"/>
      <c r="AF612" s="1329"/>
      <c r="AG612" s="1329"/>
      <c r="AH612" s="1329"/>
      <c r="AI612" s="1329"/>
      <c r="AJ612" s="1329"/>
      <c r="AK612" s="1329"/>
      <c r="AZ612" s="3"/>
      <c r="BA612" s="3"/>
      <c r="BB612" s="3"/>
      <c r="BC612" s="3"/>
      <c r="BD612" s="3"/>
      <c r="BE612" s="1339">
        <f t="shared" si="1"/>
        <v>0</v>
      </c>
      <c r="BF612" s="1341"/>
      <c r="BG612" s="1339">
        <f t="shared" si="2"/>
        <v>0</v>
      </c>
      <c r="BH612" s="1341"/>
      <c r="BI612" s="1339">
        <f t="shared" si="3"/>
        <v>0</v>
      </c>
      <c r="BJ612" s="1341"/>
      <c r="BK612" s="1339">
        <f t="shared" si="4"/>
        <v>0</v>
      </c>
      <c r="BL612" s="1341"/>
      <c r="BM612" s="3"/>
      <c r="BN612" s="1345">
        <f t="shared" si="5"/>
        <v>0</v>
      </c>
      <c r="BO612" s="1346"/>
      <c r="BP612" s="1346"/>
      <c r="BQ612" s="1346"/>
      <c r="BR612" s="1347"/>
      <c r="BS612" s="1344">
        <f t="shared" si="6"/>
        <v>0</v>
      </c>
      <c r="BT612" s="1344"/>
      <c r="BU612" s="1344"/>
      <c r="BV612" s="1344"/>
      <c r="BW612" s="1344"/>
      <c r="BX612" s="1344">
        <f t="shared" si="7"/>
        <v>0</v>
      </c>
      <c r="BY612" s="1344"/>
      <c r="BZ612" s="1344"/>
      <c r="CA612" s="1344"/>
      <c r="CB612" s="1344"/>
      <c r="CC612" s="1344">
        <f t="shared" si="8"/>
        <v>0</v>
      </c>
      <c r="CD612" s="1344"/>
      <c r="CE612" s="1344"/>
      <c r="CF612" s="1344"/>
      <c r="CG612" s="1344"/>
      <c r="CH612" s="1344">
        <f t="shared" si="9"/>
        <v>0</v>
      </c>
      <c r="CI612" s="1344"/>
      <c r="CJ612" s="1344"/>
      <c r="CK612" s="1344"/>
      <c r="CL612" s="1344"/>
      <c r="CM612" s="1344">
        <f t="shared" si="10"/>
        <v>0</v>
      </c>
      <c r="CN612" s="1344"/>
      <c r="CO612" s="1344"/>
      <c r="CP612" s="1344"/>
      <c r="CQ612" s="1344"/>
      <c r="CR612" s="278"/>
      <c r="CS612" s="1343">
        <f t="shared" si="11"/>
        <v>0</v>
      </c>
      <c r="CT612" s="1343"/>
      <c r="CU612" s="1343"/>
      <c r="CV612" s="1343"/>
      <c r="CW612" s="1343"/>
      <c r="CX612" s="1343">
        <f t="shared" si="12"/>
        <v>0</v>
      </c>
      <c r="CY612" s="1343"/>
      <c r="CZ612" s="1343"/>
      <c r="DA612" s="1343"/>
      <c r="DB612" s="1343"/>
      <c r="DC612" s="1343">
        <f t="shared" si="13"/>
        <v>0</v>
      </c>
      <c r="DD612" s="1343"/>
      <c r="DE612" s="1343"/>
      <c r="DF612" s="1343"/>
      <c r="DG612" s="1343"/>
      <c r="DH612" s="1343">
        <f t="shared" si="14"/>
        <v>0</v>
      </c>
      <c r="DI612" s="1343"/>
      <c r="DJ612" s="1343"/>
      <c r="DK612" s="1343"/>
      <c r="DL612" s="1343"/>
      <c r="DM612" s="1343">
        <f t="shared" si="15"/>
        <v>0</v>
      </c>
      <c r="DN612" s="1343"/>
      <c r="DO612" s="1343"/>
      <c r="DP612" s="1343"/>
      <c r="DQ612" s="1343"/>
      <c r="DR612" s="1343">
        <f t="shared" si="16"/>
        <v>0</v>
      </c>
      <c r="DS612" s="1343"/>
      <c r="DT612" s="1343"/>
      <c r="DU612" s="1343"/>
      <c r="DV612" s="1343"/>
      <c r="DX612" s="1339" t="str">
        <f t="shared" si="17"/>
        <v/>
      </c>
      <c r="DY612" s="1340"/>
      <c r="DZ612" s="1340"/>
      <c r="EA612" s="1340"/>
      <c r="EB612" s="1341"/>
      <c r="EC612" s="1339" t="str">
        <f t="shared" si="18"/>
        <v/>
      </c>
      <c r="ED612" s="1340"/>
      <c r="EE612" s="1340"/>
      <c r="EF612" s="1340"/>
      <c r="EG612" s="1341"/>
      <c r="EH612" s="1339" t="str">
        <f t="shared" si="19"/>
        <v/>
      </c>
      <c r="EI612" s="1340"/>
      <c r="EJ612" s="1340"/>
      <c r="EK612" s="1340"/>
      <c r="EL612" s="1341"/>
      <c r="EM612" s="1339" t="str">
        <f t="shared" si="20"/>
        <v/>
      </c>
      <c r="EN612" s="1340"/>
      <c r="EO612" s="1340"/>
      <c r="EP612" s="1340"/>
      <c r="EQ612" s="1341"/>
      <c r="ER612" s="1339" t="str">
        <f t="shared" si="21"/>
        <v/>
      </c>
      <c r="ES612" s="1340"/>
      <c r="ET612" s="1340"/>
      <c r="EU612" s="1340"/>
      <c r="EV612" s="1341"/>
      <c r="EW612" s="1339" t="str">
        <f t="shared" si="22"/>
        <v/>
      </c>
      <c r="EX612" s="1340"/>
      <c r="EY612" s="1340"/>
      <c r="EZ612" s="1340"/>
      <c r="FA612" s="1341"/>
    </row>
    <row r="613" spans="1:157" ht="13.2" customHeight="1">
      <c r="B613" t="s">
        <v>881</v>
      </c>
      <c r="G613" s="1378"/>
      <c r="H613" s="1378"/>
      <c r="I613" s="1378"/>
      <c r="J613" s="1378"/>
      <c r="K613" s="1378"/>
      <c r="L613" s="1378"/>
      <c r="O613" s="948" t="s">
        <v>1117</v>
      </c>
      <c r="P613" s="1349"/>
      <c r="Q613" s="1349"/>
      <c r="R613" s="1349"/>
      <c r="U613" t="s">
        <v>881</v>
      </c>
      <c r="Z613" s="1378"/>
      <c r="AA613" s="1378"/>
      <c r="AB613" s="1378"/>
      <c r="AC613" s="1378"/>
      <c r="AD613" s="1378"/>
      <c r="AE613" s="1378"/>
      <c r="AH613" s="948" t="s">
        <v>1117</v>
      </c>
      <c r="AI613" s="1349"/>
      <c r="AJ613" s="1349"/>
      <c r="AK613" s="1349"/>
      <c r="AZ613" s="3"/>
      <c r="BA613" s="3"/>
      <c r="BB613" s="3"/>
      <c r="BC613" s="3"/>
      <c r="BD613" s="3"/>
      <c r="BE613" s="1339">
        <f t="shared" si="1"/>
        <v>0</v>
      </c>
      <c r="BF613" s="1341"/>
      <c r="BG613" s="1339">
        <f t="shared" si="2"/>
        <v>0</v>
      </c>
      <c r="BH613" s="1341"/>
      <c r="BI613" s="1339">
        <f t="shared" si="3"/>
        <v>0</v>
      </c>
      <c r="BJ613" s="1341"/>
      <c r="BK613" s="1339">
        <f t="shared" si="4"/>
        <v>0</v>
      </c>
      <c r="BL613" s="1341"/>
      <c r="BM613" s="3"/>
      <c r="BN613" s="1345">
        <f t="shared" si="5"/>
        <v>0</v>
      </c>
      <c r="BO613" s="1346"/>
      <c r="BP613" s="1346"/>
      <c r="BQ613" s="1346"/>
      <c r="BR613" s="1347"/>
      <c r="BS613" s="1344">
        <f t="shared" si="6"/>
        <v>0</v>
      </c>
      <c r="BT613" s="1344"/>
      <c r="BU613" s="1344"/>
      <c r="BV613" s="1344"/>
      <c r="BW613" s="1344"/>
      <c r="BX613" s="1344">
        <f t="shared" si="7"/>
        <v>0</v>
      </c>
      <c r="BY613" s="1344"/>
      <c r="BZ613" s="1344"/>
      <c r="CA613" s="1344"/>
      <c r="CB613" s="1344"/>
      <c r="CC613" s="1344">
        <f t="shared" si="8"/>
        <v>0</v>
      </c>
      <c r="CD613" s="1344"/>
      <c r="CE613" s="1344"/>
      <c r="CF613" s="1344"/>
      <c r="CG613" s="1344"/>
      <c r="CH613" s="1344">
        <f t="shared" si="9"/>
        <v>0</v>
      </c>
      <c r="CI613" s="1344"/>
      <c r="CJ613" s="1344"/>
      <c r="CK613" s="1344"/>
      <c r="CL613" s="1344"/>
      <c r="CM613" s="1344">
        <f t="shared" si="10"/>
        <v>0</v>
      </c>
      <c r="CN613" s="1344"/>
      <c r="CO613" s="1344"/>
      <c r="CP613" s="1344"/>
      <c r="CQ613" s="1344"/>
      <c r="CR613" s="278"/>
      <c r="CS613" s="1343">
        <f t="shared" si="11"/>
        <v>0</v>
      </c>
      <c r="CT613" s="1343"/>
      <c r="CU613" s="1343"/>
      <c r="CV613" s="1343"/>
      <c r="CW613" s="1343"/>
      <c r="CX613" s="1343">
        <f t="shared" si="12"/>
        <v>0</v>
      </c>
      <c r="CY613" s="1343"/>
      <c r="CZ613" s="1343"/>
      <c r="DA613" s="1343"/>
      <c r="DB613" s="1343"/>
      <c r="DC613" s="1343">
        <f t="shared" si="13"/>
        <v>0</v>
      </c>
      <c r="DD613" s="1343"/>
      <c r="DE613" s="1343"/>
      <c r="DF613" s="1343"/>
      <c r="DG613" s="1343"/>
      <c r="DH613" s="1343">
        <f t="shared" si="14"/>
        <v>0</v>
      </c>
      <c r="DI613" s="1343"/>
      <c r="DJ613" s="1343"/>
      <c r="DK613" s="1343"/>
      <c r="DL613" s="1343"/>
      <c r="DM613" s="1343">
        <f t="shared" si="15"/>
        <v>0</v>
      </c>
      <c r="DN613" s="1343"/>
      <c r="DO613" s="1343"/>
      <c r="DP613" s="1343"/>
      <c r="DQ613" s="1343"/>
      <c r="DR613" s="1343">
        <f t="shared" si="16"/>
        <v>0</v>
      </c>
      <c r="DS613" s="1343"/>
      <c r="DT613" s="1343"/>
      <c r="DU613" s="1343"/>
      <c r="DV613" s="1343"/>
      <c r="DX613" s="1339" t="str">
        <f t="shared" si="17"/>
        <v/>
      </c>
      <c r="DY613" s="1340"/>
      <c r="DZ613" s="1340"/>
      <c r="EA613" s="1340"/>
      <c r="EB613" s="1341"/>
      <c r="EC613" s="1339" t="str">
        <f t="shared" si="18"/>
        <v/>
      </c>
      <c r="ED613" s="1340"/>
      <c r="EE613" s="1340"/>
      <c r="EF613" s="1340"/>
      <c r="EG613" s="1341"/>
      <c r="EH613" s="1339" t="str">
        <f t="shared" si="19"/>
        <v/>
      </c>
      <c r="EI613" s="1340"/>
      <c r="EJ613" s="1340"/>
      <c r="EK613" s="1340"/>
      <c r="EL613" s="1341"/>
      <c r="EM613" s="1339" t="str">
        <f t="shared" si="20"/>
        <v/>
      </c>
      <c r="EN613" s="1340"/>
      <c r="EO613" s="1340"/>
      <c r="EP613" s="1340"/>
      <c r="EQ613" s="1341"/>
      <c r="ER613" s="1339" t="str">
        <f t="shared" si="21"/>
        <v/>
      </c>
      <c r="ES613" s="1340"/>
      <c r="ET613" s="1340"/>
      <c r="EU613" s="1340"/>
      <c r="EV613" s="1341"/>
      <c r="EW613" s="1339" t="str">
        <f t="shared" si="22"/>
        <v/>
      </c>
      <c r="EX613" s="1340"/>
      <c r="EY613" s="1340"/>
      <c r="EZ613" s="1340"/>
      <c r="FA613" s="1341"/>
    </row>
    <row r="614" spans="1:157" ht="13.2" customHeight="1">
      <c r="B614" t="s">
        <v>1482</v>
      </c>
      <c r="H614" s="1381"/>
      <c r="I614" s="1381"/>
      <c r="J614" s="1381"/>
      <c r="K614" s="1381"/>
      <c r="L614" s="1381"/>
      <c r="M614" s="1381"/>
      <c r="N614" s="1381"/>
      <c r="O614" s="1381"/>
      <c r="P614" s="1381"/>
      <c r="Q614" s="1381"/>
      <c r="R614" s="1381"/>
      <c r="U614" t="s">
        <v>1482</v>
      </c>
      <c r="AA614" s="1381"/>
      <c r="AB614" s="1381"/>
      <c r="AC614" s="1381"/>
      <c r="AD614" s="1381"/>
      <c r="AE614" s="1381"/>
      <c r="AF614" s="1381"/>
      <c r="AG614" s="1381"/>
      <c r="AH614" s="1381"/>
      <c r="AI614" s="1381"/>
      <c r="AJ614" s="1381"/>
      <c r="AK614" s="1381"/>
      <c r="AU614" s="820"/>
      <c r="AV614" s="820"/>
      <c r="AW614" s="820"/>
      <c r="AX614" s="820"/>
      <c r="AY614" s="820"/>
      <c r="AZ614" s="3"/>
      <c r="BA614" s="3"/>
      <c r="BB614" s="3"/>
      <c r="BC614" s="3"/>
      <c r="BD614" s="3"/>
      <c r="BE614" s="1339">
        <f t="shared" si="1"/>
        <v>0</v>
      </c>
      <c r="BF614" s="1341"/>
      <c r="BG614" s="1339">
        <f t="shared" si="2"/>
        <v>0</v>
      </c>
      <c r="BH614" s="1341"/>
      <c r="BI614" s="1339">
        <f t="shared" si="3"/>
        <v>0</v>
      </c>
      <c r="BJ614" s="1341"/>
      <c r="BK614" s="1339">
        <f t="shared" si="4"/>
        <v>0</v>
      </c>
      <c r="BL614" s="1341"/>
      <c r="BM614" s="3"/>
      <c r="BN614" s="1345">
        <f t="shared" si="5"/>
        <v>0</v>
      </c>
      <c r="BO614" s="1346"/>
      <c r="BP614" s="1346"/>
      <c r="BQ614" s="1346"/>
      <c r="BR614" s="1347"/>
      <c r="BS614" s="1344">
        <f t="shared" si="6"/>
        <v>0</v>
      </c>
      <c r="BT614" s="1344"/>
      <c r="BU614" s="1344"/>
      <c r="BV614" s="1344"/>
      <c r="BW614" s="1344"/>
      <c r="BX614" s="1344">
        <f t="shared" si="7"/>
        <v>0</v>
      </c>
      <c r="BY614" s="1344"/>
      <c r="BZ614" s="1344"/>
      <c r="CA614" s="1344"/>
      <c r="CB614" s="1344"/>
      <c r="CC614" s="1344">
        <f t="shared" si="8"/>
        <v>0</v>
      </c>
      <c r="CD614" s="1344"/>
      <c r="CE614" s="1344"/>
      <c r="CF614" s="1344"/>
      <c r="CG614" s="1344"/>
      <c r="CH614" s="1344">
        <f t="shared" si="9"/>
        <v>0</v>
      </c>
      <c r="CI614" s="1344"/>
      <c r="CJ614" s="1344"/>
      <c r="CK614" s="1344"/>
      <c r="CL614" s="1344"/>
      <c r="CM614" s="1344">
        <f t="shared" si="10"/>
        <v>0</v>
      </c>
      <c r="CN614" s="1344"/>
      <c r="CO614" s="1344"/>
      <c r="CP614" s="1344"/>
      <c r="CQ614" s="1344"/>
      <c r="CR614" s="278"/>
      <c r="CS614" s="1343">
        <f t="shared" si="11"/>
        <v>0</v>
      </c>
      <c r="CT614" s="1343"/>
      <c r="CU614" s="1343"/>
      <c r="CV614" s="1343"/>
      <c r="CW614" s="1343"/>
      <c r="CX614" s="1343">
        <f t="shared" si="12"/>
        <v>0</v>
      </c>
      <c r="CY614" s="1343"/>
      <c r="CZ614" s="1343"/>
      <c r="DA614" s="1343"/>
      <c r="DB614" s="1343"/>
      <c r="DC614" s="1343">
        <f t="shared" si="13"/>
        <v>0</v>
      </c>
      <c r="DD614" s="1343"/>
      <c r="DE614" s="1343"/>
      <c r="DF614" s="1343"/>
      <c r="DG614" s="1343"/>
      <c r="DH614" s="1343">
        <f t="shared" si="14"/>
        <v>0</v>
      </c>
      <c r="DI614" s="1343"/>
      <c r="DJ614" s="1343"/>
      <c r="DK614" s="1343"/>
      <c r="DL614" s="1343"/>
      <c r="DM614" s="1343">
        <f t="shared" si="15"/>
        <v>0</v>
      </c>
      <c r="DN614" s="1343"/>
      <c r="DO614" s="1343"/>
      <c r="DP614" s="1343"/>
      <c r="DQ614" s="1343"/>
      <c r="DR614" s="1343">
        <f t="shared" si="16"/>
        <v>0</v>
      </c>
      <c r="DS614" s="1343"/>
      <c r="DT614" s="1343"/>
      <c r="DU614" s="1343"/>
      <c r="DV614" s="1343"/>
      <c r="DX614" s="1339" t="str">
        <f t="shared" si="17"/>
        <v/>
      </c>
      <c r="DY614" s="1340"/>
      <c r="DZ614" s="1340"/>
      <c r="EA614" s="1340"/>
      <c r="EB614" s="1341"/>
      <c r="EC614" s="1339" t="str">
        <f t="shared" si="18"/>
        <v/>
      </c>
      <c r="ED614" s="1340"/>
      <c r="EE614" s="1340"/>
      <c r="EF614" s="1340"/>
      <c r="EG614" s="1341"/>
      <c r="EH614" s="1339" t="str">
        <f t="shared" si="19"/>
        <v/>
      </c>
      <c r="EI614" s="1340"/>
      <c r="EJ614" s="1340"/>
      <c r="EK614" s="1340"/>
      <c r="EL614" s="1341"/>
      <c r="EM614" s="1339" t="str">
        <f t="shared" si="20"/>
        <v/>
      </c>
      <c r="EN614" s="1340"/>
      <c r="EO614" s="1340"/>
      <c r="EP614" s="1340"/>
      <c r="EQ614" s="1341"/>
      <c r="ER614" s="1339" t="str">
        <f t="shared" si="21"/>
        <v/>
      </c>
      <c r="ES614" s="1340"/>
      <c r="ET614" s="1340"/>
      <c r="EU614" s="1340"/>
      <c r="EV614" s="1341"/>
      <c r="EW614" s="1339" t="str">
        <f t="shared" si="22"/>
        <v/>
      </c>
      <c r="EX614" s="1340"/>
      <c r="EY614" s="1340"/>
      <c r="EZ614" s="1340"/>
      <c r="FA614" s="1341"/>
    </row>
    <row r="615" spans="1:157" ht="13.2" customHeight="1">
      <c r="B615" t="s">
        <v>1486</v>
      </c>
      <c r="N615" s="1348" t="s">
        <v>892</v>
      </c>
      <c r="O615" s="1348"/>
      <c r="U615" t="s">
        <v>1486</v>
      </c>
      <c r="AG615" s="1348" t="s">
        <v>892</v>
      </c>
      <c r="AH615" s="1348"/>
      <c r="AU615" s="820"/>
      <c r="AV615" s="820"/>
      <c r="AW615" s="820"/>
      <c r="AX615" s="820"/>
      <c r="AY615" s="820"/>
      <c r="AZ615" s="3"/>
      <c r="BA615" s="3"/>
      <c r="BB615" s="3"/>
      <c r="BC615" s="3"/>
      <c r="BD615" s="3"/>
      <c r="BE615" s="1339">
        <f t="shared" si="1"/>
        <v>0</v>
      </c>
      <c r="BF615" s="1341"/>
      <c r="BG615" s="1339">
        <f t="shared" si="2"/>
        <v>0</v>
      </c>
      <c r="BH615" s="1341"/>
      <c r="BI615" s="1339">
        <f t="shared" si="3"/>
        <v>0</v>
      </c>
      <c r="BJ615" s="1341"/>
      <c r="BK615" s="1339">
        <f t="shared" si="4"/>
        <v>0</v>
      </c>
      <c r="BL615" s="1341"/>
      <c r="BM615" s="3"/>
      <c r="BN615" s="1345">
        <f t="shared" si="5"/>
        <v>0</v>
      </c>
      <c r="BO615" s="1346"/>
      <c r="BP615" s="1346"/>
      <c r="BQ615" s="1346"/>
      <c r="BR615" s="1347"/>
      <c r="BS615" s="1344">
        <f t="shared" si="6"/>
        <v>0</v>
      </c>
      <c r="BT615" s="1344"/>
      <c r="BU615" s="1344"/>
      <c r="BV615" s="1344"/>
      <c r="BW615" s="1344"/>
      <c r="BX615" s="1344">
        <f t="shared" si="7"/>
        <v>0</v>
      </c>
      <c r="BY615" s="1344"/>
      <c r="BZ615" s="1344"/>
      <c r="CA615" s="1344"/>
      <c r="CB615" s="1344"/>
      <c r="CC615" s="1344">
        <f t="shared" si="8"/>
        <v>0</v>
      </c>
      <c r="CD615" s="1344"/>
      <c r="CE615" s="1344"/>
      <c r="CF615" s="1344"/>
      <c r="CG615" s="1344"/>
      <c r="CH615" s="1344">
        <f t="shared" si="9"/>
        <v>0</v>
      </c>
      <c r="CI615" s="1344"/>
      <c r="CJ615" s="1344"/>
      <c r="CK615" s="1344"/>
      <c r="CL615" s="1344"/>
      <c r="CM615" s="1344">
        <f t="shared" si="10"/>
        <v>0</v>
      </c>
      <c r="CN615" s="1344"/>
      <c r="CO615" s="1344"/>
      <c r="CP615" s="1344"/>
      <c r="CQ615" s="1344"/>
      <c r="CR615" s="278"/>
      <c r="CS615" s="1343">
        <f t="shared" si="11"/>
        <v>0</v>
      </c>
      <c r="CT615" s="1343"/>
      <c r="CU615" s="1343"/>
      <c r="CV615" s="1343"/>
      <c r="CW615" s="1343"/>
      <c r="CX615" s="1343">
        <f t="shared" si="12"/>
        <v>0</v>
      </c>
      <c r="CY615" s="1343"/>
      <c r="CZ615" s="1343"/>
      <c r="DA615" s="1343"/>
      <c r="DB615" s="1343"/>
      <c r="DC615" s="1343">
        <f t="shared" si="13"/>
        <v>0</v>
      </c>
      <c r="DD615" s="1343"/>
      <c r="DE615" s="1343"/>
      <c r="DF615" s="1343"/>
      <c r="DG615" s="1343"/>
      <c r="DH615" s="1343">
        <f t="shared" si="14"/>
        <v>0</v>
      </c>
      <c r="DI615" s="1343"/>
      <c r="DJ615" s="1343"/>
      <c r="DK615" s="1343"/>
      <c r="DL615" s="1343"/>
      <c r="DM615" s="1343">
        <f t="shared" si="15"/>
        <v>0</v>
      </c>
      <c r="DN615" s="1343"/>
      <c r="DO615" s="1343"/>
      <c r="DP615" s="1343"/>
      <c r="DQ615" s="1343"/>
      <c r="DR615" s="1343">
        <f t="shared" si="16"/>
        <v>0</v>
      </c>
      <c r="DS615" s="1343"/>
      <c r="DT615" s="1343"/>
      <c r="DU615" s="1343"/>
      <c r="DV615" s="1343"/>
      <c r="DX615" s="1339" t="str">
        <f t="shared" si="17"/>
        <v/>
      </c>
      <c r="DY615" s="1340"/>
      <c r="DZ615" s="1340"/>
      <c r="EA615" s="1340"/>
      <c r="EB615" s="1341"/>
      <c r="EC615" s="1339" t="str">
        <f t="shared" si="18"/>
        <v/>
      </c>
      <c r="ED615" s="1340"/>
      <c r="EE615" s="1340"/>
      <c r="EF615" s="1340"/>
      <c r="EG615" s="1341"/>
      <c r="EH615" s="1339" t="str">
        <f t="shared" si="19"/>
        <v/>
      </c>
      <c r="EI615" s="1340"/>
      <c r="EJ615" s="1340"/>
      <c r="EK615" s="1340"/>
      <c r="EL615" s="1341"/>
      <c r="EM615" s="1339" t="str">
        <f t="shared" si="20"/>
        <v/>
      </c>
      <c r="EN615" s="1340"/>
      <c r="EO615" s="1340"/>
      <c r="EP615" s="1340"/>
      <c r="EQ615" s="1341"/>
      <c r="ER615" s="1339" t="str">
        <f t="shared" si="21"/>
        <v/>
      </c>
      <c r="ES615" s="1340"/>
      <c r="ET615" s="1340"/>
      <c r="EU615" s="1340"/>
      <c r="EV615" s="1341"/>
      <c r="EW615" s="1339" t="str">
        <f t="shared" si="22"/>
        <v/>
      </c>
      <c r="EX615" s="1340"/>
      <c r="EY615" s="1340"/>
      <c r="EZ615" s="1340"/>
      <c r="FA615" s="1341"/>
    </row>
    <row r="616" spans="1:157" ht="13.2" customHeight="1">
      <c r="AZ616" s="3"/>
      <c r="BA616" s="3"/>
      <c r="BB616" s="3"/>
      <c r="BC616" s="3"/>
      <c r="BD616" s="3"/>
      <c r="BE616" s="1339">
        <f t="shared" si="1"/>
        <v>0</v>
      </c>
      <c r="BF616" s="1341"/>
      <c r="BG616" s="1339">
        <f t="shared" si="2"/>
        <v>0</v>
      </c>
      <c r="BH616" s="1341"/>
      <c r="BI616" s="1339">
        <f t="shared" si="3"/>
        <v>0</v>
      </c>
      <c r="BJ616" s="1341"/>
      <c r="BK616" s="1339">
        <f t="shared" si="4"/>
        <v>0</v>
      </c>
      <c r="BL616" s="1341"/>
      <c r="BM616" s="3"/>
      <c r="BN616" s="1345">
        <f t="shared" si="5"/>
        <v>0</v>
      </c>
      <c r="BO616" s="1346"/>
      <c r="BP616" s="1346"/>
      <c r="BQ616" s="1346"/>
      <c r="BR616" s="1347"/>
      <c r="BS616" s="1344">
        <f t="shared" si="6"/>
        <v>0</v>
      </c>
      <c r="BT616" s="1344"/>
      <c r="BU616" s="1344"/>
      <c r="BV616" s="1344"/>
      <c r="BW616" s="1344"/>
      <c r="BX616" s="1344">
        <f t="shared" si="7"/>
        <v>0</v>
      </c>
      <c r="BY616" s="1344"/>
      <c r="BZ616" s="1344"/>
      <c r="CA616" s="1344"/>
      <c r="CB616" s="1344"/>
      <c r="CC616" s="1344">
        <f t="shared" si="8"/>
        <v>0</v>
      </c>
      <c r="CD616" s="1344"/>
      <c r="CE616" s="1344"/>
      <c r="CF616" s="1344"/>
      <c r="CG616" s="1344"/>
      <c r="CH616" s="1344">
        <f t="shared" si="9"/>
        <v>0</v>
      </c>
      <c r="CI616" s="1344"/>
      <c r="CJ616" s="1344"/>
      <c r="CK616" s="1344"/>
      <c r="CL616" s="1344"/>
      <c r="CM616" s="1344">
        <f t="shared" si="10"/>
        <v>0</v>
      </c>
      <c r="CN616" s="1344"/>
      <c r="CO616" s="1344"/>
      <c r="CP616" s="1344"/>
      <c r="CQ616" s="1344"/>
      <c r="CR616" s="278"/>
      <c r="CS616" s="1343">
        <f t="shared" si="11"/>
        <v>0</v>
      </c>
      <c r="CT616" s="1343"/>
      <c r="CU616" s="1343"/>
      <c r="CV616" s="1343"/>
      <c r="CW616" s="1343"/>
      <c r="CX616" s="1343">
        <f t="shared" si="12"/>
        <v>0</v>
      </c>
      <c r="CY616" s="1343"/>
      <c r="CZ616" s="1343"/>
      <c r="DA616" s="1343"/>
      <c r="DB616" s="1343"/>
      <c r="DC616" s="1343">
        <f t="shared" si="13"/>
        <v>0</v>
      </c>
      <c r="DD616" s="1343"/>
      <c r="DE616" s="1343"/>
      <c r="DF616" s="1343"/>
      <c r="DG616" s="1343"/>
      <c r="DH616" s="1343">
        <f t="shared" si="14"/>
        <v>0</v>
      </c>
      <c r="DI616" s="1343"/>
      <c r="DJ616" s="1343"/>
      <c r="DK616" s="1343"/>
      <c r="DL616" s="1343"/>
      <c r="DM616" s="1343">
        <f t="shared" si="15"/>
        <v>0</v>
      </c>
      <c r="DN616" s="1343"/>
      <c r="DO616" s="1343"/>
      <c r="DP616" s="1343"/>
      <c r="DQ616" s="1343"/>
      <c r="DR616" s="1343">
        <f t="shared" si="16"/>
        <v>0</v>
      </c>
      <c r="DS616" s="1343"/>
      <c r="DT616" s="1343"/>
      <c r="DU616" s="1343"/>
      <c r="DV616" s="1343"/>
      <c r="DX616" s="1339" t="str">
        <f t="shared" si="17"/>
        <v/>
      </c>
      <c r="DY616" s="1340"/>
      <c r="DZ616" s="1340"/>
      <c r="EA616" s="1340"/>
      <c r="EB616" s="1341"/>
      <c r="EC616" s="1339" t="str">
        <f t="shared" si="18"/>
        <v/>
      </c>
      <c r="ED616" s="1340"/>
      <c r="EE616" s="1340"/>
      <c r="EF616" s="1340"/>
      <c r="EG616" s="1341"/>
      <c r="EH616" s="1339" t="str">
        <f t="shared" si="19"/>
        <v/>
      </c>
      <c r="EI616" s="1340"/>
      <c r="EJ616" s="1340"/>
      <c r="EK616" s="1340"/>
      <c r="EL616" s="1341"/>
      <c r="EM616" s="1339" t="str">
        <f t="shared" si="20"/>
        <v/>
      </c>
      <c r="EN616" s="1340"/>
      <c r="EO616" s="1340"/>
      <c r="EP616" s="1340"/>
      <c r="EQ616" s="1341"/>
      <c r="ER616" s="1339" t="str">
        <f t="shared" si="21"/>
        <v/>
      </c>
      <c r="ES616" s="1340"/>
      <c r="ET616" s="1340"/>
      <c r="EU616" s="1340"/>
      <c r="EV616" s="1341"/>
      <c r="EW616" s="1339" t="str">
        <f t="shared" si="22"/>
        <v/>
      </c>
      <c r="EX616" s="1340"/>
      <c r="EY616" s="1340"/>
      <c r="EZ616" s="1340"/>
      <c r="FA616" s="1341"/>
    </row>
    <row r="617" spans="1:157" ht="13.2" customHeight="1">
      <c r="A617" s="1230" t="s">
        <v>1505</v>
      </c>
      <c r="B617" s="1230"/>
      <c r="C617" s="1230"/>
      <c r="D617" s="1230"/>
      <c r="E617" s="1230"/>
      <c r="F617" s="1230"/>
      <c r="G617" s="1230"/>
      <c r="H617" s="1230"/>
      <c r="I617" s="1230"/>
      <c r="J617" s="1230"/>
      <c r="K617" s="1230"/>
      <c r="L617" s="1230"/>
      <c r="M617" s="1230"/>
      <c r="N617" s="1230"/>
      <c r="O617" s="1230"/>
      <c r="P617" s="1230"/>
      <c r="Q617" s="1230"/>
      <c r="R617" s="1230"/>
      <c r="S617" s="1230"/>
      <c r="T617" s="1230"/>
      <c r="U617" s="1230"/>
      <c r="V617" s="1230"/>
      <c r="W617" s="1230"/>
      <c r="X617" s="1230"/>
      <c r="Y617" s="1230"/>
      <c r="Z617" s="1230"/>
      <c r="AA617" s="1230"/>
      <c r="AB617" s="1230"/>
      <c r="AC617" s="1230"/>
      <c r="AD617" s="1230"/>
      <c r="AE617" s="1230"/>
      <c r="AF617" s="1230"/>
      <c r="AG617" s="1230"/>
      <c r="AH617" s="1230"/>
      <c r="AI617" s="1230"/>
      <c r="AJ617" s="1230"/>
      <c r="AK617" s="1230"/>
      <c r="AL617" s="1230"/>
      <c r="AM617" s="1230"/>
      <c r="AN617" s="1230"/>
      <c r="AO617" s="1230"/>
      <c r="AP617" s="1230"/>
      <c r="AQ617" s="1230"/>
      <c r="AR617" s="1230"/>
      <c r="AS617" s="1230"/>
      <c r="AT617" s="1230"/>
      <c r="AZ617" s="3"/>
      <c r="BA617" s="3"/>
      <c r="BB617" s="3"/>
      <c r="BC617" s="3"/>
      <c r="BD617" s="3"/>
      <c r="BE617" s="1339">
        <f t="shared" si="1"/>
        <v>0</v>
      </c>
      <c r="BF617" s="1341"/>
      <c r="BG617" s="1339">
        <f t="shared" si="2"/>
        <v>0</v>
      </c>
      <c r="BH617" s="1341"/>
      <c r="BI617" s="1339">
        <f t="shared" si="3"/>
        <v>0</v>
      </c>
      <c r="BJ617" s="1341"/>
      <c r="BK617" s="1339">
        <f t="shared" si="4"/>
        <v>0</v>
      </c>
      <c r="BL617" s="1341"/>
      <c r="BM617" s="3"/>
      <c r="BN617" s="1345">
        <f t="shared" si="5"/>
        <v>0</v>
      </c>
      <c r="BO617" s="1346"/>
      <c r="BP617" s="1346"/>
      <c r="BQ617" s="1346"/>
      <c r="BR617" s="1347"/>
      <c r="BS617" s="1344">
        <f t="shared" si="6"/>
        <v>0</v>
      </c>
      <c r="BT617" s="1344"/>
      <c r="BU617" s="1344"/>
      <c r="BV617" s="1344"/>
      <c r="BW617" s="1344"/>
      <c r="BX617" s="1344">
        <f t="shared" si="7"/>
        <v>0</v>
      </c>
      <c r="BY617" s="1344"/>
      <c r="BZ617" s="1344"/>
      <c r="CA617" s="1344"/>
      <c r="CB617" s="1344"/>
      <c r="CC617" s="1344">
        <f t="shared" si="8"/>
        <v>0</v>
      </c>
      <c r="CD617" s="1344"/>
      <c r="CE617" s="1344"/>
      <c r="CF617" s="1344"/>
      <c r="CG617" s="1344"/>
      <c r="CH617" s="1344">
        <f t="shared" si="9"/>
        <v>0</v>
      </c>
      <c r="CI617" s="1344"/>
      <c r="CJ617" s="1344"/>
      <c r="CK617" s="1344"/>
      <c r="CL617" s="1344"/>
      <c r="CM617" s="1344">
        <f t="shared" si="10"/>
        <v>0</v>
      </c>
      <c r="CN617" s="1344"/>
      <c r="CO617" s="1344"/>
      <c r="CP617" s="1344"/>
      <c r="CQ617" s="1344"/>
      <c r="CR617" s="278"/>
      <c r="CS617" s="1343">
        <f t="shared" si="11"/>
        <v>0</v>
      </c>
      <c r="CT617" s="1343"/>
      <c r="CU617" s="1343"/>
      <c r="CV617" s="1343"/>
      <c r="CW617" s="1343"/>
      <c r="CX617" s="1343">
        <f t="shared" si="12"/>
        <v>0</v>
      </c>
      <c r="CY617" s="1343"/>
      <c r="CZ617" s="1343"/>
      <c r="DA617" s="1343"/>
      <c r="DB617" s="1343"/>
      <c r="DC617" s="1343">
        <f t="shared" si="13"/>
        <v>0</v>
      </c>
      <c r="DD617" s="1343"/>
      <c r="DE617" s="1343"/>
      <c r="DF617" s="1343"/>
      <c r="DG617" s="1343"/>
      <c r="DH617" s="1343">
        <f t="shared" si="14"/>
        <v>0</v>
      </c>
      <c r="DI617" s="1343"/>
      <c r="DJ617" s="1343"/>
      <c r="DK617" s="1343"/>
      <c r="DL617" s="1343"/>
      <c r="DM617" s="1343">
        <f t="shared" si="15"/>
        <v>0</v>
      </c>
      <c r="DN617" s="1343"/>
      <c r="DO617" s="1343"/>
      <c r="DP617" s="1343"/>
      <c r="DQ617" s="1343"/>
      <c r="DR617" s="1343">
        <f t="shared" si="16"/>
        <v>0</v>
      </c>
      <c r="DS617" s="1343"/>
      <c r="DT617" s="1343"/>
      <c r="DU617" s="1343"/>
      <c r="DV617" s="1343"/>
      <c r="DX617" s="1339" t="str">
        <f t="shared" si="17"/>
        <v/>
      </c>
      <c r="DY617" s="1340"/>
      <c r="DZ617" s="1340"/>
      <c r="EA617" s="1340"/>
      <c r="EB617" s="1341"/>
      <c r="EC617" s="1339" t="str">
        <f t="shared" si="18"/>
        <v/>
      </c>
      <c r="ED617" s="1340"/>
      <c r="EE617" s="1340"/>
      <c r="EF617" s="1340"/>
      <c r="EG617" s="1341"/>
      <c r="EH617" s="1339" t="str">
        <f t="shared" si="19"/>
        <v/>
      </c>
      <c r="EI617" s="1340"/>
      <c r="EJ617" s="1340"/>
      <c r="EK617" s="1340"/>
      <c r="EL617" s="1341"/>
      <c r="EM617" s="1339" t="str">
        <f t="shared" si="20"/>
        <v/>
      </c>
      <c r="EN617" s="1340"/>
      <c r="EO617" s="1340"/>
      <c r="EP617" s="1340"/>
      <c r="EQ617" s="1341"/>
      <c r="ER617" s="1339" t="str">
        <f t="shared" si="21"/>
        <v/>
      </c>
      <c r="ES617" s="1340"/>
      <c r="ET617" s="1340"/>
      <c r="EU617" s="1340"/>
      <c r="EV617" s="1341"/>
      <c r="EW617" s="1339" t="str">
        <f t="shared" si="22"/>
        <v/>
      </c>
      <c r="EX617" s="1340"/>
      <c r="EY617" s="1340"/>
      <c r="EZ617" s="1340"/>
      <c r="FA617" s="1341"/>
    </row>
    <row r="618" spans="1:157" ht="13.2" customHeight="1">
      <c r="A618" s="1230"/>
      <c r="B618" s="1230"/>
      <c r="C618" s="1230"/>
      <c r="D618" s="1230"/>
      <c r="E618" s="1230"/>
      <c r="F618" s="1230"/>
      <c r="G618" s="1230"/>
      <c r="H618" s="1230"/>
      <c r="I618" s="1230"/>
      <c r="J618" s="1230"/>
      <c r="K618" s="1230"/>
      <c r="L618" s="1230"/>
      <c r="M618" s="1230"/>
      <c r="N618" s="1230"/>
      <c r="O618" s="1230"/>
      <c r="P618" s="1230"/>
      <c r="Q618" s="1230"/>
      <c r="R618" s="1230"/>
      <c r="S618" s="1230"/>
      <c r="T618" s="1230"/>
      <c r="U618" s="1230"/>
      <c r="V618" s="1230"/>
      <c r="W618" s="1230"/>
      <c r="X618" s="1230"/>
      <c r="Y618" s="1230"/>
      <c r="Z618" s="1230"/>
      <c r="AA618" s="1230"/>
      <c r="AB618" s="1230"/>
      <c r="AC618" s="1230"/>
      <c r="AD618" s="1230"/>
      <c r="AE618" s="1230"/>
      <c r="AF618" s="1230"/>
      <c r="AG618" s="1230"/>
      <c r="AH618" s="1230"/>
      <c r="AI618" s="1230"/>
      <c r="AJ618" s="1230"/>
      <c r="AK618" s="1230"/>
      <c r="AL618" s="1230"/>
      <c r="AM618" s="1230"/>
      <c r="AN618" s="1230"/>
      <c r="AO618" s="1230"/>
      <c r="AP618" s="1230"/>
      <c r="AQ618" s="1230"/>
      <c r="AR618" s="1230"/>
      <c r="AS618" s="1230"/>
      <c r="AT618" s="1230"/>
      <c r="AZ618" s="3"/>
      <c r="BA618" s="3"/>
      <c r="BB618" s="3"/>
      <c r="BC618" s="3"/>
      <c r="BD618" s="3"/>
      <c r="BE618" s="1339">
        <f t="shared" si="1"/>
        <v>0</v>
      </c>
      <c r="BF618" s="1341"/>
      <c r="BG618" s="1339">
        <f t="shared" si="2"/>
        <v>0</v>
      </c>
      <c r="BH618" s="1341"/>
      <c r="BI618" s="1339">
        <f t="shared" si="3"/>
        <v>0</v>
      </c>
      <c r="BJ618" s="1341"/>
      <c r="BK618" s="1339">
        <f t="shared" si="4"/>
        <v>0</v>
      </c>
      <c r="BL618" s="1341"/>
      <c r="BM618" s="3"/>
      <c r="BN618" s="1345">
        <f t="shared" si="5"/>
        <v>0</v>
      </c>
      <c r="BO618" s="1346"/>
      <c r="BP618" s="1346"/>
      <c r="BQ618" s="1346"/>
      <c r="BR618" s="1347"/>
      <c r="BS618" s="1344">
        <f t="shared" si="6"/>
        <v>0</v>
      </c>
      <c r="BT618" s="1344"/>
      <c r="BU618" s="1344"/>
      <c r="BV618" s="1344"/>
      <c r="BW618" s="1344"/>
      <c r="BX618" s="1344">
        <f t="shared" si="7"/>
        <v>0</v>
      </c>
      <c r="BY618" s="1344"/>
      <c r="BZ618" s="1344"/>
      <c r="CA618" s="1344"/>
      <c r="CB618" s="1344"/>
      <c r="CC618" s="1344">
        <f t="shared" si="8"/>
        <v>0</v>
      </c>
      <c r="CD618" s="1344"/>
      <c r="CE618" s="1344"/>
      <c r="CF618" s="1344"/>
      <c r="CG618" s="1344"/>
      <c r="CH618" s="1344">
        <f t="shared" si="9"/>
        <v>0</v>
      </c>
      <c r="CI618" s="1344"/>
      <c r="CJ618" s="1344"/>
      <c r="CK618" s="1344"/>
      <c r="CL618" s="1344"/>
      <c r="CM618" s="1344">
        <f t="shared" si="10"/>
        <v>0</v>
      </c>
      <c r="CN618" s="1344"/>
      <c r="CO618" s="1344"/>
      <c r="CP618" s="1344"/>
      <c r="CQ618" s="1344"/>
      <c r="CR618" s="278"/>
      <c r="CS618" s="1343">
        <f t="shared" si="11"/>
        <v>0</v>
      </c>
      <c r="CT618" s="1343"/>
      <c r="CU618" s="1343"/>
      <c r="CV618" s="1343"/>
      <c r="CW618" s="1343"/>
      <c r="CX618" s="1343">
        <f t="shared" si="12"/>
        <v>0</v>
      </c>
      <c r="CY618" s="1343"/>
      <c r="CZ618" s="1343"/>
      <c r="DA618" s="1343"/>
      <c r="DB618" s="1343"/>
      <c r="DC618" s="1343">
        <f t="shared" si="13"/>
        <v>0</v>
      </c>
      <c r="DD618" s="1343"/>
      <c r="DE618" s="1343"/>
      <c r="DF618" s="1343"/>
      <c r="DG618" s="1343"/>
      <c r="DH618" s="1343">
        <f t="shared" si="14"/>
        <v>0</v>
      </c>
      <c r="DI618" s="1343"/>
      <c r="DJ618" s="1343"/>
      <c r="DK618" s="1343"/>
      <c r="DL618" s="1343"/>
      <c r="DM618" s="1343">
        <f t="shared" si="15"/>
        <v>0</v>
      </c>
      <c r="DN618" s="1343"/>
      <c r="DO618" s="1343"/>
      <c r="DP618" s="1343"/>
      <c r="DQ618" s="1343"/>
      <c r="DR618" s="1343">
        <f t="shared" si="16"/>
        <v>0</v>
      </c>
      <c r="DS618" s="1343"/>
      <c r="DT618" s="1343"/>
      <c r="DU618" s="1343"/>
      <c r="DV618" s="1343"/>
      <c r="DX618" s="1339" t="str">
        <f t="shared" si="17"/>
        <v/>
      </c>
      <c r="DY618" s="1340"/>
      <c r="DZ618" s="1340"/>
      <c r="EA618" s="1340"/>
      <c r="EB618" s="1341"/>
      <c r="EC618" s="1339" t="str">
        <f t="shared" si="18"/>
        <v/>
      </c>
      <c r="ED618" s="1340"/>
      <c r="EE618" s="1340"/>
      <c r="EF618" s="1340"/>
      <c r="EG618" s="1341"/>
      <c r="EH618" s="1339" t="str">
        <f t="shared" si="19"/>
        <v/>
      </c>
      <c r="EI618" s="1340"/>
      <c r="EJ618" s="1340"/>
      <c r="EK618" s="1340"/>
      <c r="EL618" s="1341"/>
      <c r="EM618" s="1339" t="str">
        <f t="shared" si="20"/>
        <v/>
      </c>
      <c r="EN618" s="1340"/>
      <c r="EO618" s="1340"/>
      <c r="EP618" s="1340"/>
      <c r="EQ618" s="1341"/>
      <c r="ER618" s="1339" t="str">
        <f t="shared" si="21"/>
        <v/>
      </c>
      <c r="ES618" s="1340"/>
      <c r="ET618" s="1340"/>
      <c r="EU618" s="1340"/>
      <c r="EV618" s="1341"/>
      <c r="EW618" s="1339" t="str">
        <f t="shared" si="22"/>
        <v/>
      </c>
      <c r="EX618" s="1340"/>
      <c r="EY618" s="1340"/>
      <c r="EZ618" s="1340"/>
      <c r="FA618" s="1341"/>
    </row>
    <row r="619" spans="1:157" ht="13.2" customHeight="1">
      <c r="AZ619" s="3"/>
      <c r="BA619" s="3"/>
      <c r="BB619" s="3"/>
      <c r="BC619" s="3"/>
      <c r="BD619" s="3"/>
      <c r="BE619" s="1339">
        <f t="shared" si="1"/>
        <v>0</v>
      </c>
      <c r="BF619" s="1341"/>
      <c r="BG619" s="1339">
        <f t="shared" si="2"/>
        <v>0</v>
      </c>
      <c r="BH619" s="1341"/>
      <c r="BI619" s="1339">
        <f t="shared" si="3"/>
        <v>0</v>
      </c>
      <c r="BJ619" s="1341"/>
      <c r="BK619" s="1339">
        <f t="shared" si="4"/>
        <v>0</v>
      </c>
      <c r="BL619" s="1341"/>
      <c r="BM619" s="3"/>
      <c r="BN619" s="1345">
        <f t="shared" si="5"/>
        <v>0</v>
      </c>
      <c r="BO619" s="1346"/>
      <c r="BP619" s="1346"/>
      <c r="BQ619" s="1346"/>
      <c r="BR619" s="1347"/>
      <c r="BS619" s="1344">
        <f t="shared" si="6"/>
        <v>0</v>
      </c>
      <c r="BT619" s="1344"/>
      <c r="BU619" s="1344"/>
      <c r="BV619" s="1344"/>
      <c r="BW619" s="1344"/>
      <c r="BX619" s="1344">
        <f t="shared" si="7"/>
        <v>0</v>
      </c>
      <c r="BY619" s="1344"/>
      <c r="BZ619" s="1344"/>
      <c r="CA619" s="1344"/>
      <c r="CB619" s="1344"/>
      <c r="CC619" s="1344">
        <f t="shared" si="8"/>
        <v>0</v>
      </c>
      <c r="CD619" s="1344"/>
      <c r="CE619" s="1344"/>
      <c r="CF619" s="1344"/>
      <c r="CG619" s="1344"/>
      <c r="CH619" s="1344">
        <f t="shared" si="9"/>
        <v>0</v>
      </c>
      <c r="CI619" s="1344"/>
      <c r="CJ619" s="1344"/>
      <c r="CK619" s="1344"/>
      <c r="CL619" s="1344"/>
      <c r="CM619" s="1344">
        <f t="shared" si="10"/>
        <v>0</v>
      </c>
      <c r="CN619" s="1344"/>
      <c r="CO619" s="1344"/>
      <c r="CP619" s="1344"/>
      <c r="CQ619" s="1344"/>
      <c r="CR619" s="278"/>
      <c r="CS619" s="1343">
        <f t="shared" si="11"/>
        <v>0</v>
      </c>
      <c r="CT619" s="1343"/>
      <c r="CU619" s="1343"/>
      <c r="CV619" s="1343"/>
      <c r="CW619" s="1343"/>
      <c r="CX619" s="1343">
        <f t="shared" si="12"/>
        <v>0</v>
      </c>
      <c r="CY619" s="1343"/>
      <c r="CZ619" s="1343"/>
      <c r="DA619" s="1343"/>
      <c r="DB619" s="1343"/>
      <c r="DC619" s="1343">
        <f t="shared" si="13"/>
        <v>0</v>
      </c>
      <c r="DD619" s="1343"/>
      <c r="DE619" s="1343"/>
      <c r="DF619" s="1343"/>
      <c r="DG619" s="1343"/>
      <c r="DH619" s="1343">
        <f t="shared" si="14"/>
        <v>0</v>
      </c>
      <c r="DI619" s="1343"/>
      <c r="DJ619" s="1343"/>
      <c r="DK619" s="1343"/>
      <c r="DL619" s="1343"/>
      <c r="DM619" s="1343">
        <f t="shared" si="15"/>
        <v>0</v>
      </c>
      <c r="DN619" s="1343"/>
      <c r="DO619" s="1343"/>
      <c r="DP619" s="1343"/>
      <c r="DQ619" s="1343"/>
      <c r="DR619" s="1343">
        <f t="shared" si="16"/>
        <v>0</v>
      </c>
      <c r="DS619" s="1343"/>
      <c r="DT619" s="1343"/>
      <c r="DU619" s="1343"/>
      <c r="DV619" s="1343"/>
      <c r="DX619" s="1339" t="str">
        <f t="shared" si="17"/>
        <v/>
      </c>
      <c r="DY619" s="1340"/>
      <c r="DZ619" s="1340"/>
      <c r="EA619" s="1340"/>
      <c r="EB619" s="1341"/>
      <c r="EC619" s="1339" t="str">
        <f t="shared" si="18"/>
        <v/>
      </c>
      <c r="ED619" s="1340"/>
      <c r="EE619" s="1340"/>
      <c r="EF619" s="1340"/>
      <c r="EG619" s="1341"/>
      <c r="EH619" s="1339" t="str">
        <f t="shared" si="19"/>
        <v/>
      </c>
      <c r="EI619" s="1340"/>
      <c r="EJ619" s="1340"/>
      <c r="EK619" s="1340"/>
      <c r="EL619" s="1341"/>
      <c r="EM619" s="1339" t="str">
        <f t="shared" si="20"/>
        <v/>
      </c>
      <c r="EN619" s="1340"/>
      <c r="EO619" s="1340"/>
      <c r="EP619" s="1340"/>
      <c r="EQ619" s="1341"/>
      <c r="ER619" s="1339" t="str">
        <f t="shared" si="21"/>
        <v/>
      </c>
      <c r="ES619" s="1340"/>
      <c r="ET619" s="1340"/>
      <c r="EU619" s="1340"/>
      <c r="EV619" s="1341"/>
      <c r="EW619" s="1339" t="str">
        <f t="shared" si="22"/>
        <v/>
      </c>
      <c r="EX619" s="1340"/>
      <c r="EY619" s="1340"/>
      <c r="EZ619" s="1340"/>
      <c r="FA619" s="1341"/>
    </row>
    <row r="620" spans="1:157" ht="13.2" customHeight="1">
      <c r="A620" s="2" t="s">
        <v>919</v>
      </c>
      <c r="B620" s="2"/>
      <c r="C620" s="2" t="s">
        <v>174</v>
      </c>
      <c r="AZ620" s="3"/>
      <c r="BA620" s="3"/>
      <c r="BB620" s="3"/>
      <c r="BC620" s="3"/>
      <c r="BD620" s="3"/>
      <c r="BE620" s="1339">
        <f t="shared" si="1"/>
        <v>0</v>
      </c>
      <c r="BF620" s="1341"/>
      <c r="BG620" s="1339">
        <f t="shared" si="2"/>
        <v>0</v>
      </c>
      <c r="BH620" s="1341"/>
      <c r="BI620" s="1339">
        <f t="shared" si="3"/>
        <v>0</v>
      </c>
      <c r="BJ620" s="1341"/>
      <c r="BK620" s="1339">
        <f t="shared" si="4"/>
        <v>0</v>
      </c>
      <c r="BL620" s="1341"/>
      <c r="BM620" s="3"/>
      <c r="BN620" s="1345">
        <f t="shared" si="5"/>
        <v>0</v>
      </c>
      <c r="BO620" s="1346"/>
      <c r="BP620" s="1346"/>
      <c r="BQ620" s="1346"/>
      <c r="BR620" s="1347"/>
      <c r="BS620" s="1344">
        <f t="shared" si="6"/>
        <v>0</v>
      </c>
      <c r="BT620" s="1344"/>
      <c r="BU620" s="1344"/>
      <c r="BV620" s="1344"/>
      <c r="BW620" s="1344"/>
      <c r="BX620" s="1344">
        <f t="shared" si="7"/>
        <v>0</v>
      </c>
      <c r="BY620" s="1344"/>
      <c r="BZ620" s="1344"/>
      <c r="CA620" s="1344"/>
      <c r="CB620" s="1344"/>
      <c r="CC620" s="1344">
        <f t="shared" si="8"/>
        <v>0</v>
      </c>
      <c r="CD620" s="1344"/>
      <c r="CE620" s="1344"/>
      <c r="CF620" s="1344"/>
      <c r="CG620" s="1344"/>
      <c r="CH620" s="1344">
        <f t="shared" si="9"/>
        <v>0</v>
      </c>
      <c r="CI620" s="1344"/>
      <c r="CJ620" s="1344"/>
      <c r="CK620" s="1344"/>
      <c r="CL620" s="1344"/>
      <c r="CM620" s="1344">
        <f t="shared" si="10"/>
        <v>0</v>
      </c>
      <c r="CN620" s="1344"/>
      <c r="CO620" s="1344"/>
      <c r="CP620" s="1344"/>
      <c r="CQ620" s="1344"/>
      <c r="CR620" s="278"/>
      <c r="CS620" s="1343">
        <f t="shared" si="11"/>
        <v>0</v>
      </c>
      <c r="CT620" s="1343"/>
      <c r="CU620" s="1343"/>
      <c r="CV620" s="1343"/>
      <c r="CW620" s="1343"/>
      <c r="CX620" s="1343">
        <f t="shared" si="12"/>
        <v>0</v>
      </c>
      <c r="CY620" s="1343"/>
      <c r="CZ620" s="1343"/>
      <c r="DA620" s="1343"/>
      <c r="DB620" s="1343"/>
      <c r="DC620" s="1343">
        <f t="shared" si="13"/>
        <v>0</v>
      </c>
      <c r="DD620" s="1343"/>
      <c r="DE620" s="1343"/>
      <c r="DF620" s="1343"/>
      <c r="DG620" s="1343"/>
      <c r="DH620" s="1343">
        <f t="shared" si="14"/>
        <v>0</v>
      </c>
      <c r="DI620" s="1343"/>
      <c r="DJ620" s="1343"/>
      <c r="DK620" s="1343"/>
      <c r="DL620" s="1343"/>
      <c r="DM620" s="1343">
        <f t="shared" si="15"/>
        <v>0</v>
      </c>
      <c r="DN620" s="1343"/>
      <c r="DO620" s="1343"/>
      <c r="DP620" s="1343"/>
      <c r="DQ620" s="1343"/>
      <c r="DR620" s="1343">
        <f t="shared" si="16"/>
        <v>0</v>
      </c>
      <c r="DS620" s="1343"/>
      <c r="DT620" s="1343"/>
      <c r="DU620" s="1343"/>
      <c r="DV620" s="1343"/>
      <c r="DX620" s="1339" t="str">
        <f t="shared" si="17"/>
        <v/>
      </c>
      <c r="DY620" s="1340"/>
      <c r="DZ620" s="1340"/>
      <c r="EA620" s="1340"/>
      <c r="EB620" s="1341"/>
      <c r="EC620" s="1339" t="str">
        <f t="shared" si="18"/>
        <v/>
      </c>
      <c r="ED620" s="1340"/>
      <c r="EE620" s="1340"/>
      <c r="EF620" s="1340"/>
      <c r="EG620" s="1341"/>
      <c r="EH620" s="1339" t="str">
        <f t="shared" si="19"/>
        <v/>
      </c>
      <c r="EI620" s="1340"/>
      <c r="EJ620" s="1340"/>
      <c r="EK620" s="1340"/>
      <c r="EL620" s="1341"/>
      <c r="EM620" s="1339" t="str">
        <f t="shared" si="20"/>
        <v/>
      </c>
      <c r="EN620" s="1340"/>
      <c r="EO620" s="1340"/>
      <c r="EP620" s="1340"/>
      <c r="EQ620" s="1341"/>
      <c r="ER620" s="1339" t="str">
        <f t="shared" si="21"/>
        <v/>
      </c>
      <c r="ES620" s="1340"/>
      <c r="ET620" s="1340"/>
      <c r="EU620" s="1340"/>
      <c r="EV620" s="1341"/>
      <c r="EW620" s="1339" t="str">
        <f t="shared" si="22"/>
        <v/>
      </c>
      <c r="EX620" s="1340"/>
      <c r="EY620" s="1340"/>
      <c r="EZ620" s="1340"/>
      <c r="FA620" s="1341"/>
    </row>
    <row r="621" spans="1:157" ht="13.2" customHeight="1">
      <c r="A621" s="2"/>
      <c r="B621" s="2"/>
      <c r="C621" s="2"/>
      <c r="AZ621" s="3"/>
      <c r="BA621" s="3"/>
      <c r="BB621" s="3"/>
      <c r="BC621" s="3"/>
      <c r="BD621" s="3"/>
      <c r="BE621" s="1339">
        <f t="shared" si="1"/>
        <v>0</v>
      </c>
      <c r="BF621" s="1341"/>
      <c r="BG621" s="1339">
        <f t="shared" si="2"/>
        <v>0</v>
      </c>
      <c r="BH621" s="1341"/>
      <c r="BI621" s="1339">
        <f t="shared" si="3"/>
        <v>0</v>
      </c>
      <c r="BJ621" s="1341"/>
      <c r="BK621" s="1339">
        <f t="shared" si="4"/>
        <v>0</v>
      </c>
      <c r="BL621" s="1341"/>
      <c r="BM621" s="3"/>
      <c r="BN621" s="1345">
        <f t="shared" si="5"/>
        <v>0</v>
      </c>
      <c r="BO621" s="1346"/>
      <c r="BP621" s="1346"/>
      <c r="BQ621" s="1346"/>
      <c r="BR621" s="1347"/>
      <c r="BS621" s="1344">
        <f t="shared" si="6"/>
        <v>0</v>
      </c>
      <c r="BT621" s="1344"/>
      <c r="BU621" s="1344"/>
      <c r="BV621" s="1344"/>
      <c r="BW621" s="1344"/>
      <c r="BX621" s="1344">
        <f t="shared" si="7"/>
        <v>0</v>
      </c>
      <c r="BY621" s="1344"/>
      <c r="BZ621" s="1344"/>
      <c r="CA621" s="1344"/>
      <c r="CB621" s="1344"/>
      <c r="CC621" s="1344">
        <f t="shared" si="8"/>
        <v>0</v>
      </c>
      <c r="CD621" s="1344"/>
      <c r="CE621" s="1344"/>
      <c r="CF621" s="1344"/>
      <c r="CG621" s="1344"/>
      <c r="CH621" s="1344">
        <f t="shared" si="9"/>
        <v>0</v>
      </c>
      <c r="CI621" s="1344"/>
      <c r="CJ621" s="1344"/>
      <c r="CK621" s="1344"/>
      <c r="CL621" s="1344"/>
      <c r="CM621" s="1344">
        <f t="shared" si="10"/>
        <v>0</v>
      </c>
      <c r="CN621" s="1344"/>
      <c r="CO621" s="1344"/>
      <c r="CP621" s="1344"/>
      <c r="CQ621" s="1344"/>
      <c r="CR621" s="278"/>
      <c r="CS621" s="1343">
        <f t="shared" si="11"/>
        <v>0</v>
      </c>
      <c r="CT621" s="1343"/>
      <c r="CU621" s="1343"/>
      <c r="CV621" s="1343"/>
      <c r="CW621" s="1343"/>
      <c r="CX621" s="1343">
        <f t="shared" si="12"/>
        <v>0</v>
      </c>
      <c r="CY621" s="1343"/>
      <c r="CZ621" s="1343"/>
      <c r="DA621" s="1343"/>
      <c r="DB621" s="1343"/>
      <c r="DC621" s="1343">
        <f t="shared" si="13"/>
        <v>0</v>
      </c>
      <c r="DD621" s="1343"/>
      <c r="DE621" s="1343"/>
      <c r="DF621" s="1343"/>
      <c r="DG621" s="1343"/>
      <c r="DH621" s="1343">
        <f t="shared" si="14"/>
        <v>0</v>
      </c>
      <c r="DI621" s="1343"/>
      <c r="DJ621" s="1343"/>
      <c r="DK621" s="1343"/>
      <c r="DL621" s="1343"/>
      <c r="DM621" s="1343">
        <f t="shared" si="15"/>
        <v>0</v>
      </c>
      <c r="DN621" s="1343"/>
      <c r="DO621" s="1343"/>
      <c r="DP621" s="1343"/>
      <c r="DQ621" s="1343"/>
      <c r="DR621" s="1343">
        <f t="shared" si="16"/>
        <v>0</v>
      </c>
      <c r="DS621" s="1343"/>
      <c r="DT621" s="1343"/>
      <c r="DU621" s="1343"/>
      <c r="DV621" s="1343"/>
      <c r="DX621" s="1339" t="str">
        <f t="shared" si="17"/>
        <v/>
      </c>
      <c r="DY621" s="1340"/>
      <c r="DZ621" s="1340"/>
      <c r="EA621" s="1340"/>
      <c r="EB621" s="1341"/>
      <c r="EC621" s="1339" t="str">
        <f t="shared" si="18"/>
        <v/>
      </c>
      <c r="ED621" s="1340"/>
      <c r="EE621" s="1340"/>
      <c r="EF621" s="1340"/>
      <c r="EG621" s="1341"/>
      <c r="EH621" s="1339" t="str">
        <f t="shared" si="19"/>
        <v/>
      </c>
      <c r="EI621" s="1340"/>
      <c r="EJ621" s="1340"/>
      <c r="EK621" s="1340"/>
      <c r="EL621" s="1341"/>
      <c r="EM621" s="1339" t="str">
        <f t="shared" si="20"/>
        <v/>
      </c>
      <c r="EN621" s="1340"/>
      <c r="EO621" s="1340"/>
      <c r="EP621" s="1340"/>
      <c r="EQ621" s="1341"/>
      <c r="ER621" s="1339" t="str">
        <f t="shared" si="21"/>
        <v/>
      </c>
      <c r="ES621" s="1340"/>
      <c r="ET621" s="1340"/>
      <c r="EU621" s="1340"/>
      <c r="EV621" s="1341"/>
      <c r="EW621" s="1339" t="str">
        <f t="shared" si="22"/>
        <v/>
      </c>
      <c r="EX621" s="1340"/>
      <c r="EY621" s="1340"/>
      <c r="EZ621" s="1340"/>
      <c r="FA621" s="1341"/>
    </row>
    <row r="622" spans="1:157" ht="13.2" customHeight="1">
      <c r="C622" s="2" t="s">
        <v>1453</v>
      </c>
      <c r="AZ622" s="3"/>
      <c r="BA622" s="3"/>
      <c r="BB622" s="3"/>
      <c r="BC622" s="3"/>
      <c r="BD622" s="3"/>
      <c r="BE622" s="1339">
        <f t="shared" si="1"/>
        <v>0</v>
      </c>
      <c r="BF622" s="1341"/>
      <c r="BG622" s="1339">
        <f t="shared" si="2"/>
        <v>0</v>
      </c>
      <c r="BH622" s="1341"/>
      <c r="BI622" s="1339">
        <f t="shared" si="3"/>
        <v>0</v>
      </c>
      <c r="BJ622" s="1341"/>
      <c r="BK622" s="1339">
        <f t="shared" si="4"/>
        <v>0</v>
      </c>
      <c r="BL622" s="1341"/>
      <c r="BM622" s="3"/>
      <c r="BN622" s="1345">
        <f t="shared" si="5"/>
        <v>0</v>
      </c>
      <c r="BO622" s="1346"/>
      <c r="BP622" s="1346"/>
      <c r="BQ622" s="1346"/>
      <c r="BR622" s="1347"/>
      <c r="BS622" s="1344">
        <f t="shared" si="6"/>
        <v>0</v>
      </c>
      <c r="BT622" s="1344"/>
      <c r="BU622" s="1344"/>
      <c r="BV622" s="1344"/>
      <c r="BW622" s="1344"/>
      <c r="BX622" s="1344">
        <f t="shared" si="7"/>
        <v>0</v>
      </c>
      <c r="BY622" s="1344"/>
      <c r="BZ622" s="1344"/>
      <c r="CA622" s="1344"/>
      <c r="CB622" s="1344"/>
      <c r="CC622" s="1344">
        <f t="shared" si="8"/>
        <v>0</v>
      </c>
      <c r="CD622" s="1344"/>
      <c r="CE622" s="1344"/>
      <c r="CF622" s="1344"/>
      <c r="CG622" s="1344"/>
      <c r="CH622" s="1344">
        <f t="shared" si="9"/>
        <v>0</v>
      </c>
      <c r="CI622" s="1344"/>
      <c r="CJ622" s="1344"/>
      <c r="CK622" s="1344"/>
      <c r="CL622" s="1344"/>
      <c r="CM622" s="1344">
        <f t="shared" si="10"/>
        <v>0</v>
      </c>
      <c r="CN622" s="1344"/>
      <c r="CO622" s="1344"/>
      <c r="CP622" s="1344"/>
      <c r="CQ622" s="1344"/>
      <c r="CR622" s="278"/>
      <c r="CS622" s="1343">
        <f t="shared" si="11"/>
        <v>0</v>
      </c>
      <c r="CT622" s="1343"/>
      <c r="CU622" s="1343"/>
      <c r="CV622" s="1343"/>
      <c r="CW622" s="1343"/>
      <c r="CX622" s="1343">
        <f t="shared" si="12"/>
        <v>0</v>
      </c>
      <c r="CY622" s="1343"/>
      <c r="CZ622" s="1343"/>
      <c r="DA622" s="1343"/>
      <c r="DB622" s="1343"/>
      <c r="DC622" s="1343">
        <f t="shared" si="13"/>
        <v>0</v>
      </c>
      <c r="DD622" s="1343"/>
      <c r="DE622" s="1343"/>
      <c r="DF622" s="1343"/>
      <c r="DG622" s="1343"/>
      <c r="DH622" s="1343">
        <f t="shared" si="14"/>
        <v>0</v>
      </c>
      <c r="DI622" s="1343"/>
      <c r="DJ622" s="1343"/>
      <c r="DK622" s="1343"/>
      <c r="DL622" s="1343"/>
      <c r="DM622" s="1343">
        <f t="shared" si="15"/>
        <v>0</v>
      </c>
      <c r="DN622" s="1343"/>
      <c r="DO622" s="1343"/>
      <c r="DP622" s="1343"/>
      <c r="DQ622" s="1343"/>
      <c r="DR622" s="1343">
        <f t="shared" si="16"/>
        <v>0</v>
      </c>
      <c r="DS622" s="1343"/>
      <c r="DT622" s="1343"/>
      <c r="DU622" s="1343"/>
      <c r="DV622" s="1343"/>
      <c r="DX622" s="1339" t="str">
        <f t="shared" si="17"/>
        <v/>
      </c>
      <c r="DY622" s="1340"/>
      <c r="DZ622" s="1340"/>
      <c r="EA622" s="1340"/>
      <c r="EB622" s="1341"/>
      <c r="EC622" s="1339" t="str">
        <f t="shared" si="18"/>
        <v/>
      </c>
      <c r="ED622" s="1340"/>
      <c r="EE622" s="1340"/>
      <c r="EF622" s="1340"/>
      <c r="EG622" s="1341"/>
      <c r="EH622" s="1339" t="str">
        <f t="shared" si="19"/>
        <v/>
      </c>
      <c r="EI622" s="1340"/>
      <c r="EJ622" s="1340"/>
      <c r="EK622" s="1340"/>
      <c r="EL622" s="1341"/>
      <c r="EM622" s="1339" t="str">
        <f t="shared" si="20"/>
        <v/>
      </c>
      <c r="EN622" s="1340"/>
      <c r="EO622" s="1340"/>
      <c r="EP622" s="1340"/>
      <c r="EQ622" s="1341"/>
      <c r="ER622" s="1339" t="str">
        <f t="shared" si="21"/>
        <v/>
      </c>
      <c r="ES622" s="1340"/>
      <c r="ET622" s="1340"/>
      <c r="EU622" s="1340"/>
      <c r="EV622" s="1341"/>
      <c r="EW622" s="1339" t="str">
        <f t="shared" si="22"/>
        <v/>
      </c>
      <c r="EX622" s="1340"/>
      <c r="EY622" s="1340"/>
      <c r="EZ622" s="1340"/>
      <c r="FA622" s="1341"/>
    </row>
    <row r="623" spans="1:157" ht="13.2" customHeight="1">
      <c r="B623" s="436"/>
      <c r="C623" s="2"/>
      <c r="AU623" s="3"/>
      <c r="AZ623" s="3"/>
      <c r="BA623" s="3"/>
      <c r="BB623" s="3"/>
      <c r="BC623" s="3"/>
      <c r="BD623" s="3"/>
      <c r="BE623" s="1339">
        <f t="shared" si="1"/>
        <v>0</v>
      </c>
      <c r="BF623" s="1341"/>
      <c r="BG623" s="1339">
        <f t="shared" si="2"/>
        <v>0</v>
      </c>
      <c r="BH623" s="1341"/>
      <c r="BI623" s="1339">
        <f t="shared" si="3"/>
        <v>0</v>
      </c>
      <c r="BJ623" s="1341"/>
      <c r="BK623" s="1339">
        <f t="shared" si="4"/>
        <v>0</v>
      </c>
      <c r="BL623" s="1341"/>
      <c r="BM623" s="3"/>
      <c r="BN623" s="1345">
        <f t="shared" si="5"/>
        <v>0</v>
      </c>
      <c r="BO623" s="1346"/>
      <c r="BP623" s="1346"/>
      <c r="BQ623" s="1346"/>
      <c r="BR623" s="1347"/>
      <c r="BS623" s="1344">
        <f t="shared" si="6"/>
        <v>0</v>
      </c>
      <c r="BT623" s="1344"/>
      <c r="BU623" s="1344"/>
      <c r="BV623" s="1344"/>
      <c r="BW623" s="1344"/>
      <c r="BX623" s="1344">
        <f t="shared" si="7"/>
        <v>0</v>
      </c>
      <c r="BY623" s="1344"/>
      <c r="BZ623" s="1344"/>
      <c r="CA623" s="1344"/>
      <c r="CB623" s="1344"/>
      <c r="CC623" s="1344">
        <f t="shared" si="8"/>
        <v>0</v>
      </c>
      <c r="CD623" s="1344"/>
      <c r="CE623" s="1344"/>
      <c r="CF623" s="1344"/>
      <c r="CG623" s="1344"/>
      <c r="CH623" s="1344">
        <f t="shared" si="9"/>
        <v>0</v>
      </c>
      <c r="CI623" s="1344"/>
      <c r="CJ623" s="1344"/>
      <c r="CK623" s="1344"/>
      <c r="CL623" s="1344"/>
      <c r="CM623" s="1344">
        <f t="shared" si="10"/>
        <v>0</v>
      </c>
      <c r="CN623" s="1344"/>
      <c r="CO623" s="1344"/>
      <c r="CP623" s="1344"/>
      <c r="CQ623" s="1344"/>
      <c r="CR623" s="278"/>
      <c r="CS623" s="1343">
        <f t="shared" si="11"/>
        <v>0</v>
      </c>
      <c r="CT623" s="1343"/>
      <c r="CU623" s="1343"/>
      <c r="CV623" s="1343"/>
      <c r="CW623" s="1343"/>
      <c r="CX623" s="1343">
        <f t="shared" si="12"/>
        <v>0</v>
      </c>
      <c r="CY623" s="1343"/>
      <c r="CZ623" s="1343"/>
      <c r="DA623" s="1343"/>
      <c r="DB623" s="1343"/>
      <c r="DC623" s="1343">
        <f t="shared" si="13"/>
        <v>0</v>
      </c>
      <c r="DD623" s="1343"/>
      <c r="DE623" s="1343"/>
      <c r="DF623" s="1343"/>
      <c r="DG623" s="1343"/>
      <c r="DH623" s="1343">
        <f t="shared" si="14"/>
        <v>0</v>
      </c>
      <c r="DI623" s="1343"/>
      <c r="DJ623" s="1343"/>
      <c r="DK623" s="1343"/>
      <c r="DL623" s="1343"/>
      <c r="DM623" s="1343">
        <f t="shared" si="15"/>
        <v>0</v>
      </c>
      <c r="DN623" s="1343"/>
      <c r="DO623" s="1343"/>
      <c r="DP623" s="1343"/>
      <c r="DQ623" s="1343"/>
      <c r="DR623" s="1343">
        <f t="shared" si="16"/>
        <v>0</v>
      </c>
      <c r="DS623" s="1343"/>
      <c r="DT623" s="1343"/>
      <c r="DU623" s="1343"/>
      <c r="DV623" s="1343"/>
      <c r="DX623" s="1339" t="str">
        <f t="shared" si="17"/>
        <v/>
      </c>
      <c r="DY623" s="1340"/>
      <c r="DZ623" s="1340"/>
      <c r="EA623" s="1340"/>
      <c r="EB623" s="1341"/>
      <c r="EC623" s="1339" t="str">
        <f t="shared" si="18"/>
        <v/>
      </c>
      <c r="ED623" s="1340"/>
      <c r="EE623" s="1340"/>
      <c r="EF623" s="1340"/>
      <c r="EG623" s="1341"/>
      <c r="EH623" s="1339" t="str">
        <f t="shared" si="19"/>
        <v/>
      </c>
      <c r="EI623" s="1340"/>
      <c r="EJ623" s="1340"/>
      <c r="EK623" s="1340"/>
      <c r="EL623" s="1341"/>
      <c r="EM623" s="1339" t="str">
        <f t="shared" si="20"/>
        <v/>
      </c>
      <c r="EN623" s="1340"/>
      <c r="EO623" s="1340"/>
      <c r="EP623" s="1340"/>
      <c r="EQ623" s="1341"/>
      <c r="ER623" s="1339" t="str">
        <f t="shared" si="21"/>
        <v/>
      </c>
      <c r="ES623" s="1340"/>
      <c r="ET623" s="1340"/>
      <c r="EU623" s="1340"/>
      <c r="EV623" s="1341"/>
      <c r="EW623" s="1339" t="str">
        <f t="shared" si="22"/>
        <v/>
      </c>
      <c r="EX623" s="1340"/>
      <c r="EY623" s="1340"/>
      <c r="EZ623" s="1340"/>
      <c r="FA623" s="1341"/>
    </row>
    <row r="624" spans="1:157" ht="13.2" customHeight="1">
      <c r="B624" s="1649" t="s">
        <v>1454</v>
      </c>
      <c r="C624" s="1649"/>
      <c r="D624" s="1649"/>
      <c r="E624" s="1649"/>
      <c r="F624" s="1649"/>
      <c r="G624" s="1649"/>
      <c r="H624" s="1649"/>
      <c r="I624" s="1649"/>
      <c r="J624" s="1649"/>
      <c r="K624" s="1649"/>
      <c r="L624" s="1649"/>
      <c r="M624" s="1651" t="s">
        <v>1455</v>
      </c>
      <c r="N624" s="1651"/>
      <c r="O624" s="1651"/>
      <c r="P624" s="1651"/>
      <c r="Q624" s="1651" t="s">
        <v>1506</v>
      </c>
      <c r="R624" s="1651"/>
      <c r="S624" s="1651"/>
      <c r="T624" s="1651" t="s">
        <v>1507</v>
      </c>
      <c r="U624" s="1651"/>
      <c r="V624" s="1651"/>
      <c r="W624" s="1769" t="s">
        <v>1458</v>
      </c>
      <c r="X624" s="1769"/>
      <c r="Y624" s="1769"/>
      <c r="Z624" s="1404" t="s">
        <v>1508</v>
      </c>
      <c r="AA624" s="1404"/>
      <c r="AB624" s="1405"/>
      <c r="AC624" s="1517" t="s">
        <v>1460</v>
      </c>
      <c r="AD624" s="1518"/>
      <c r="AE624" s="1519"/>
      <c r="AF624" s="1403" t="s">
        <v>1509</v>
      </c>
      <c r="AG624" s="1404"/>
      <c r="AH624" s="1404"/>
      <c r="AI624" s="1404"/>
      <c r="AJ624" s="1405"/>
      <c r="AK624" s="1653" t="s">
        <v>1510</v>
      </c>
      <c r="AL624" s="1654"/>
      <c r="AM624" s="1654"/>
      <c r="AN624" s="1655"/>
      <c r="AO624" s="1651" t="s">
        <v>1462</v>
      </c>
      <c r="AP624" s="1651"/>
      <c r="AQ624" s="1651"/>
      <c r="AR624" s="1651"/>
      <c r="AS624" s="1651"/>
      <c r="AU624" s="3"/>
      <c r="AZ624" s="3"/>
      <c r="BA624" s="3"/>
      <c r="BB624" s="3"/>
      <c r="BC624" s="3"/>
      <c r="BD624" s="3"/>
      <c r="BE624" s="1339">
        <f t="shared" si="1"/>
        <v>0</v>
      </c>
      <c r="BF624" s="1341"/>
      <c r="BG624" s="1339">
        <f t="shared" si="2"/>
        <v>0</v>
      </c>
      <c r="BH624" s="1341"/>
      <c r="BI624" s="1339">
        <f t="shared" si="3"/>
        <v>0</v>
      </c>
      <c r="BJ624" s="1341"/>
      <c r="BK624" s="1339">
        <f t="shared" si="4"/>
        <v>0</v>
      </c>
      <c r="BL624" s="1341"/>
      <c r="BM624" s="3"/>
      <c r="BN624" s="1345">
        <f t="shared" si="5"/>
        <v>0</v>
      </c>
      <c r="BO624" s="1346"/>
      <c r="BP624" s="1346"/>
      <c r="BQ624" s="1346"/>
      <c r="BR624" s="1347"/>
      <c r="BS624" s="1344">
        <f t="shared" si="6"/>
        <v>0</v>
      </c>
      <c r="BT624" s="1344"/>
      <c r="BU624" s="1344"/>
      <c r="BV624" s="1344"/>
      <c r="BW624" s="1344"/>
      <c r="BX624" s="1344">
        <f t="shared" si="7"/>
        <v>0</v>
      </c>
      <c r="BY624" s="1344"/>
      <c r="BZ624" s="1344"/>
      <c r="CA624" s="1344"/>
      <c r="CB624" s="1344"/>
      <c r="CC624" s="1344">
        <f t="shared" si="8"/>
        <v>0</v>
      </c>
      <c r="CD624" s="1344"/>
      <c r="CE624" s="1344"/>
      <c r="CF624" s="1344"/>
      <c r="CG624" s="1344"/>
      <c r="CH624" s="1344">
        <f t="shared" si="9"/>
        <v>0</v>
      </c>
      <c r="CI624" s="1344"/>
      <c r="CJ624" s="1344"/>
      <c r="CK624" s="1344"/>
      <c r="CL624" s="1344"/>
      <c r="CM624" s="1344">
        <f t="shared" si="10"/>
        <v>0</v>
      </c>
      <c r="CN624" s="1344"/>
      <c r="CO624" s="1344"/>
      <c r="CP624" s="1344"/>
      <c r="CQ624" s="1344"/>
      <c r="CR624" s="278"/>
      <c r="CS624" s="1343">
        <f t="shared" si="11"/>
        <v>0</v>
      </c>
      <c r="CT624" s="1343"/>
      <c r="CU624" s="1343"/>
      <c r="CV624" s="1343"/>
      <c r="CW624" s="1343"/>
      <c r="CX624" s="1343">
        <f t="shared" si="12"/>
        <v>0</v>
      </c>
      <c r="CY624" s="1343"/>
      <c r="CZ624" s="1343"/>
      <c r="DA624" s="1343"/>
      <c r="DB624" s="1343"/>
      <c r="DC624" s="1343">
        <f t="shared" si="13"/>
        <v>0</v>
      </c>
      <c r="DD624" s="1343"/>
      <c r="DE624" s="1343"/>
      <c r="DF624" s="1343"/>
      <c r="DG624" s="1343"/>
      <c r="DH624" s="1343">
        <f t="shared" si="14"/>
        <v>0</v>
      </c>
      <c r="DI624" s="1343"/>
      <c r="DJ624" s="1343"/>
      <c r="DK624" s="1343"/>
      <c r="DL624" s="1343"/>
      <c r="DM624" s="1343">
        <f t="shared" si="15"/>
        <v>0</v>
      </c>
      <c r="DN624" s="1343"/>
      <c r="DO624" s="1343"/>
      <c r="DP624" s="1343"/>
      <c r="DQ624" s="1343"/>
      <c r="DR624" s="1343">
        <f t="shared" si="16"/>
        <v>0</v>
      </c>
      <c r="DS624" s="1343"/>
      <c r="DT624" s="1343"/>
      <c r="DU624" s="1343"/>
      <c r="DV624" s="1343"/>
      <c r="DX624" s="1339" t="str">
        <f t="shared" si="17"/>
        <v/>
      </c>
      <c r="DY624" s="1340"/>
      <c r="DZ624" s="1340"/>
      <c r="EA624" s="1340"/>
      <c r="EB624" s="1341"/>
      <c r="EC624" s="1339" t="str">
        <f t="shared" si="18"/>
        <v/>
      </c>
      <c r="ED624" s="1340"/>
      <c r="EE624" s="1340"/>
      <c r="EF624" s="1340"/>
      <c r="EG624" s="1341"/>
      <c r="EH624" s="1339" t="str">
        <f t="shared" si="19"/>
        <v/>
      </c>
      <c r="EI624" s="1340"/>
      <c r="EJ624" s="1340"/>
      <c r="EK624" s="1340"/>
      <c r="EL624" s="1341"/>
      <c r="EM624" s="1339" t="str">
        <f t="shared" si="20"/>
        <v/>
      </c>
      <c r="EN624" s="1340"/>
      <c r="EO624" s="1340"/>
      <c r="EP624" s="1340"/>
      <c r="EQ624" s="1341"/>
      <c r="ER624" s="1339" t="str">
        <f t="shared" si="21"/>
        <v/>
      </c>
      <c r="ES624" s="1340"/>
      <c r="ET624" s="1340"/>
      <c r="EU624" s="1340"/>
      <c r="EV624" s="1341"/>
      <c r="EW624" s="1339" t="str">
        <f t="shared" si="22"/>
        <v/>
      </c>
      <c r="EX624" s="1340"/>
      <c r="EY624" s="1340"/>
      <c r="EZ624" s="1340"/>
      <c r="FA624" s="1341"/>
    </row>
    <row r="625" spans="2:157" ht="13.2" customHeight="1">
      <c r="B625" s="1649"/>
      <c r="C625" s="1649"/>
      <c r="D625" s="1649"/>
      <c r="E625" s="1649"/>
      <c r="F625" s="1649"/>
      <c r="G625" s="1649"/>
      <c r="H625" s="1649"/>
      <c r="I625" s="1649"/>
      <c r="J625" s="1649"/>
      <c r="K625" s="1649"/>
      <c r="L625" s="1649"/>
      <c r="M625" s="1651"/>
      <c r="N625" s="1651"/>
      <c r="O625" s="1651"/>
      <c r="P625" s="1651"/>
      <c r="Q625" s="1651"/>
      <c r="R625" s="1651"/>
      <c r="S625" s="1651"/>
      <c r="T625" s="1651"/>
      <c r="U625" s="1651"/>
      <c r="V625" s="1651"/>
      <c r="W625" s="1769"/>
      <c r="X625" s="1769"/>
      <c r="Y625" s="1769"/>
      <c r="Z625" s="1407"/>
      <c r="AA625" s="1407"/>
      <c r="AB625" s="1408"/>
      <c r="AC625" s="1520"/>
      <c r="AD625" s="1521"/>
      <c r="AE625" s="1522"/>
      <c r="AF625" s="1406"/>
      <c r="AG625" s="1407"/>
      <c r="AH625" s="1407"/>
      <c r="AI625" s="1407"/>
      <c r="AJ625" s="1408"/>
      <c r="AK625" s="1656"/>
      <c r="AL625" s="1657"/>
      <c r="AM625" s="1657"/>
      <c r="AN625" s="1658"/>
      <c r="AO625" s="1651"/>
      <c r="AP625" s="1651"/>
      <c r="AQ625" s="1651"/>
      <c r="AR625" s="1651"/>
      <c r="AS625" s="1651"/>
      <c r="AU625" s="3"/>
      <c r="AZ625" s="3"/>
      <c r="BA625" s="3"/>
      <c r="BB625" s="3"/>
      <c r="BC625" s="3"/>
      <c r="BD625" s="3"/>
      <c r="BE625" s="1339">
        <f t="shared" si="1"/>
        <v>0</v>
      </c>
      <c r="BF625" s="1341"/>
      <c r="BG625" s="1339">
        <f t="shared" si="2"/>
        <v>0</v>
      </c>
      <c r="BH625" s="1341"/>
      <c r="BI625" s="1339">
        <f t="shared" si="3"/>
        <v>0</v>
      </c>
      <c r="BJ625" s="1341"/>
      <c r="BK625" s="1339">
        <f t="shared" si="4"/>
        <v>0</v>
      </c>
      <c r="BL625" s="1341"/>
      <c r="BM625" s="3"/>
      <c r="BN625" s="1345">
        <f t="shared" si="5"/>
        <v>0</v>
      </c>
      <c r="BO625" s="1346"/>
      <c r="BP625" s="1346"/>
      <c r="BQ625" s="1346"/>
      <c r="BR625" s="1347"/>
      <c r="BS625" s="1344">
        <f t="shared" si="6"/>
        <v>0</v>
      </c>
      <c r="BT625" s="1344"/>
      <c r="BU625" s="1344"/>
      <c r="BV625" s="1344"/>
      <c r="BW625" s="1344"/>
      <c r="BX625" s="1344">
        <f t="shared" si="7"/>
        <v>0</v>
      </c>
      <c r="BY625" s="1344"/>
      <c r="BZ625" s="1344"/>
      <c r="CA625" s="1344"/>
      <c r="CB625" s="1344"/>
      <c r="CC625" s="1344">
        <f t="shared" si="8"/>
        <v>0</v>
      </c>
      <c r="CD625" s="1344"/>
      <c r="CE625" s="1344"/>
      <c r="CF625" s="1344"/>
      <c r="CG625" s="1344"/>
      <c r="CH625" s="1344">
        <f t="shared" si="9"/>
        <v>0</v>
      </c>
      <c r="CI625" s="1344"/>
      <c r="CJ625" s="1344"/>
      <c r="CK625" s="1344"/>
      <c r="CL625" s="1344"/>
      <c r="CM625" s="1344">
        <f t="shared" si="10"/>
        <v>0</v>
      </c>
      <c r="CN625" s="1344"/>
      <c r="CO625" s="1344"/>
      <c r="CP625" s="1344"/>
      <c r="CQ625" s="1344"/>
      <c r="CR625" s="278"/>
      <c r="CS625" s="1343">
        <f t="shared" si="11"/>
        <v>0</v>
      </c>
      <c r="CT625" s="1343"/>
      <c r="CU625" s="1343"/>
      <c r="CV625" s="1343"/>
      <c r="CW625" s="1343"/>
      <c r="CX625" s="1343">
        <f t="shared" si="12"/>
        <v>0</v>
      </c>
      <c r="CY625" s="1343"/>
      <c r="CZ625" s="1343"/>
      <c r="DA625" s="1343"/>
      <c r="DB625" s="1343"/>
      <c r="DC625" s="1343">
        <f t="shared" si="13"/>
        <v>0</v>
      </c>
      <c r="DD625" s="1343"/>
      <c r="DE625" s="1343"/>
      <c r="DF625" s="1343"/>
      <c r="DG625" s="1343"/>
      <c r="DH625" s="1343">
        <f t="shared" si="14"/>
        <v>0</v>
      </c>
      <c r="DI625" s="1343"/>
      <c r="DJ625" s="1343"/>
      <c r="DK625" s="1343"/>
      <c r="DL625" s="1343"/>
      <c r="DM625" s="1343">
        <f t="shared" si="15"/>
        <v>0</v>
      </c>
      <c r="DN625" s="1343"/>
      <c r="DO625" s="1343"/>
      <c r="DP625" s="1343"/>
      <c r="DQ625" s="1343"/>
      <c r="DR625" s="1343">
        <f t="shared" si="16"/>
        <v>0</v>
      </c>
      <c r="DS625" s="1343"/>
      <c r="DT625" s="1343"/>
      <c r="DU625" s="1343"/>
      <c r="DV625" s="1343"/>
      <c r="DX625" s="1339" t="str">
        <f t="shared" si="17"/>
        <v/>
      </c>
      <c r="DY625" s="1340"/>
      <c r="DZ625" s="1340"/>
      <c r="EA625" s="1340"/>
      <c r="EB625" s="1341"/>
      <c r="EC625" s="1339" t="str">
        <f t="shared" si="18"/>
        <v/>
      </c>
      <c r="ED625" s="1340"/>
      <c r="EE625" s="1340"/>
      <c r="EF625" s="1340"/>
      <c r="EG625" s="1341"/>
      <c r="EH625" s="1339" t="str">
        <f t="shared" si="19"/>
        <v/>
      </c>
      <c r="EI625" s="1340"/>
      <c r="EJ625" s="1340"/>
      <c r="EK625" s="1340"/>
      <c r="EL625" s="1341"/>
      <c r="EM625" s="1339" t="str">
        <f t="shared" si="20"/>
        <v/>
      </c>
      <c r="EN625" s="1340"/>
      <c r="EO625" s="1340"/>
      <c r="EP625" s="1340"/>
      <c r="EQ625" s="1341"/>
      <c r="ER625" s="1339" t="str">
        <f t="shared" si="21"/>
        <v/>
      </c>
      <c r="ES625" s="1340"/>
      <c r="ET625" s="1340"/>
      <c r="EU625" s="1340"/>
      <c r="EV625" s="1341"/>
      <c r="EW625" s="1339" t="str">
        <f t="shared" si="22"/>
        <v/>
      </c>
      <c r="EX625" s="1340"/>
      <c r="EY625" s="1340"/>
      <c r="EZ625" s="1340"/>
      <c r="FA625" s="1341"/>
    </row>
    <row r="626" spans="2:157" ht="13.2" customHeight="1">
      <c r="B626" s="1649"/>
      <c r="C626" s="1649"/>
      <c r="D626" s="1649"/>
      <c r="E626" s="1649"/>
      <c r="F626" s="1649"/>
      <c r="G626" s="1649"/>
      <c r="H626" s="1649"/>
      <c r="I626" s="1649"/>
      <c r="J626" s="1649"/>
      <c r="K626" s="1649"/>
      <c r="L626" s="1649"/>
      <c r="M626" s="1651"/>
      <c r="N626" s="1651"/>
      <c r="O626" s="1651"/>
      <c r="P626" s="1651"/>
      <c r="Q626" s="1651"/>
      <c r="R626" s="1651"/>
      <c r="S626" s="1651"/>
      <c r="T626" s="1651"/>
      <c r="U626" s="1651"/>
      <c r="V626" s="1651"/>
      <c r="W626" s="1769"/>
      <c r="X626" s="1769"/>
      <c r="Y626" s="1769"/>
      <c r="Z626" s="1438"/>
      <c r="AA626" s="1438"/>
      <c r="AB626" s="1439"/>
      <c r="AC626" s="1523"/>
      <c r="AD626" s="1524"/>
      <c r="AE626" s="1525"/>
      <c r="AF626" s="1437"/>
      <c r="AG626" s="1438"/>
      <c r="AH626" s="1438"/>
      <c r="AI626" s="1438"/>
      <c r="AJ626" s="1439"/>
      <c r="AK626" s="1659"/>
      <c r="AL626" s="1660"/>
      <c r="AM626" s="1660"/>
      <c r="AN626" s="1661"/>
      <c r="AO626" s="1651"/>
      <c r="AP626" s="1651"/>
      <c r="AQ626" s="1651"/>
      <c r="AR626" s="1651"/>
      <c r="AS626" s="1651"/>
      <c r="AT626" s="3"/>
      <c r="AU626" s="3"/>
      <c r="AZ626" s="3"/>
      <c r="BA626" s="3"/>
      <c r="BB626" s="3"/>
      <c r="BC626" s="3"/>
      <c r="BD626" s="3"/>
      <c r="BE626" s="1339">
        <f t="shared" si="1"/>
        <v>0</v>
      </c>
      <c r="BF626" s="1341"/>
      <c r="BG626" s="1339">
        <f t="shared" si="2"/>
        <v>0</v>
      </c>
      <c r="BH626" s="1341"/>
      <c r="BI626" s="1339">
        <f t="shared" si="3"/>
        <v>0</v>
      </c>
      <c r="BJ626" s="1341"/>
      <c r="BK626" s="1339">
        <f t="shared" si="4"/>
        <v>0</v>
      </c>
      <c r="BL626" s="1341"/>
      <c r="BM626" s="3"/>
      <c r="BN626" s="1345">
        <f t="shared" si="5"/>
        <v>0</v>
      </c>
      <c r="BO626" s="1346"/>
      <c r="BP626" s="1346"/>
      <c r="BQ626" s="1346"/>
      <c r="BR626" s="1347"/>
      <c r="BS626" s="1344">
        <f t="shared" si="6"/>
        <v>0</v>
      </c>
      <c r="BT626" s="1344"/>
      <c r="BU626" s="1344"/>
      <c r="BV626" s="1344"/>
      <c r="BW626" s="1344"/>
      <c r="BX626" s="1344">
        <f t="shared" si="7"/>
        <v>0</v>
      </c>
      <c r="BY626" s="1344"/>
      <c r="BZ626" s="1344"/>
      <c r="CA626" s="1344"/>
      <c r="CB626" s="1344"/>
      <c r="CC626" s="1344">
        <f t="shared" si="8"/>
        <v>0</v>
      </c>
      <c r="CD626" s="1344"/>
      <c r="CE626" s="1344"/>
      <c r="CF626" s="1344"/>
      <c r="CG626" s="1344"/>
      <c r="CH626" s="1344">
        <f t="shared" si="9"/>
        <v>0</v>
      </c>
      <c r="CI626" s="1344"/>
      <c r="CJ626" s="1344"/>
      <c r="CK626" s="1344"/>
      <c r="CL626" s="1344"/>
      <c r="CM626" s="1344">
        <f t="shared" si="10"/>
        <v>0</v>
      </c>
      <c r="CN626" s="1344"/>
      <c r="CO626" s="1344"/>
      <c r="CP626" s="1344"/>
      <c r="CQ626" s="1344"/>
      <c r="CR626" s="278"/>
      <c r="CS626" s="1343">
        <f t="shared" si="11"/>
        <v>0</v>
      </c>
      <c r="CT626" s="1343"/>
      <c r="CU626" s="1343"/>
      <c r="CV626" s="1343"/>
      <c r="CW626" s="1343"/>
      <c r="CX626" s="1343">
        <f t="shared" si="12"/>
        <v>0</v>
      </c>
      <c r="CY626" s="1343"/>
      <c r="CZ626" s="1343"/>
      <c r="DA626" s="1343"/>
      <c r="DB626" s="1343"/>
      <c r="DC626" s="1343">
        <f t="shared" si="13"/>
        <v>0</v>
      </c>
      <c r="DD626" s="1343"/>
      <c r="DE626" s="1343"/>
      <c r="DF626" s="1343"/>
      <c r="DG626" s="1343"/>
      <c r="DH626" s="1343">
        <f t="shared" si="14"/>
        <v>0</v>
      </c>
      <c r="DI626" s="1343"/>
      <c r="DJ626" s="1343"/>
      <c r="DK626" s="1343"/>
      <c r="DL626" s="1343"/>
      <c r="DM626" s="1343">
        <f t="shared" si="15"/>
        <v>0</v>
      </c>
      <c r="DN626" s="1343"/>
      <c r="DO626" s="1343"/>
      <c r="DP626" s="1343"/>
      <c r="DQ626" s="1343"/>
      <c r="DR626" s="1343">
        <f t="shared" si="16"/>
        <v>0</v>
      </c>
      <c r="DS626" s="1343"/>
      <c r="DT626" s="1343"/>
      <c r="DU626" s="1343"/>
      <c r="DV626" s="1343"/>
      <c r="DX626" s="1339" t="str">
        <f t="shared" si="17"/>
        <v/>
      </c>
      <c r="DY626" s="1340"/>
      <c r="DZ626" s="1340"/>
      <c r="EA626" s="1340"/>
      <c r="EB626" s="1341"/>
      <c r="EC626" s="1339" t="str">
        <f t="shared" si="18"/>
        <v/>
      </c>
      <c r="ED626" s="1340"/>
      <c r="EE626" s="1340"/>
      <c r="EF626" s="1340"/>
      <c r="EG626" s="1341"/>
      <c r="EH626" s="1339" t="str">
        <f t="shared" si="19"/>
        <v/>
      </c>
      <c r="EI626" s="1340"/>
      <c r="EJ626" s="1340"/>
      <c r="EK626" s="1340"/>
      <c r="EL626" s="1341"/>
      <c r="EM626" s="1339" t="str">
        <f t="shared" si="20"/>
        <v/>
      </c>
      <c r="EN626" s="1340"/>
      <c r="EO626" s="1340"/>
      <c r="EP626" s="1340"/>
      <c r="EQ626" s="1341"/>
      <c r="ER626" s="1339" t="str">
        <f t="shared" si="21"/>
        <v/>
      </c>
      <c r="ES626" s="1340"/>
      <c r="ET626" s="1340"/>
      <c r="EU626" s="1340"/>
      <c r="EV626" s="1341"/>
      <c r="EW626" s="1339" t="str">
        <f t="shared" si="22"/>
        <v/>
      </c>
      <c r="EX626" s="1340"/>
      <c r="EY626" s="1340"/>
      <c r="EZ626" s="1340"/>
      <c r="FA626" s="1341"/>
    </row>
    <row r="627" spans="2:157" ht="13.2" customHeight="1">
      <c r="B627" s="44" t="s">
        <v>17</v>
      </c>
      <c r="C627" s="1650" t="s">
        <v>1511</v>
      </c>
      <c r="D627" s="1650"/>
      <c r="E627" s="1650"/>
      <c r="F627" s="1650"/>
      <c r="G627" s="1650"/>
      <c r="H627" s="1650"/>
      <c r="I627" s="1650"/>
      <c r="J627" s="1650"/>
      <c r="K627" s="1650"/>
      <c r="L627" s="1650"/>
      <c r="M627" s="1529" t="s">
        <v>1429</v>
      </c>
      <c r="N627" s="1529"/>
      <c r="O627" s="1529"/>
      <c r="P627" s="1529"/>
      <c r="Q627" s="1486">
        <f>18*12</f>
        <v>216</v>
      </c>
      <c r="R627" s="1486"/>
      <c r="S627" s="1648"/>
      <c r="T627" s="1647">
        <f>35*12</f>
        <v>420</v>
      </c>
      <c r="U627" s="1486"/>
      <c r="V627" s="1648"/>
      <c r="W627" s="1537">
        <v>7.0000000000000007E-2</v>
      </c>
      <c r="X627" s="1538"/>
      <c r="Y627" s="1539"/>
      <c r="Z627" s="1526" t="s">
        <v>1512</v>
      </c>
      <c r="AA627" s="1527"/>
      <c r="AB627" s="1528"/>
      <c r="AC627" s="1357">
        <v>1</v>
      </c>
      <c r="AD627" s="1358"/>
      <c r="AE627" s="1359"/>
      <c r="AF627" s="1509">
        <f>-PMT(W627/12,T627,AO627)*12</f>
        <v>1076165.0353524983</v>
      </c>
      <c r="AG627" s="1510"/>
      <c r="AH627" s="1510"/>
      <c r="AI627" s="1510"/>
      <c r="AJ627" s="1511"/>
      <c r="AK627" s="1317"/>
      <c r="AL627" s="1318"/>
      <c r="AM627" s="1318"/>
      <c r="AN627" s="1319"/>
      <c r="AO627" s="1564">
        <v>14037650</v>
      </c>
      <c r="AP627" s="1564"/>
      <c r="AQ627" s="1564"/>
      <c r="AR627" s="1564"/>
      <c r="AS627" s="1564"/>
      <c r="AT627" s="3"/>
      <c r="AU627" s="3"/>
      <c r="AZ627" s="3"/>
      <c r="BA627" s="3"/>
      <c r="BB627" s="3"/>
      <c r="BC627" s="3"/>
      <c r="BD627" s="3"/>
      <c r="BE627" s="1339">
        <f t="shared" si="1"/>
        <v>0</v>
      </c>
      <c r="BF627" s="1341"/>
      <c r="BG627" s="1339">
        <f t="shared" si="2"/>
        <v>0</v>
      </c>
      <c r="BH627" s="1341"/>
      <c r="BI627" s="1339">
        <f t="shared" si="3"/>
        <v>0</v>
      </c>
      <c r="BJ627" s="1341"/>
      <c r="BK627" s="1339">
        <f t="shared" si="4"/>
        <v>0</v>
      </c>
      <c r="BL627" s="1341"/>
      <c r="BM627" s="3"/>
      <c r="BN627" s="1345">
        <f t="shared" si="5"/>
        <v>0</v>
      </c>
      <c r="BO627" s="1346"/>
      <c r="BP627" s="1346"/>
      <c r="BQ627" s="1346"/>
      <c r="BR627" s="1347"/>
      <c r="BS627" s="1344">
        <f t="shared" si="6"/>
        <v>0</v>
      </c>
      <c r="BT627" s="1344"/>
      <c r="BU627" s="1344"/>
      <c r="BV627" s="1344"/>
      <c r="BW627" s="1344"/>
      <c r="BX627" s="1344">
        <f t="shared" si="7"/>
        <v>0</v>
      </c>
      <c r="BY627" s="1344"/>
      <c r="BZ627" s="1344"/>
      <c r="CA627" s="1344"/>
      <c r="CB627" s="1344"/>
      <c r="CC627" s="1344">
        <f t="shared" si="8"/>
        <v>0</v>
      </c>
      <c r="CD627" s="1344"/>
      <c r="CE627" s="1344"/>
      <c r="CF627" s="1344"/>
      <c r="CG627" s="1344"/>
      <c r="CH627" s="1344">
        <f t="shared" si="9"/>
        <v>0</v>
      </c>
      <c r="CI627" s="1344"/>
      <c r="CJ627" s="1344"/>
      <c r="CK627" s="1344"/>
      <c r="CL627" s="1344"/>
      <c r="CM627" s="1344">
        <f t="shared" si="10"/>
        <v>0</v>
      </c>
      <c r="CN627" s="1344"/>
      <c r="CO627" s="1344"/>
      <c r="CP627" s="1344"/>
      <c r="CQ627" s="1344"/>
      <c r="CR627" s="278"/>
      <c r="CS627" s="1343">
        <f t="shared" si="11"/>
        <v>0</v>
      </c>
      <c r="CT627" s="1343"/>
      <c r="CU627" s="1343"/>
      <c r="CV627" s="1343"/>
      <c r="CW627" s="1343"/>
      <c r="CX627" s="1343">
        <f t="shared" si="12"/>
        <v>0</v>
      </c>
      <c r="CY627" s="1343"/>
      <c r="CZ627" s="1343"/>
      <c r="DA627" s="1343"/>
      <c r="DB627" s="1343"/>
      <c r="DC627" s="1343">
        <f t="shared" si="13"/>
        <v>0</v>
      </c>
      <c r="DD627" s="1343"/>
      <c r="DE627" s="1343"/>
      <c r="DF627" s="1343"/>
      <c r="DG627" s="1343"/>
      <c r="DH627" s="1343">
        <f t="shared" si="14"/>
        <v>0</v>
      </c>
      <c r="DI627" s="1343"/>
      <c r="DJ627" s="1343"/>
      <c r="DK627" s="1343"/>
      <c r="DL627" s="1343"/>
      <c r="DM627" s="1343">
        <f t="shared" si="15"/>
        <v>0</v>
      </c>
      <c r="DN627" s="1343"/>
      <c r="DO627" s="1343"/>
      <c r="DP627" s="1343"/>
      <c r="DQ627" s="1343"/>
      <c r="DR627" s="1343">
        <f t="shared" si="16"/>
        <v>0</v>
      </c>
      <c r="DS627" s="1343"/>
      <c r="DT627" s="1343"/>
      <c r="DU627" s="1343"/>
      <c r="DV627" s="1343"/>
      <c r="DX627" s="1339" t="str">
        <f t="shared" si="17"/>
        <v/>
      </c>
      <c r="DY627" s="1340"/>
      <c r="DZ627" s="1340"/>
      <c r="EA627" s="1340"/>
      <c r="EB627" s="1341"/>
      <c r="EC627" s="1339" t="str">
        <f t="shared" si="18"/>
        <v/>
      </c>
      <c r="ED627" s="1340"/>
      <c r="EE627" s="1340"/>
      <c r="EF627" s="1340"/>
      <c r="EG627" s="1341"/>
      <c r="EH627" s="1339" t="str">
        <f t="shared" si="19"/>
        <v/>
      </c>
      <c r="EI627" s="1340"/>
      <c r="EJ627" s="1340"/>
      <c r="EK627" s="1340"/>
      <c r="EL627" s="1341"/>
      <c r="EM627" s="1339" t="str">
        <f t="shared" si="20"/>
        <v/>
      </c>
      <c r="EN627" s="1340"/>
      <c r="EO627" s="1340"/>
      <c r="EP627" s="1340"/>
      <c r="EQ627" s="1341"/>
      <c r="ER627" s="1339" t="str">
        <f t="shared" si="21"/>
        <v/>
      </c>
      <c r="ES627" s="1340"/>
      <c r="ET627" s="1340"/>
      <c r="EU627" s="1340"/>
      <c r="EV627" s="1341"/>
      <c r="EW627" s="1339" t="str">
        <f t="shared" si="22"/>
        <v/>
      </c>
      <c r="EX627" s="1340"/>
      <c r="EY627" s="1340"/>
      <c r="EZ627" s="1340"/>
      <c r="FA627" s="1341"/>
    </row>
    <row r="628" spans="2:157" ht="13.2" customHeight="1">
      <c r="B628" s="45" t="s">
        <v>30</v>
      </c>
      <c r="C628" s="1650" t="s">
        <v>1425</v>
      </c>
      <c r="D628" s="1650"/>
      <c r="E628" s="1650"/>
      <c r="F628" s="1650"/>
      <c r="G628" s="1650"/>
      <c r="H628" s="1650"/>
      <c r="I628" s="1650"/>
      <c r="J628" s="1650"/>
      <c r="K628" s="1650"/>
      <c r="L628" s="1650"/>
      <c r="M628" s="1529" t="s">
        <v>1440</v>
      </c>
      <c r="N628" s="1529"/>
      <c r="O628" s="1529"/>
      <c r="P628" s="1529"/>
      <c r="Q628" s="1647"/>
      <c r="R628" s="1486"/>
      <c r="S628" s="1648"/>
      <c r="T628" s="1647"/>
      <c r="U628" s="1486"/>
      <c r="V628" s="1648"/>
      <c r="W628" s="1537"/>
      <c r="X628" s="1538"/>
      <c r="Y628" s="1539"/>
      <c r="Z628" s="1526" t="s">
        <v>1099</v>
      </c>
      <c r="AA628" s="1527"/>
      <c r="AB628" s="1528"/>
      <c r="AC628" s="1357"/>
      <c r="AD628" s="1358"/>
      <c r="AE628" s="1359"/>
      <c r="AF628" s="1509"/>
      <c r="AG628" s="1510"/>
      <c r="AH628" s="1510"/>
      <c r="AI628" s="1510"/>
      <c r="AJ628" s="1511"/>
      <c r="AK628" s="1317"/>
      <c r="AL628" s="1318"/>
      <c r="AM628" s="1318"/>
      <c r="AN628" s="1319"/>
      <c r="AO628" s="1533">
        <v>3600000</v>
      </c>
      <c r="AP628" s="1534"/>
      <c r="AQ628" s="1534"/>
      <c r="AR628" s="1534"/>
      <c r="AS628" s="1535"/>
      <c r="AT628" s="1071" t="str">
        <f>IF(AND(NOT(C627=""),C628="",NOT(C629="")),"!","")</f>
        <v/>
      </c>
      <c r="AU628" s="3"/>
      <c r="AZ628" s="3"/>
      <c r="BA628" s="3"/>
      <c r="BB628" s="3"/>
      <c r="BC628" s="3"/>
      <c r="BD628" s="3"/>
      <c r="BE628" s="1339">
        <f t="shared" si="1"/>
        <v>0</v>
      </c>
      <c r="BF628" s="1341"/>
      <c r="BG628" s="1339">
        <f t="shared" si="2"/>
        <v>0</v>
      </c>
      <c r="BH628" s="1341"/>
      <c r="BI628" s="1339">
        <f t="shared" si="3"/>
        <v>0</v>
      </c>
      <c r="BJ628" s="1341"/>
      <c r="BK628" s="1339">
        <f t="shared" si="4"/>
        <v>0</v>
      </c>
      <c r="BL628" s="1341"/>
      <c r="BM628" s="3"/>
      <c r="BN628" s="1345">
        <f t="shared" si="5"/>
        <v>0</v>
      </c>
      <c r="BO628" s="1346"/>
      <c r="BP628" s="1346"/>
      <c r="BQ628" s="1346"/>
      <c r="BR628" s="1347"/>
      <c r="BS628" s="1344">
        <f t="shared" si="6"/>
        <v>0</v>
      </c>
      <c r="BT628" s="1344"/>
      <c r="BU628" s="1344"/>
      <c r="BV628" s="1344"/>
      <c r="BW628" s="1344"/>
      <c r="BX628" s="1344">
        <f t="shared" si="7"/>
        <v>0</v>
      </c>
      <c r="BY628" s="1344"/>
      <c r="BZ628" s="1344"/>
      <c r="CA628" s="1344"/>
      <c r="CB628" s="1344"/>
      <c r="CC628" s="1344">
        <f t="shared" si="8"/>
        <v>0</v>
      </c>
      <c r="CD628" s="1344"/>
      <c r="CE628" s="1344"/>
      <c r="CF628" s="1344"/>
      <c r="CG628" s="1344"/>
      <c r="CH628" s="1344">
        <f t="shared" si="9"/>
        <v>0</v>
      </c>
      <c r="CI628" s="1344"/>
      <c r="CJ628" s="1344"/>
      <c r="CK628" s="1344"/>
      <c r="CL628" s="1344"/>
      <c r="CM628" s="1344">
        <f t="shared" si="10"/>
        <v>0</v>
      </c>
      <c r="CN628" s="1344"/>
      <c r="CO628" s="1344"/>
      <c r="CP628" s="1344"/>
      <c r="CQ628" s="1344"/>
      <c r="CR628" s="278"/>
      <c r="CS628" s="1343">
        <f t="shared" si="11"/>
        <v>0</v>
      </c>
      <c r="CT628" s="1343"/>
      <c r="CU628" s="1343"/>
      <c r="CV628" s="1343"/>
      <c r="CW628" s="1343"/>
      <c r="CX628" s="1343">
        <f t="shared" si="12"/>
        <v>0</v>
      </c>
      <c r="CY628" s="1343"/>
      <c r="CZ628" s="1343"/>
      <c r="DA628" s="1343"/>
      <c r="DB628" s="1343"/>
      <c r="DC628" s="1343">
        <f t="shared" si="13"/>
        <v>0</v>
      </c>
      <c r="DD628" s="1343"/>
      <c r="DE628" s="1343"/>
      <c r="DF628" s="1343"/>
      <c r="DG628" s="1343"/>
      <c r="DH628" s="1343">
        <f t="shared" si="14"/>
        <v>0</v>
      </c>
      <c r="DI628" s="1343"/>
      <c r="DJ628" s="1343"/>
      <c r="DK628" s="1343"/>
      <c r="DL628" s="1343"/>
      <c r="DM628" s="1343">
        <f t="shared" si="15"/>
        <v>0</v>
      </c>
      <c r="DN628" s="1343"/>
      <c r="DO628" s="1343"/>
      <c r="DP628" s="1343"/>
      <c r="DQ628" s="1343"/>
      <c r="DR628" s="1343">
        <f t="shared" si="16"/>
        <v>0</v>
      </c>
      <c r="DS628" s="1343"/>
      <c r="DT628" s="1343"/>
      <c r="DU628" s="1343"/>
      <c r="DV628" s="1343"/>
      <c r="DX628" s="1339" t="str">
        <f t="shared" si="17"/>
        <v/>
      </c>
      <c r="DY628" s="1340"/>
      <c r="DZ628" s="1340"/>
      <c r="EA628" s="1340"/>
      <c r="EB628" s="1341"/>
      <c r="EC628" s="1339" t="str">
        <f t="shared" si="18"/>
        <v/>
      </c>
      <c r="ED628" s="1340"/>
      <c r="EE628" s="1340"/>
      <c r="EF628" s="1340"/>
      <c r="EG628" s="1341"/>
      <c r="EH628" s="1339" t="str">
        <f t="shared" si="19"/>
        <v/>
      </c>
      <c r="EI628" s="1340"/>
      <c r="EJ628" s="1340"/>
      <c r="EK628" s="1340"/>
      <c r="EL628" s="1341"/>
      <c r="EM628" s="1339" t="str">
        <f t="shared" si="20"/>
        <v/>
      </c>
      <c r="EN628" s="1340"/>
      <c r="EO628" s="1340"/>
      <c r="EP628" s="1340"/>
      <c r="EQ628" s="1341"/>
      <c r="ER628" s="1339" t="str">
        <f t="shared" si="21"/>
        <v/>
      </c>
      <c r="ES628" s="1340"/>
      <c r="ET628" s="1340"/>
      <c r="EU628" s="1340"/>
      <c r="EV628" s="1341"/>
      <c r="EW628" s="1339" t="str">
        <f t="shared" si="22"/>
        <v/>
      </c>
      <c r="EX628" s="1340"/>
      <c r="EY628" s="1340"/>
      <c r="EZ628" s="1340"/>
      <c r="FA628" s="1341"/>
    </row>
    <row r="629" spans="2:157" ht="13.2" customHeight="1">
      <c r="B629" s="45" t="s">
        <v>38</v>
      </c>
      <c r="C629" s="1650" t="s">
        <v>1466</v>
      </c>
      <c r="D629" s="1650"/>
      <c r="E629" s="1650"/>
      <c r="F629" s="1650"/>
      <c r="G629" s="1650"/>
      <c r="H629" s="1650"/>
      <c r="I629" s="1650"/>
      <c r="J629" s="1650"/>
      <c r="K629" s="1650"/>
      <c r="L629" s="1650"/>
      <c r="M629" s="1529" t="s">
        <v>1440</v>
      </c>
      <c r="N629" s="1529"/>
      <c r="O629" s="1529"/>
      <c r="P629" s="1529"/>
      <c r="Q629" s="1647">
        <f>55*12</f>
        <v>660</v>
      </c>
      <c r="R629" s="1486"/>
      <c r="S629" s="1648"/>
      <c r="T629" s="1647"/>
      <c r="U629" s="1486"/>
      <c r="V629" s="1648"/>
      <c r="W629" s="1537">
        <v>0</v>
      </c>
      <c r="X629" s="1538"/>
      <c r="Y629" s="1539"/>
      <c r="Z629" s="1526" t="s">
        <v>1099</v>
      </c>
      <c r="AA629" s="1527"/>
      <c r="AB629" s="1528"/>
      <c r="AC629" s="1357"/>
      <c r="AD629" s="1358"/>
      <c r="AE629" s="1359"/>
      <c r="AF629" s="1509"/>
      <c r="AG629" s="1510"/>
      <c r="AH629" s="1510"/>
      <c r="AI629" s="1510"/>
      <c r="AJ629" s="1511"/>
      <c r="AK629" s="1317"/>
      <c r="AL629" s="1318"/>
      <c r="AM629" s="1318"/>
      <c r="AN629" s="1319"/>
      <c r="AO629" s="1533">
        <v>7650000</v>
      </c>
      <c r="AP629" s="1534"/>
      <c r="AQ629" s="1534"/>
      <c r="AR629" s="1534"/>
      <c r="AS629" s="1535"/>
      <c r="AT629" s="1071" t="str">
        <f t="shared" ref="AT629:AT638" si="23">IF(AND(NOT(C628=""),C629="",NOT(C630="")),"!","")</f>
        <v/>
      </c>
      <c r="AU629" s="3"/>
      <c r="AZ629" s="3"/>
      <c r="BA629" s="3"/>
      <c r="BB629" s="3"/>
      <c r="BC629" s="3"/>
      <c r="BD629" s="3"/>
      <c r="BE629" s="1339">
        <f t="shared" si="1"/>
        <v>0</v>
      </c>
      <c r="BF629" s="1341"/>
      <c r="BG629" s="1339">
        <f t="shared" si="2"/>
        <v>0</v>
      </c>
      <c r="BH629" s="1341"/>
      <c r="BI629" s="1339">
        <f t="shared" si="3"/>
        <v>0</v>
      </c>
      <c r="BJ629" s="1341"/>
      <c r="BK629" s="1339">
        <f t="shared" si="4"/>
        <v>0</v>
      </c>
      <c r="BL629" s="1341"/>
      <c r="BM629" s="3"/>
      <c r="BN629" s="1345">
        <f t="shared" si="5"/>
        <v>0</v>
      </c>
      <c r="BO629" s="1346"/>
      <c r="BP629" s="1346"/>
      <c r="BQ629" s="1346"/>
      <c r="BR629" s="1347"/>
      <c r="BS629" s="1344">
        <f t="shared" si="6"/>
        <v>0</v>
      </c>
      <c r="BT629" s="1344"/>
      <c r="BU629" s="1344"/>
      <c r="BV629" s="1344"/>
      <c r="BW629" s="1344"/>
      <c r="BX629" s="1344">
        <f t="shared" si="7"/>
        <v>0</v>
      </c>
      <c r="BY629" s="1344"/>
      <c r="BZ629" s="1344"/>
      <c r="CA629" s="1344"/>
      <c r="CB629" s="1344"/>
      <c r="CC629" s="1344">
        <f t="shared" si="8"/>
        <v>0</v>
      </c>
      <c r="CD629" s="1344"/>
      <c r="CE629" s="1344"/>
      <c r="CF629" s="1344"/>
      <c r="CG629" s="1344"/>
      <c r="CH629" s="1344">
        <f t="shared" si="9"/>
        <v>0</v>
      </c>
      <c r="CI629" s="1344"/>
      <c r="CJ629" s="1344"/>
      <c r="CK629" s="1344"/>
      <c r="CL629" s="1344"/>
      <c r="CM629" s="1344">
        <f t="shared" si="10"/>
        <v>0</v>
      </c>
      <c r="CN629" s="1344"/>
      <c r="CO629" s="1344"/>
      <c r="CP629" s="1344"/>
      <c r="CQ629" s="1344"/>
      <c r="CR629" s="278"/>
      <c r="CS629" s="1343">
        <f t="shared" si="11"/>
        <v>0</v>
      </c>
      <c r="CT629" s="1343"/>
      <c r="CU629" s="1343"/>
      <c r="CV629" s="1343"/>
      <c r="CW629" s="1343"/>
      <c r="CX629" s="1343">
        <f t="shared" si="12"/>
        <v>0</v>
      </c>
      <c r="CY629" s="1343"/>
      <c r="CZ629" s="1343"/>
      <c r="DA629" s="1343"/>
      <c r="DB629" s="1343"/>
      <c r="DC629" s="1343">
        <f t="shared" si="13"/>
        <v>0</v>
      </c>
      <c r="DD629" s="1343"/>
      <c r="DE629" s="1343"/>
      <c r="DF629" s="1343"/>
      <c r="DG629" s="1343"/>
      <c r="DH629" s="1343">
        <f t="shared" si="14"/>
        <v>0</v>
      </c>
      <c r="DI629" s="1343"/>
      <c r="DJ629" s="1343"/>
      <c r="DK629" s="1343"/>
      <c r="DL629" s="1343"/>
      <c r="DM629" s="1343">
        <f t="shared" si="15"/>
        <v>0</v>
      </c>
      <c r="DN629" s="1343"/>
      <c r="DO629" s="1343"/>
      <c r="DP629" s="1343"/>
      <c r="DQ629" s="1343"/>
      <c r="DR629" s="1343">
        <f t="shared" si="16"/>
        <v>0</v>
      </c>
      <c r="DS629" s="1343"/>
      <c r="DT629" s="1343"/>
      <c r="DU629" s="1343"/>
      <c r="DV629" s="1343"/>
      <c r="DX629" s="1339" t="str">
        <f t="shared" si="17"/>
        <v/>
      </c>
      <c r="DY629" s="1340"/>
      <c r="DZ629" s="1340"/>
      <c r="EA629" s="1340"/>
      <c r="EB629" s="1341"/>
      <c r="EC629" s="1339" t="str">
        <f t="shared" si="18"/>
        <v/>
      </c>
      <c r="ED629" s="1340"/>
      <c r="EE629" s="1340"/>
      <c r="EF629" s="1340"/>
      <c r="EG629" s="1341"/>
      <c r="EH629" s="1339" t="str">
        <f t="shared" si="19"/>
        <v/>
      </c>
      <c r="EI629" s="1340"/>
      <c r="EJ629" s="1340"/>
      <c r="EK629" s="1340"/>
      <c r="EL629" s="1341"/>
      <c r="EM629" s="1339" t="str">
        <f t="shared" si="20"/>
        <v/>
      </c>
      <c r="EN629" s="1340"/>
      <c r="EO629" s="1340"/>
      <c r="EP629" s="1340"/>
      <c r="EQ629" s="1341"/>
      <c r="ER629" s="1339" t="str">
        <f t="shared" si="21"/>
        <v/>
      </c>
      <c r="ES629" s="1340"/>
      <c r="ET629" s="1340"/>
      <c r="EU629" s="1340"/>
      <c r="EV629" s="1341"/>
      <c r="EW629" s="1339" t="str">
        <f t="shared" si="22"/>
        <v/>
      </c>
      <c r="EX629" s="1340"/>
      <c r="EY629" s="1340"/>
      <c r="EZ629" s="1340"/>
      <c r="FA629" s="1341"/>
    </row>
    <row r="630" spans="2:157" ht="13.2" customHeight="1">
      <c r="B630" s="45" t="s">
        <v>81</v>
      </c>
      <c r="C630" s="1650" t="s">
        <v>1467</v>
      </c>
      <c r="D630" s="1650"/>
      <c r="E630" s="1650"/>
      <c r="F630" s="1650"/>
      <c r="G630" s="1650"/>
      <c r="H630" s="1650"/>
      <c r="I630" s="1650"/>
      <c r="J630" s="1650"/>
      <c r="K630" s="1650"/>
      <c r="L630" s="1650"/>
      <c r="M630" s="1529" t="s">
        <v>1416</v>
      </c>
      <c r="N630" s="1529"/>
      <c r="O630" s="1529"/>
      <c r="P630" s="1529"/>
      <c r="Q630" s="1647"/>
      <c r="R630" s="1486"/>
      <c r="S630" s="1648"/>
      <c r="T630" s="1647"/>
      <c r="U630" s="1486"/>
      <c r="V630" s="1648"/>
      <c r="W630" s="1537"/>
      <c r="X630" s="1538"/>
      <c r="Y630" s="1539"/>
      <c r="Z630" s="1526" t="s">
        <v>1513</v>
      </c>
      <c r="AA630" s="1527"/>
      <c r="AB630" s="1528"/>
      <c r="AC630" s="1357"/>
      <c r="AD630" s="1358"/>
      <c r="AE630" s="1359"/>
      <c r="AF630" s="1509"/>
      <c r="AG630" s="1510"/>
      <c r="AH630" s="1510"/>
      <c r="AI630" s="1510"/>
      <c r="AJ630" s="1511"/>
      <c r="AK630" s="1317"/>
      <c r="AL630" s="1318"/>
      <c r="AM630" s="1318"/>
      <c r="AN630" s="1319"/>
      <c r="AO630" s="1533">
        <v>4167346</v>
      </c>
      <c r="AP630" s="1534"/>
      <c r="AQ630" s="1534"/>
      <c r="AR630" s="1534"/>
      <c r="AS630" s="1535"/>
      <c r="AT630" s="1071" t="str">
        <f t="shared" si="23"/>
        <v/>
      </c>
      <c r="AU630" s="3"/>
      <c r="AZ630" s="3"/>
      <c r="BA630" s="3"/>
      <c r="BB630" s="3"/>
      <c r="BC630" s="3"/>
      <c r="BD630" s="3"/>
      <c r="BE630" s="1339">
        <f t="shared" si="1"/>
        <v>0</v>
      </c>
      <c r="BF630" s="1341"/>
      <c r="BG630" s="1339">
        <f t="shared" si="2"/>
        <v>0</v>
      </c>
      <c r="BH630" s="1341"/>
      <c r="BI630" s="1339">
        <f t="shared" si="3"/>
        <v>0</v>
      </c>
      <c r="BJ630" s="1341"/>
      <c r="BK630" s="1339">
        <f t="shared" si="4"/>
        <v>0</v>
      </c>
      <c r="BL630" s="1341"/>
      <c r="BM630" s="3"/>
      <c r="BN630" s="1345">
        <f t="shared" si="5"/>
        <v>0</v>
      </c>
      <c r="BO630" s="1346"/>
      <c r="BP630" s="1346"/>
      <c r="BQ630" s="1346"/>
      <c r="BR630" s="1347"/>
      <c r="BS630" s="1344">
        <f t="shared" si="6"/>
        <v>0</v>
      </c>
      <c r="BT630" s="1344"/>
      <c r="BU630" s="1344"/>
      <c r="BV630" s="1344"/>
      <c r="BW630" s="1344"/>
      <c r="BX630" s="1344">
        <f t="shared" si="7"/>
        <v>0</v>
      </c>
      <c r="BY630" s="1344"/>
      <c r="BZ630" s="1344"/>
      <c r="CA630" s="1344"/>
      <c r="CB630" s="1344"/>
      <c r="CC630" s="1344">
        <f t="shared" si="8"/>
        <v>0</v>
      </c>
      <c r="CD630" s="1344"/>
      <c r="CE630" s="1344"/>
      <c r="CF630" s="1344"/>
      <c r="CG630" s="1344"/>
      <c r="CH630" s="1344">
        <f t="shared" si="9"/>
        <v>0</v>
      </c>
      <c r="CI630" s="1344"/>
      <c r="CJ630" s="1344"/>
      <c r="CK630" s="1344"/>
      <c r="CL630" s="1344"/>
      <c r="CM630" s="1344">
        <f t="shared" si="10"/>
        <v>0</v>
      </c>
      <c r="CN630" s="1344"/>
      <c r="CO630" s="1344"/>
      <c r="CP630" s="1344"/>
      <c r="CQ630" s="1344"/>
      <c r="CR630" s="278"/>
      <c r="CS630" s="1343">
        <f t="shared" si="11"/>
        <v>0</v>
      </c>
      <c r="CT630" s="1343"/>
      <c r="CU630" s="1343"/>
      <c r="CV630" s="1343"/>
      <c r="CW630" s="1343"/>
      <c r="CX630" s="1343">
        <f t="shared" si="12"/>
        <v>0</v>
      </c>
      <c r="CY630" s="1343"/>
      <c r="CZ630" s="1343"/>
      <c r="DA630" s="1343"/>
      <c r="DB630" s="1343"/>
      <c r="DC630" s="1343">
        <f t="shared" si="13"/>
        <v>0</v>
      </c>
      <c r="DD630" s="1343"/>
      <c r="DE630" s="1343"/>
      <c r="DF630" s="1343"/>
      <c r="DG630" s="1343"/>
      <c r="DH630" s="1343">
        <f t="shared" si="14"/>
        <v>0</v>
      </c>
      <c r="DI630" s="1343"/>
      <c r="DJ630" s="1343"/>
      <c r="DK630" s="1343"/>
      <c r="DL630" s="1343"/>
      <c r="DM630" s="1343">
        <f t="shared" si="15"/>
        <v>0</v>
      </c>
      <c r="DN630" s="1343"/>
      <c r="DO630" s="1343"/>
      <c r="DP630" s="1343"/>
      <c r="DQ630" s="1343"/>
      <c r="DR630" s="1343">
        <f t="shared" si="16"/>
        <v>0</v>
      </c>
      <c r="DS630" s="1343"/>
      <c r="DT630" s="1343"/>
      <c r="DU630" s="1343"/>
      <c r="DV630" s="1343"/>
      <c r="DX630" s="1339" t="str">
        <f t="shared" si="17"/>
        <v/>
      </c>
      <c r="DY630" s="1340"/>
      <c r="DZ630" s="1340"/>
      <c r="EA630" s="1340"/>
      <c r="EB630" s="1341"/>
      <c r="EC630" s="1339" t="str">
        <f t="shared" si="18"/>
        <v/>
      </c>
      <c r="ED630" s="1340"/>
      <c r="EE630" s="1340"/>
      <c r="EF630" s="1340"/>
      <c r="EG630" s="1341"/>
      <c r="EH630" s="1339" t="str">
        <f t="shared" si="19"/>
        <v/>
      </c>
      <c r="EI630" s="1340"/>
      <c r="EJ630" s="1340"/>
      <c r="EK630" s="1340"/>
      <c r="EL630" s="1341"/>
      <c r="EM630" s="1339" t="str">
        <f t="shared" si="20"/>
        <v/>
      </c>
      <c r="EN630" s="1340"/>
      <c r="EO630" s="1340"/>
      <c r="EP630" s="1340"/>
      <c r="EQ630" s="1341"/>
      <c r="ER630" s="1339" t="str">
        <f t="shared" si="21"/>
        <v/>
      </c>
      <c r="ES630" s="1340"/>
      <c r="ET630" s="1340"/>
      <c r="EU630" s="1340"/>
      <c r="EV630" s="1341"/>
      <c r="EW630" s="1339" t="str">
        <f t="shared" si="22"/>
        <v/>
      </c>
      <c r="EX630" s="1340"/>
      <c r="EY630" s="1340"/>
      <c r="EZ630" s="1340"/>
      <c r="FA630" s="1341"/>
    </row>
    <row r="631" spans="2:157" ht="13.2" customHeight="1">
      <c r="B631" s="45" t="s">
        <v>85</v>
      </c>
      <c r="C631" s="1650"/>
      <c r="D631" s="1650"/>
      <c r="E631" s="1650"/>
      <c r="F631" s="1650"/>
      <c r="G631" s="1650"/>
      <c r="H631" s="1650"/>
      <c r="I631" s="1650"/>
      <c r="J631" s="1650"/>
      <c r="K631" s="1650"/>
      <c r="L631" s="1650"/>
      <c r="M631" s="1529" t="s">
        <v>1075</v>
      </c>
      <c r="N631" s="1529"/>
      <c r="O631" s="1529"/>
      <c r="P631" s="1529"/>
      <c r="Q631" s="1647"/>
      <c r="R631" s="1486"/>
      <c r="S631" s="1648"/>
      <c r="T631" s="1647"/>
      <c r="U631" s="1486"/>
      <c r="V631" s="1648"/>
      <c r="W631" s="1537"/>
      <c r="X631" s="1538"/>
      <c r="Y631" s="1539"/>
      <c r="Z631" s="1526" t="s">
        <v>1075</v>
      </c>
      <c r="AA631" s="1527"/>
      <c r="AB631" s="1528"/>
      <c r="AC631" s="1357"/>
      <c r="AD631" s="1358"/>
      <c r="AE631" s="1359"/>
      <c r="AF631" s="1509"/>
      <c r="AG631" s="1510"/>
      <c r="AH631" s="1510"/>
      <c r="AI631" s="1510"/>
      <c r="AJ631" s="1511"/>
      <c r="AK631" s="1317"/>
      <c r="AL631" s="1318"/>
      <c r="AM631" s="1318"/>
      <c r="AN631" s="1319"/>
      <c r="AO631" s="1533"/>
      <c r="AP631" s="1534"/>
      <c r="AQ631" s="1534"/>
      <c r="AR631" s="1534"/>
      <c r="AS631" s="1535"/>
      <c r="AT631" s="1071" t="str">
        <f t="shared" si="23"/>
        <v/>
      </c>
      <c r="AU631" s="3"/>
      <c r="AZ631" s="3"/>
      <c r="BA631" s="3"/>
      <c r="BB631" s="3"/>
      <c r="BC631" s="3"/>
      <c r="BD631" s="3"/>
      <c r="BE631" s="1339">
        <f t="shared" si="1"/>
        <v>0</v>
      </c>
      <c r="BF631" s="1341"/>
      <c r="BG631" s="1339">
        <f t="shared" si="2"/>
        <v>0</v>
      </c>
      <c r="BH631" s="1341"/>
      <c r="BI631" s="1339">
        <f t="shared" si="3"/>
        <v>0</v>
      </c>
      <c r="BJ631" s="1341"/>
      <c r="BK631" s="1339">
        <f t="shared" si="4"/>
        <v>0</v>
      </c>
      <c r="BL631" s="1341"/>
      <c r="BM631" s="3"/>
      <c r="BN631" s="1345">
        <f t="shared" si="5"/>
        <v>0</v>
      </c>
      <c r="BO631" s="1346"/>
      <c r="BP631" s="1346"/>
      <c r="BQ631" s="1346"/>
      <c r="BR631" s="1347"/>
      <c r="BS631" s="1344">
        <f t="shared" si="6"/>
        <v>0</v>
      </c>
      <c r="BT631" s="1344"/>
      <c r="BU631" s="1344"/>
      <c r="BV631" s="1344"/>
      <c r="BW631" s="1344"/>
      <c r="BX631" s="1344">
        <f t="shared" si="7"/>
        <v>0</v>
      </c>
      <c r="BY631" s="1344"/>
      <c r="BZ631" s="1344"/>
      <c r="CA631" s="1344"/>
      <c r="CB631" s="1344"/>
      <c r="CC631" s="1344">
        <f t="shared" si="8"/>
        <v>0</v>
      </c>
      <c r="CD631" s="1344"/>
      <c r="CE631" s="1344"/>
      <c r="CF631" s="1344"/>
      <c r="CG631" s="1344"/>
      <c r="CH631" s="1344">
        <f t="shared" si="9"/>
        <v>0</v>
      </c>
      <c r="CI631" s="1344"/>
      <c r="CJ631" s="1344"/>
      <c r="CK631" s="1344"/>
      <c r="CL631" s="1344"/>
      <c r="CM631" s="1344">
        <f t="shared" si="10"/>
        <v>0</v>
      </c>
      <c r="CN631" s="1344"/>
      <c r="CO631" s="1344"/>
      <c r="CP631" s="1344"/>
      <c r="CQ631" s="1344"/>
      <c r="CR631" s="278"/>
      <c r="CS631" s="1343">
        <f t="shared" si="11"/>
        <v>0</v>
      </c>
      <c r="CT631" s="1343"/>
      <c r="CU631" s="1343"/>
      <c r="CV631" s="1343"/>
      <c r="CW631" s="1343"/>
      <c r="CX631" s="1343">
        <f t="shared" si="12"/>
        <v>0</v>
      </c>
      <c r="CY631" s="1343"/>
      <c r="CZ631" s="1343"/>
      <c r="DA631" s="1343"/>
      <c r="DB631" s="1343"/>
      <c r="DC631" s="1343">
        <f t="shared" si="13"/>
        <v>0</v>
      </c>
      <c r="DD631" s="1343"/>
      <c r="DE631" s="1343"/>
      <c r="DF631" s="1343"/>
      <c r="DG631" s="1343"/>
      <c r="DH631" s="1343">
        <f t="shared" si="14"/>
        <v>0</v>
      </c>
      <c r="DI631" s="1343"/>
      <c r="DJ631" s="1343"/>
      <c r="DK631" s="1343"/>
      <c r="DL631" s="1343"/>
      <c r="DM631" s="1343">
        <f t="shared" si="15"/>
        <v>0</v>
      </c>
      <c r="DN631" s="1343"/>
      <c r="DO631" s="1343"/>
      <c r="DP631" s="1343"/>
      <c r="DQ631" s="1343"/>
      <c r="DR631" s="1343">
        <f t="shared" si="16"/>
        <v>0</v>
      </c>
      <c r="DS631" s="1343"/>
      <c r="DT631" s="1343"/>
      <c r="DU631" s="1343"/>
      <c r="DV631" s="1343"/>
      <c r="DX631" s="1339" t="str">
        <f t="shared" si="17"/>
        <v/>
      </c>
      <c r="DY631" s="1340"/>
      <c r="DZ631" s="1340"/>
      <c r="EA631" s="1340"/>
      <c r="EB631" s="1341"/>
      <c r="EC631" s="1339" t="str">
        <f t="shared" si="18"/>
        <v/>
      </c>
      <c r="ED631" s="1340"/>
      <c r="EE631" s="1340"/>
      <c r="EF631" s="1340"/>
      <c r="EG631" s="1341"/>
      <c r="EH631" s="1339" t="str">
        <f t="shared" si="19"/>
        <v/>
      </c>
      <c r="EI631" s="1340"/>
      <c r="EJ631" s="1340"/>
      <c r="EK631" s="1340"/>
      <c r="EL631" s="1341"/>
      <c r="EM631" s="1339" t="str">
        <f t="shared" si="20"/>
        <v/>
      </c>
      <c r="EN631" s="1340"/>
      <c r="EO631" s="1340"/>
      <c r="EP631" s="1340"/>
      <c r="EQ631" s="1341"/>
      <c r="ER631" s="1339" t="str">
        <f t="shared" si="21"/>
        <v/>
      </c>
      <c r="ES631" s="1340"/>
      <c r="ET631" s="1340"/>
      <c r="EU631" s="1340"/>
      <c r="EV631" s="1341"/>
      <c r="EW631" s="1339" t="str">
        <f t="shared" si="22"/>
        <v/>
      </c>
      <c r="EX631" s="1340"/>
      <c r="EY631" s="1340"/>
      <c r="EZ631" s="1340"/>
      <c r="FA631" s="1341"/>
    </row>
    <row r="632" spans="2:157" ht="13.2" customHeight="1">
      <c r="B632" s="45" t="s">
        <v>1468</v>
      </c>
      <c r="C632" s="1650"/>
      <c r="D632" s="1650"/>
      <c r="E632" s="1650"/>
      <c r="F632" s="1650"/>
      <c r="G632" s="1650"/>
      <c r="H632" s="1650"/>
      <c r="I632" s="1650"/>
      <c r="J632" s="1650"/>
      <c r="K632" s="1650"/>
      <c r="L632" s="1650"/>
      <c r="M632" s="1529" t="s">
        <v>1075</v>
      </c>
      <c r="N632" s="1529"/>
      <c r="O632" s="1529"/>
      <c r="P632" s="1529"/>
      <c r="Q632" s="1647"/>
      <c r="R632" s="1486"/>
      <c r="S632" s="1648"/>
      <c r="T632" s="1647"/>
      <c r="U632" s="1486"/>
      <c r="V632" s="1648"/>
      <c r="W632" s="1537"/>
      <c r="X632" s="1538"/>
      <c r="Y632" s="1539"/>
      <c r="Z632" s="1526" t="s">
        <v>1075</v>
      </c>
      <c r="AA632" s="1527"/>
      <c r="AB632" s="1528"/>
      <c r="AC632" s="1357"/>
      <c r="AD632" s="1358"/>
      <c r="AE632" s="1359"/>
      <c r="AF632" s="1509"/>
      <c r="AG632" s="1510"/>
      <c r="AH632" s="1510"/>
      <c r="AI632" s="1510"/>
      <c r="AJ632" s="1511"/>
      <c r="AK632" s="1317"/>
      <c r="AL632" s="1318"/>
      <c r="AM632" s="1318"/>
      <c r="AN632" s="1319"/>
      <c r="AO632" s="1533"/>
      <c r="AP632" s="1534"/>
      <c r="AQ632" s="1534"/>
      <c r="AR632" s="1534"/>
      <c r="AS632" s="1535"/>
      <c r="AT632" s="1071" t="str">
        <f t="shared" si="23"/>
        <v/>
      </c>
      <c r="AU632" s="3"/>
      <c r="AZ632" s="3"/>
      <c r="BA632" s="3"/>
      <c r="BB632" s="3"/>
      <c r="BC632" s="3"/>
      <c r="BD632" s="3"/>
      <c r="BE632" s="3"/>
      <c r="BF632" s="3"/>
      <c r="BG632" s="1339">
        <f>SUM(BG597:BH631)</f>
        <v>0</v>
      </c>
      <c r="BH632" s="1341"/>
      <c r="BI632" s="3"/>
      <c r="BJ632" s="3"/>
      <c r="BK632" s="1339">
        <f>SUM(BK597:BL631)</f>
        <v>50</v>
      </c>
      <c r="BL632" s="1341"/>
      <c r="BM632" s="3"/>
      <c r="BN632" s="1339">
        <f>SUM(BN597:BR631)</f>
        <v>0</v>
      </c>
      <c r="BO632" s="1340"/>
      <c r="BP632" s="1340"/>
      <c r="BQ632" s="1340"/>
      <c r="BR632" s="1341"/>
      <c r="BS632" s="1342">
        <f>SUM(BS597:BW631)</f>
        <v>97</v>
      </c>
      <c r="BT632" s="1342"/>
      <c r="BU632" s="1342"/>
      <c r="BV632" s="1342"/>
      <c r="BW632" s="1342"/>
      <c r="BX632" s="1342">
        <f>SUM(BX597:CB631)</f>
        <v>3</v>
      </c>
      <c r="BY632" s="1342"/>
      <c r="BZ632" s="1342"/>
      <c r="CA632" s="1342"/>
      <c r="CB632" s="1342"/>
      <c r="CC632" s="1342">
        <f>SUM(CC597:CG631)</f>
        <v>0</v>
      </c>
      <c r="CD632" s="1342"/>
      <c r="CE632" s="1342"/>
      <c r="CF632" s="1342"/>
      <c r="CG632" s="1342"/>
      <c r="CH632" s="1342">
        <f>SUM(CH597:CL631)</f>
        <v>0</v>
      </c>
      <c r="CI632" s="1342"/>
      <c r="CJ632" s="1342"/>
      <c r="CK632" s="1342"/>
      <c r="CL632" s="1342"/>
      <c r="CM632" s="1342">
        <f>SUM(CM597:CQ631)</f>
        <v>0</v>
      </c>
      <c r="CN632" s="1342"/>
      <c r="CO632" s="1342"/>
      <c r="CP632" s="1342"/>
      <c r="CQ632" s="1342"/>
      <c r="CR632" s="278"/>
      <c r="CS632" s="1342">
        <f>SUM(CS597:CW631)</f>
        <v>0</v>
      </c>
      <c r="CT632" s="1342"/>
      <c r="CU632" s="1342"/>
      <c r="CV632" s="1342"/>
      <c r="CW632" s="1342"/>
      <c r="CX632" s="1342">
        <f>SUM(CX597:DB631)</f>
        <v>50</v>
      </c>
      <c r="CY632" s="1342"/>
      <c r="CZ632" s="1342"/>
      <c r="DA632" s="1342"/>
      <c r="DB632" s="1342"/>
      <c r="DC632" s="1342">
        <f>SUM(DC597:DG631)</f>
        <v>0</v>
      </c>
      <c r="DD632" s="1342"/>
      <c r="DE632" s="1342"/>
      <c r="DF632" s="1342"/>
      <c r="DG632" s="1342"/>
      <c r="DH632" s="1342">
        <f>SUM(DH597:DL631)</f>
        <v>0</v>
      </c>
      <c r="DI632" s="1342"/>
      <c r="DJ632" s="1342"/>
      <c r="DK632" s="1342"/>
      <c r="DL632" s="1342"/>
      <c r="DM632" s="1342">
        <f>SUM(DM597:DQ631)</f>
        <v>0</v>
      </c>
      <c r="DN632" s="1342"/>
      <c r="DO632" s="1342"/>
      <c r="DP632" s="1342"/>
      <c r="DQ632" s="1342"/>
      <c r="DR632" s="1342">
        <f>SUM(DR597:DV631)</f>
        <v>0</v>
      </c>
      <c r="DS632" s="1342"/>
      <c r="DT632" s="1342"/>
      <c r="DU632" s="1342"/>
      <c r="DV632" s="1342"/>
      <c r="DX632" s="1342">
        <f>SUM(DX597:EB631)</f>
        <v>0</v>
      </c>
      <c r="DY632" s="1342"/>
      <c r="DZ632" s="1342"/>
      <c r="EA632" s="1342"/>
      <c r="EB632" s="1342"/>
      <c r="EC632" s="1342">
        <f>SUM(EC597:EG631)</f>
        <v>4120</v>
      </c>
      <c r="ED632" s="1342"/>
      <c r="EE632" s="1342"/>
      <c r="EF632" s="1342"/>
      <c r="EG632" s="1342"/>
      <c r="EH632" s="1342">
        <f>SUM(EH597:EL631)</f>
        <v>2368</v>
      </c>
      <c r="EI632" s="1342"/>
      <c r="EJ632" s="1342"/>
      <c r="EK632" s="1342"/>
      <c r="EL632" s="1342"/>
      <c r="EM632" s="1342">
        <f>SUM(EM597:EQ631)</f>
        <v>0</v>
      </c>
      <c r="EN632" s="1342"/>
      <c r="EO632" s="1342"/>
      <c r="EP632" s="1342"/>
      <c r="EQ632" s="1342"/>
      <c r="ER632" s="1342">
        <f>SUM(ER597:EV631)</f>
        <v>0</v>
      </c>
      <c r="ES632" s="1342"/>
      <c r="ET632" s="1342"/>
      <c r="EU632" s="1342"/>
      <c r="EV632" s="1342"/>
      <c r="EW632" s="1342">
        <f>SUM(EW597:FA631)</f>
        <v>0</v>
      </c>
      <c r="EX632" s="1342"/>
      <c r="EY632" s="1342"/>
      <c r="EZ632" s="1342"/>
      <c r="FA632" s="1342"/>
    </row>
    <row r="633" spans="2:157" ht="13.2" customHeight="1">
      <c r="B633" s="45" t="s">
        <v>1470</v>
      </c>
      <c r="C633" s="1650"/>
      <c r="D633" s="1650"/>
      <c r="E633" s="1650"/>
      <c r="F633" s="1650"/>
      <c r="G633" s="1650"/>
      <c r="H633" s="1650"/>
      <c r="I633" s="1650"/>
      <c r="J633" s="1650"/>
      <c r="K633" s="1650"/>
      <c r="L633" s="1650"/>
      <c r="M633" s="1529" t="s">
        <v>1075</v>
      </c>
      <c r="N633" s="1529"/>
      <c r="O633" s="1529"/>
      <c r="P633" s="1529"/>
      <c r="Q633" s="1647"/>
      <c r="R633" s="1486"/>
      <c r="S633" s="1648"/>
      <c r="T633" s="1647"/>
      <c r="U633" s="1486"/>
      <c r="V633" s="1648"/>
      <c r="W633" s="1537"/>
      <c r="X633" s="1538"/>
      <c r="Y633" s="1539"/>
      <c r="Z633" s="1526" t="s">
        <v>1075</v>
      </c>
      <c r="AA633" s="1527"/>
      <c r="AB633" s="1528"/>
      <c r="AC633" s="1357"/>
      <c r="AD633" s="1358"/>
      <c r="AE633" s="1359"/>
      <c r="AF633" s="1509"/>
      <c r="AG633" s="1510"/>
      <c r="AH633" s="1510"/>
      <c r="AI633" s="1510"/>
      <c r="AJ633" s="1511"/>
      <c r="AK633" s="1317"/>
      <c r="AL633" s="1318"/>
      <c r="AM633" s="1318"/>
      <c r="AN633" s="1319"/>
      <c r="AO633" s="1533"/>
      <c r="AP633" s="1534"/>
      <c r="AQ633" s="1534"/>
      <c r="AR633" s="1534"/>
      <c r="AS633" s="1535"/>
      <c r="AT633" s="107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1514</v>
      </c>
      <c r="CM633" s="1339">
        <f>BN632+BS632+BX632+CC632+CH632+CM632</f>
        <v>100</v>
      </c>
      <c r="CN633" s="1340"/>
      <c r="CO633" s="1340"/>
      <c r="CP633" s="1340"/>
      <c r="CQ633" s="1341"/>
      <c r="CR633" s="278"/>
      <c r="CS633" s="3"/>
      <c r="CT633" s="3"/>
      <c r="CU633" s="3"/>
      <c r="CV633" s="3"/>
      <c r="CW633" s="3"/>
      <c r="CX633" s="3"/>
      <c r="CY633" s="3"/>
      <c r="CZ633" s="3"/>
      <c r="DA633" s="3"/>
      <c r="DB633" s="3"/>
      <c r="DC633" s="3"/>
      <c r="DD633" s="3"/>
      <c r="DE633" s="3"/>
      <c r="DF633" s="3"/>
    </row>
    <row r="634" spans="2:157" ht="13.2" customHeight="1">
      <c r="B634" s="45" t="s">
        <v>1471</v>
      </c>
      <c r="C634" s="1650"/>
      <c r="D634" s="1650"/>
      <c r="E634" s="1650"/>
      <c r="F634" s="1650"/>
      <c r="G634" s="1650"/>
      <c r="H634" s="1650"/>
      <c r="I634" s="1650"/>
      <c r="J634" s="1650"/>
      <c r="K634" s="1650"/>
      <c r="L634" s="1650"/>
      <c r="M634" s="1529" t="s">
        <v>1075</v>
      </c>
      <c r="N634" s="1529"/>
      <c r="O634" s="1529"/>
      <c r="P634" s="1529"/>
      <c r="Q634" s="1647"/>
      <c r="R634" s="1486"/>
      <c r="S634" s="1648"/>
      <c r="T634" s="1647"/>
      <c r="U634" s="1486"/>
      <c r="V634" s="1648"/>
      <c r="W634" s="1537"/>
      <c r="X634" s="1538"/>
      <c r="Y634" s="1539"/>
      <c r="Z634" s="1526" t="s">
        <v>1075</v>
      </c>
      <c r="AA634" s="1527"/>
      <c r="AB634" s="1528"/>
      <c r="AC634" s="1357"/>
      <c r="AD634" s="1358"/>
      <c r="AE634" s="1359"/>
      <c r="AF634" s="1509"/>
      <c r="AG634" s="1510"/>
      <c r="AH634" s="1510"/>
      <c r="AI634" s="1510"/>
      <c r="AJ634" s="1511"/>
      <c r="AK634" s="1317"/>
      <c r="AL634" s="1318"/>
      <c r="AM634" s="1318"/>
      <c r="AN634" s="1319"/>
      <c r="AO634" s="1533"/>
      <c r="AP634" s="1534"/>
      <c r="AQ634" s="1534"/>
      <c r="AR634" s="1534"/>
      <c r="AS634" s="1535"/>
      <c r="AT634" s="1071" t="str">
        <f t="shared" si="23"/>
        <v/>
      </c>
      <c r="AU634" s="3"/>
      <c r="AV634" s="3"/>
      <c r="AW634" s="3"/>
      <c r="AX634" s="3"/>
      <c r="AY634" s="3"/>
      <c r="AZ634" s="3"/>
      <c r="BA634" s="3" t="s">
        <v>1075</v>
      </c>
      <c r="BB634" s="3"/>
      <c r="BC634" s="3"/>
      <c r="BD634" s="3"/>
      <c r="BE634" s="3"/>
      <c r="BF634" s="3"/>
      <c r="BG634" s="3"/>
      <c r="BH634" s="3"/>
      <c r="BI634" s="3"/>
      <c r="BJ634" s="3"/>
      <c r="BK634" s="3"/>
      <c r="BL634" s="3"/>
      <c r="BM634" s="3"/>
      <c r="BR634" s="784">
        <f>BN632*1</f>
        <v>0</v>
      </c>
      <c r="BS634" s="3"/>
      <c r="BT634" s="3"/>
      <c r="BU634" s="3"/>
      <c r="BV634" s="3"/>
      <c r="BW634" s="784">
        <f>BS632*1</f>
        <v>97</v>
      </c>
      <c r="BX634" s="3"/>
      <c r="BY634" s="3"/>
      <c r="BZ634" s="3"/>
      <c r="CA634" s="3"/>
      <c r="CB634" s="784">
        <f>BX632*2</f>
        <v>6</v>
      </c>
      <c r="CC634" s="3"/>
      <c r="CD634" s="3"/>
      <c r="CE634" s="3"/>
      <c r="CF634" s="3"/>
      <c r="CG634" s="784">
        <f>CC632*3</f>
        <v>0</v>
      </c>
      <c r="CH634" s="3"/>
      <c r="CI634" s="3"/>
      <c r="CJ634" s="3"/>
      <c r="CK634" s="3"/>
      <c r="CL634" s="784">
        <f>CH632*4</f>
        <v>0</v>
      </c>
      <c r="CM634" s="3"/>
      <c r="CN634" s="3"/>
      <c r="CO634" s="3"/>
      <c r="CP634" s="3"/>
      <c r="CQ634" s="784">
        <f>CM632*5</f>
        <v>0</v>
      </c>
      <c r="CS634" s="784">
        <f>BR634+BW634+CB634+CG634+CL634+CQ634</f>
        <v>103</v>
      </c>
      <c r="CT634" s="50" t="s">
        <v>1515</v>
      </c>
      <c r="CU634" s="3"/>
      <c r="CV634" s="3"/>
      <c r="CW634" s="3"/>
      <c r="CX634" s="3"/>
      <c r="CY634" s="3"/>
      <c r="CZ634" s="3"/>
      <c r="DA634" s="3"/>
      <c r="DB634" s="3"/>
      <c r="DC634" s="3"/>
      <c r="DD634" s="3"/>
      <c r="DE634" s="3"/>
      <c r="DF634" s="3"/>
    </row>
    <row r="635" spans="2:157" ht="13.2" customHeight="1">
      <c r="B635" s="45" t="s">
        <v>1472</v>
      </c>
      <c r="C635" s="1650"/>
      <c r="D635" s="1650"/>
      <c r="E635" s="1650"/>
      <c r="F635" s="1650"/>
      <c r="G635" s="1650"/>
      <c r="H635" s="1650"/>
      <c r="I635" s="1650"/>
      <c r="J635" s="1650"/>
      <c r="K635" s="1650"/>
      <c r="L635" s="1650"/>
      <c r="M635" s="1529" t="s">
        <v>1075</v>
      </c>
      <c r="N635" s="1529"/>
      <c r="O635" s="1529"/>
      <c r="P635" s="1529"/>
      <c r="Q635" s="1647"/>
      <c r="R635" s="1486"/>
      <c r="S635" s="1648"/>
      <c r="T635" s="1647"/>
      <c r="U635" s="1486"/>
      <c r="V635" s="1648"/>
      <c r="W635" s="1537"/>
      <c r="X635" s="1538"/>
      <c r="Y635" s="1539"/>
      <c r="Z635" s="1526" t="s">
        <v>1075</v>
      </c>
      <c r="AA635" s="1527"/>
      <c r="AB635" s="1528"/>
      <c r="AC635" s="1357"/>
      <c r="AD635" s="1358"/>
      <c r="AE635" s="1359"/>
      <c r="AF635" s="1509"/>
      <c r="AG635" s="1510"/>
      <c r="AH635" s="1510"/>
      <c r="AI635" s="1510"/>
      <c r="AJ635" s="1511"/>
      <c r="AK635" s="1317"/>
      <c r="AL635" s="1318"/>
      <c r="AM635" s="1318"/>
      <c r="AN635" s="1319"/>
      <c r="AO635" s="1533"/>
      <c r="AP635" s="1534"/>
      <c r="AQ635" s="1534"/>
      <c r="AR635" s="1534"/>
      <c r="AS635" s="1535"/>
      <c r="AT635" s="1071" t="str">
        <f t="shared" si="23"/>
        <v/>
      </c>
      <c r="AU635" s="3"/>
      <c r="AV635" s="3"/>
      <c r="AW635" s="3"/>
      <c r="AX635" s="3"/>
      <c r="AY635" s="3"/>
      <c r="AZ635" s="3"/>
      <c r="BA635" s="3" t="s">
        <v>1513</v>
      </c>
      <c r="BB635" s="3"/>
      <c r="BC635" s="3"/>
      <c r="BD635" s="3"/>
      <c r="BE635" s="3"/>
      <c r="BF635" s="3"/>
      <c r="BG635" s="3"/>
      <c r="BH635" s="3"/>
      <c r="BI635" s="3"/>
      <c r="BJ635" s="3"/>
      <c r="BK635" s="3"/>
      <c r="BL635" s="3"/>
      <c r="BM635" s="3"/>
      <c r="CR635" s="278"/>
      <c r="CS635" s="3"/>
      <c r="CT635" s="3"/>
      <c r="CU635" s="3"/>
      <c r="CV635" s="3"/>
      <c r="CW635" s="3"/>
      <c r="CX635" s="3"/>
      <c r="CY635" s="3"/>
      <c r="CZ635" s="3"/>
      <c r="DA635" s="3"/>
      <c r="DB635" s="3"/>
      <c r="DC635" s="3"/>
      <c r="DD635" s="3"/>
      <c r="DE635" s="3"/>
      <c r="DF635" s="3"/>
      <c r="DX635" s="1307" t="e">
        <f>DX597*(BN597/$BN$632)</f>
        <v>#VALUE!</v>
      </c>
      <c r="DY635" s="1307"/>
      <c r="DZ635" s="1307"/>
      <c r="EA635" s="1307"/>
      <c r="EB635" s="1307"/>
      <c r="EC635" s="1307">
        <f t="shared" ref="EC635:EC657" si="24">EC597*(BS597/$BS$632)</f>
        <v>350.51546391752572</v>
      </c>
      <c r="ED635" s="1307"/>
      <c r="EE635" s="1307"/>
      <c r="EF635" s="1307"/>
      <c r="EG635" s="1307"/>
      <c r="EH635" s="1307" t="e">
        <f t="shared" ref="EH635:EH657" si="25">EH597*(BX597/$BX$632)</f>
        <v>#VALUE!</v>
      </c>
      <c r="EI635" s="1307"/>
      <c r="EJ635" s="1307"/>
      <c r="EK635" s="1307"/>
      <c r="EL635" s="1307"/>
      <c r="EM635" s="1307" t="e">
        <f t="shared" ref="EM635:EM657" si="26">EM597*(CC597/$CC$632)</f>
        <v>#VALUE!</v>
      </c>
      <c r="EN635" s="1307"/>
      <c r="EO635" s="1307"/>
      <c r="EP635" s="1307"/>
      <c r="EQ635" s="1307"/>
      <c r="ER635" s="1307" t="e">
        <f t="shared" ref="ER635:ER657" si="27">ER597*(CH597/$CH$632)</f>
        <v>#VALUE!</v>
      </c>
      <c r="ES635" s="1307"/>
      <c r="ET635" s="1307"/>
      <c r="EU635" s="1307"/>
      <c r="EV635" s="1307"/>
      <c r="EW635" s="1307" t="e">
        <f t="shared" ref="EW635:EW657" si="28">EW597*(CM597/$CM$632)</f>
        <v>#VALUE!</v>
      </c>
      <c r="EX635" s="1307"/>
      <c r="EY635" s="1307"/>
      <c r="EZ635" s="1307"/>
      <c r="FA635" s="1307"/>
    </row>
    <row r="636" spans="2:157" ht="13.2" customHeight="1">
      <c r="B636" s="45" t="s">
        <v>1473</v>
      </c>
      <c r="C636" s="1650"/>
      <c r="D636" s="1650"/>
      <c r="E636" s="1650"/>
      <c r="F636" s="1650"/>
      <c r="G636" s="1650"/>
      <c r="H636" s="1650"/>
      <c r="I636" s="1650"/>
      <c r="J636" s="1650"/>
      <c r="K636" s="1650"/>
      <c r="L636" s="1650"/>
      <c r="M636" s="1529" t="s">
        <v>1075</v>
      </c>
      <c r="N636" s="1529"/>
      <c r="O636" s="1529"/>
      <c r="P636" s="1529"/>
      <c r="Q636" s="1647"/>
      <c r="R636" s="1486"/>
      <c r="S636" s="1648"/>
      <c r="T636" s="1647"/>
      <c r="U636" s="1486"/>
      <c r="V636" s="1648"/>
      <c r="W636" s="1537"/>
      <c r="X636" s="1538"/>
      <c r="Y636" s="1539"/>
      <c r="Z636" s="1526" t="s">
        <v>1075</v>
      </c>
      <c r="AA636" s="1527"/>
      <c r="AB636" s="1528"/>
      <c r="AC636" s="1357"/>
      <c r="AD636" s="1358"/>
      <c r="AE636" s="1359"/>
      <c r="AF636" s="1509"/>
      <c r="AG636" s="1510"/>
      <c r="AH636" s="1510"/>
      <c r="AI636" s="1510"/>
      <c r="AJ636" s="1511"/>
      <c r="AK636" s="1317"/>
      <c r="AL636" s="1318"/>
      <c r="AM636" s="1318"/>
      <c r="AN636" s="1319"/>
      <c r="AO636" s="1533"/>
      <c r="AP636" s="1534"/>
      <c r="AQ636" s="1534"/>
      <c r="AR636" s="1534"/>
      <c r="AS636" s="1535"/>
      <c r="AT636" s="1071" t="str">
        <f t="shared" si="23"/>
        <v/>
      </c>
      <c r="AV636" s="3"/>
      <c r="AW636" s="3"/>
      <c r="AX636" s="3"/>
      <c r="AY636" s="3"/>
      <c r="AZ636" s="3"/>
      <c r="BA636" s="3" t="s">
        <v>1516</v>
      </c>
      <c r="BB636" s="3"/>
      <c r="BC636" s="3"/>
      <c r="BD636" s="3"/>
      <c r="BE636" s="3"/>
      <c r="BF636" s="3"/>
      <c r="BG636" s="3"/>
      <c r="BH636" s="3"/>
      <c r="BI636" s="3"/>
      <c r="BJ636" s="3"/>
      <c r="BK636" s="3"/>
      <c r="BL636" s="3"/>
      <c r="BM636" s="3"/>
      <c r="BN636" s="3" t="s">
        <v>1517</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8"/>
      <c r="CS636" s="3"/>
      <c r="CT636" s="3"/>
      <c r="CU636" s="3"/>
      <c r="CV636" s="3"/>
      <c r="CW636" s="3"/>
      <c r="CX636" s="3"/>
      <c r="CY636" s="3"/>
      <c r="CZ636" s="3"/>
      <c r="DA636" s="3"/>
      <c r="DB636" s="3"/>
      <c r="DC636" s="3"/>
      <c r="DD636" s="3"/>
      <c r="DE636" s="3"/>
      <c r="DF636" s="3"/>
      <c r="DX636" s="1307" t="e">
        <f t="shared" ref="DX636:DX657" si="29">DX598*(BN598/$BN$632)</f>
        <v>#VALUE!</v>
      </c>
      <c r="DY636" s="1307"/>
      <c r="DZ636" s="1307"/>
      <c r="EA636" s="1307"/>
      <c r="EB636" s="1307"/>
      <c r="EC636" s="1307">
        <f t="shared" si="24"/>
        <v>376.28865979381442</v>
      </c>
      <c r="ED636" s="1307"/>
      <c r="EE636" s="1307"/>
      <c r="EF636" s="1307"/>
      <c r="EG636" s="1307"/>
      <c r="EH636" s="1307" t="e">
        <f t="shared" si="25"/>
        <v>#VALUE!</v>
      </c>
      <c r="EI636" s="1307"/>
      <c r="EJ636" s="1307"/>
      <c r="EK636" s="1307"/>
      <c r="EL636" s="1307"/>
      <c r="EM636" s="1307" t="e">
        <f t="shared" si="26"/>
        <v>#VALUE!</v>
      </c>
      <c r="EN636" s="1307"/>
      <c r="EO636" s="1307"/>
      <c r="EP636" s="1307"/>
      <c r="EQ636" s="1307"/>
      <c r="ER636" s="1307" t="e">
        <f t="shared" si="27"/>
        <v>#VALUE!</v>
      </c>
      <c r="ES636" s="1307"/>
      <c r="ET636" s="1307"/>
      <c r="EU636" s="1307"/>
      <c r="EV636" s="1307"/>
      <c r="EW636" s="1307" t="e">
        <f t="shared" si="28"/>
        <v>#VALUE!</v>
      </c>
      <c r="EX636" s="1307"/>
      <c r="EY636" s="1307"/>
      <c r="EZ636" s="1307"/>
      <c r="FA636" s="1307"/>
    </row>
    <row r="637" spans="2:157" ht="13.2" customHeight="1">
      <c r="B637" s="45" t="s">
        <v>1474</v>
      </c>
      <c r="C637" s="1650"/>
      <c r="D637" s="1650"/>
      <c r="E637" s="1650"/>
      <c r="F637" s="1650"/>
      <c r="G637" s="1650"/>
      <c r="H637" s="1650"/>
      <c r="I637" s="1650"/>
      <c r="J637" s="1650"/>
      <c r="K637" s="1650"/>
      <c r="L637" s="1650"/>
      <c r="M637" s="1529" t="s">
        <v>1075</v>
      </c>
      <c r="N637" s="1529"/>
      <c r="O637" s="1529"/>
      <c r="P637" s="1529"/>
      <c r="Q637" s="1647"/>
      <c r="R637" s="1486"/>
      <c r="S637" s="1648"/>
      <c r="T637" s="1647"/>
      <c r="U637" s="1486"/>
      <c r="V637" s="1648"/>
      <c r="W637" s="1537"/>
      <c r="X637" s="1538"/>
      <c r="Y637" s="1539"/>
      <c r="Z637" s="1526" t="s">
        <v>1075</v>
      </c>
      <c r="AA637" s="1527"/>
      <c r="AB637" s="1528"/>
      <c r="AC637" s="1357"/>
      <c r="AD637" s="1358"/>
      <c r="AE637" s="1359"/>
      <c r="AF637" s="1509"/>
      <c r="AG637" s="1510"/>
      <c r="AH637" s="1510"/>
      <c r="AI637" s="1510"/>
      <c r="AJ637" s="1511"/>
      <c r="AK637" s="1317"/>
      <c r="AL637" s="1318"/>
      <c r="AM637" s="1318"/>
      <c r="AN637" s="1319"/>
      <c r="AO637" s="1533"/>
      <c r="AP637" s="1534"/>
      <c r="AQ637" s="1534"/>
      <c r="AR637" s="1534"/>
      <c r="AS637" s="1535"/>
      <c r="AT637" s="1071" t="str">
        <f t="shared" si="23"/>
        <v/>
      </c>
      <c r="AV637" s="3"/>
      <c r="AW637" s="3"/>
      <c r="AX637" s="3"/>
      <c r="AY637" s="3"/>
      <c r="AZ637" s="3"/>
      <c r="BA637" s="3" t="s">
        <v>1512</v>
      </c>
      <c r="BB637" s="3"/>
      <c r="BC637" s="3"/>
      <c r="BD637" s="3"/>
      <c r="BE637" s="3"/>
      <c r="BF637" s="3"/>
      <c r="BG637" s="3"/>
      <c r="BH637" s="3"/>
      <c r="BI637" s="3"/>
      <c r="BJ637" s="3"/>
      <c r="BK637" s="3"/>
      <c r="BL637" s="3"/>
      <c r="BM637" s="3"/>
      <c r="BN637" s="1345">
        <f>IF(J773="SRO/Studio",O773,0)</f>
        <v>0</v>
      </c>
      <c r="BO637" s="1346"/>
      <c r="BP637" s="1346"/>
      <c r="BQ637" s="1346"/>
      <c r="BR637" s="1347"/>
      <c r="BS637" s="1344">
        <f>IF(J773="1 Bedroom",O773,0)</f>
        <v>0</v>
      </c>
      <c r="BT637" s="1344"/>
      <c r="BU637" s="1344"/>
      <c r="BV637" s="1344"/>
      <c r="BW637" s="1344"/>
      <c r="BX637" s="1344">
        <f>IF(J773="2 Bedrooms",O773,0)</f>
        <v>1</v>
      </c>
      <c r="BY637" s="1344"/>
      <c r="BZ637" s="1344"/>
      <c r="CA637" s="1344"/>
      <c r="CB637" s="1344"/>
      <c r="CC637" s="1344">
        <f>IF(J773="3 Bedrooms",O773,0)</f>
        <v>0</v>
      </c>
      <c r="CD637" s="1344"/>
      <c r="CE637" s="1344"/>
      <c r="CF637" s="1344"/>
      <c r="CG637" s="1344"/>
      <c r="CH637" s="1344">
        <f>IF(J773="4 Bedrooms",O773,0)</f>
        <v>0</v>
      </c>
      <c r="CI637" s="1344"/>
      <c r="CJ637" s="1344"/>
      <c r="CK637" s="1344"/>
      <c r="CL637" s="1344"/>
      <c r="CM637" s="1344">
        <f>IF(J773="5 Bedrooms",O773,0)</f>
        <v>0</v>
      </c>
      <c r="CN637" s="1344"/>
      <c r="CO637" s="1344"/>
      <c r="CP637" s="1344"/>
      <c r="CQ637" s="1344"/>
      <c r="CR637" s="278"/>
      <c r="CS637" s="3"/>
      <c r="CT637" s="3"/>
      <c r="CU637" s="3"/>
      <c r="CV637" s="3"/>
      <c r="CW637" s="3"/>
      <c r="CX637" s="3"/>
      <c r="CY637" s="3"/>
      <c r="CZ637" s="3"/>
      <c r="DA637" s="3"/>
      <c r="DB637" s="3"/>
      <c r="DC637" s="3"/>
      <c r="DD637" s="3"/>
      <c r="DE637" s="3"/>
      <c r="DF637" s="3"/>
      <c r="DX637" s="1307" t="e">
        <f t="shared" si="29"/>
        <v>#VALUE!</v>
      </c>
      <c r="DY637" s="1307"/>
      <c r="DZ637" s="1307"/>
      <c r="EA637" s="1307"/>
      <c r="EB637" s="1307"/>
      <c r="EC637" s="1307">
        <f t="shared" si="24"/>
        <v>449.07216494845363</v>
      </c>
      <c r="ED637" s="1307"/>
      <c r="EE637" s="1307"/>
      <c r="EF637" s="1307"/>
      <c r="EG637" s="1307"/>
      <c r="EH637" s="1307" t="e">
        <f t="shared" si="25"/>
        <v>#VALUE!</v>
      </c>
      <c r="EI637" s="1307"/>
      <c r="EJ637" s="1307"/>
      <c r="EK637" s="1307"/>
      <c r="EL637" s="1307"/>
      <c r="EM637" s="1307" t="e">
        <f t="shared" si="26"/>
        <v>#VALUE!</v>
      </c>
      <c r="EN637" s="1307"/>
      <c r="EO637" s="1307"/>
      <c r="EP637" s="1307"/>
      <c r="EQ637" s="1307"/>
      <c r="ER637" s="1307" t="e">
        <f t="shared" si="27"/>
        <v>#VALUE!</v>
      </c>
      <c r="ES637" s="1307"/>
      <c r="ET637" s="1307"/>
      <c r="EU637" s="1307"/>
      <c r="EV637" s="1307"/>
      <c r="EW637" s="1307" t="e">
        <f t="shared" si="28"/>
        <v>#VALUE!</v>
      </c>
      <c r="EX637" s="1307"/>
      <c r="EY637" s="1307"/>
      <c r="EZ637" s="1307"/>
      <c r="FA637" s="1307"/>
    </row>
    <row r="638" spans="2:157" ht="13.2" customHeight="1">
      <c r="B638" s="45" t="s">
        <v>1475</v>
      </c>
      <c r="C638" s="1650"/>
      <c r="D638" s="1650"/>
      <c r="E638" s="1650"/>
      <c r="F638" s="1650"/>
      <c r="G638" s="1650"/>
      <c r="H638" s="1650"/>
      <c r="I638" s="1650"/>
      <c r="J638" s="1650"/>
      <c r="K638" s="1650"/>
      <c r="L638" s="1650"/>
      <c r="M638" s="1529" t="s">
        <v>1075</v>
      </c>
      <c r="N638" s="1529"/>
      <c r="O638" s="1529"/>
      <c r="P638" s="1529"/>
      <c r="Q638" s="1647"/>
      <c r="R638" s="1486"/>
      <c r="S638" s="1648"/>
      <c r="T638" s="1647"/>
      <c r="U638" s="1486"/>
      <c r="V638" s="1648"/>
      <c r="W638" s="1537"/>
      <c r="X638" s="1538"/>
      <c r="Y638" s="1539"/>
      <c r="Z638" s="1526" t="s">
        <v>1075</v>
      </c>
      <c r="AA638" s="1527"/>
      <c r="AB638" s="1528"/>
      <c r="AC638" s="1357"/>
      <c r="AD638" s="1358"/>
      <c r="AE638" s="1359"/>
      <c r="AF638" s="1509"/>
      <c r="AG638" s="1510"/>
      <c r="AH638" s="1510"/>
      <c r="AI638" s="1510"/>
      <c r="AJ638" s="1511"/>
      <c r="AK638" s="1317"/>
      <c r="AL638" s="1318"/>
      <c r="AM638" s="1318"/>
      <c r="AN638" s="1319"/>
      <c r="AO638" s="1533"/>
      <c r="AP638" s="1534"/>
      <c r="AQ638" s="1534"/>
      <c r="AR638" s="1534"/>
      <c r="AS638" s="1535"/>
      <c r="AT638" s="1071" t="str">
        <f t="shared" si="23"/>
        <v/>
      </c>
      <c r="AV638" s="3"/>
      <c r="AW638" s="3"/>
      <c r="AX638" s="3"/>
      <c r="AY638" s="3"/>
      <c r="AZ638" s="3"/>
      <c r="BA638" s="3" t="s">
        <v>1099</v>
      </c>
      <c r="BB638" s="3"/>
      <c r="BC638" s="3"/>
      <c r="BD638" s="3"/>
      <c r="BE638" s="3"/>
      <c r="BF638" s="3"/>
      <c r="BG638" s="3"/>
      <c r="BH638" s="3"/>
      <c r="BI638" s="3"/>
      <c r="BJ638" s="3"/>
      <c r="BK638" s="3"/>
      <c r="BL638" s="3"/>
      <c r="BM638" s="3"/>
      <c r="BN638" s="1345">
        <f>IF(J774="SRO/Studio",O774,0)</f>
        <v>0</v>
      </c>
      <c r="BO638" s="1346"/>
      <c r="BP638" s="1346"/>
      <c r="BQ638" s="1346"/>
      <c r="BR638" s="1347"/>
      <c r="BS638" s="1344">
        <f>IF(J774="1 Bedroom",O774,0)</f>
        <v>0</v>
      </c>
      <c r="BT638" s="1344"/>
      <c r="BU638" s="1344"/>
      <c r="BV638" s="1344"/>
      <c r="BW638" s="1344"/>
      <c r="BX638" s="1344">
        <f>IF(J774="2 Bedrooms",O774,0)</f>
        <v>0</v>
      </c>
      <c r="BY638" s="1344"/>
      <c r="BZ638" s="1344"/>
      <c r="CA638" s="1344"/>
      <c r="CB638" s="1344"/>
      <c r="CC638" s="1344">
        <f>IF(J774="3 Bedrooms",O774,0)</f>
        <v>0</v>
      </c>
      <c r="CD638" s="1344"/>
      <c r="CE638" s="1344"/>
      <c r="CF638" s="1344"/>
      <c r="CG638" s="1344"/>
      <c r="CH638" s="1344">
        <f>IF(J774="4 Bedrooms",O774,0)</f>
        <v>0</v>
      </c>
      <c r="CI638" s="1344"/>
      <c r="CJ638" s="1344"/>
      <c r="CK638" s="1344"/>
      <c r="CL638" s="1344"/>
      <c r="CM638" s="1344">
        <f>IF(J774="5 Bedrooms",O774,0)</f>
        <v>0</v>
      </c>
      <c r="CN638" s="1344"/>
      <c r="CO638" s="1344"/>
      <c r="CP638" s="1344"/>
      <c r="CQ638" s="1344"/>
      <c r="CR638" s="278"/>
      <c r="CS638" s="3"/>
      <c r="CT638" s="3"/>
      <c r="CU638" s="3"/>
      <c r="CV638" s="3"/>
      <c r="CW638" s="3"/>
      <c r="CX638" s="3"/>
      <c r="CY638" s="3"/>
      <c r="CZ638" s="3"/>
      <c r="DA638" s="3"/>
      <c r="DB638" s="3"/>
      <c r="DC638" s="3"/>
      <c r="DD638" s="3"/>
      <c r="DE638" s="3"/>
      <c r="DF638" s="3"/>
      <c r="DX638" s="1307" t="e">
        <f t="shared" si="29"/>
        <v>#VALUE!</v>
      </c>
      <c r="DY638" s="1307"/>
      <c r="DZ638" s="1307"/>
      <c r="EA638" s="1307"/>
      <c r="EB638" s="1307"/>
      <c r="EC638" s="1307" t="e">
        <f t="shared" si="24"/>
        <v>#VALUE!</v>
      </c>
      <c r="ED638" s="1307"/>
      <c r="EE638" s="1307"/>
      <c r="EF638" s="1307"/>
      <c r="EG638" s="1307"/>
      <c r="EH638" s="1307">
        <f t="shared" si="25"/>
        <v>2368</v>
      </c>
      <c r="EI638" s="1307"/>
      <c r="EJ638" s="1307"/>
      <c r="EK638" s="1307"/>
      <c r="EL638" s="1307"/>
      <c r="EM638" s="1307" t="e">
        <f t="shared" si="26"/>
        <v>#VALUE!</v>
      </c>
      <c r="EN638" s="1307"/>
      <c r="EO638" s="1307"/>
      <c r="EP638" s="1307"/>
      <c r="EQ638" s="1307"/>
      <c r="ER638" s="1307" t="e">
        <f t="shared" si="27"/>
        <v>#VALUE!</v>
      </c>
      <c r="ES638" s="1307"/>
      <c r="ET638" s="1307"/>
      <c r="EU638" s="1307"/>
      <c r="EV638" s="1307"/>
      <c r="EW638" s="1307" t="e">
        <f t="shared" si="28"/>
        <v>#VALUE!</v>
      </c>
      <c r="EX638" s="1307"/>
      <c r="EY638" s="1307"/>
      <c r="EZ638" s="1307"/>
      <c r="FA638" s="1307"/>
    </row>
    <row r="639" spans="2:157" ht="13.2" customHeight="1">
      <c r="B639" s="1555" t="s">
        <v>1518</v>
      </c>
      <c r="C639" s="1556"/>
      <c r="D639" s="1556"/>
      <c r="E639" s="1556"/>
      <c r="F639" s="1556"/>
      <c r="G639" s="1556"/>
      <c r="H639" s="1556"/>
      <c r="I639" s="1556"/>
      <c r="J639" s="1556"/>
      <c r="K639" s="1556"/>
      <c r="L639" s="1556"/>
      <c r="M639" s="1556"/>
      <c r="N639" s="1556"/>
      <c r="O639" s="1556"/>
      <c r="P639" s="1556"/>
      <c r="Q639" s="1556"/>
      <c r="R639" s="1556"/>
      <c r="S639" s="1556"/>
      <c r="T639" s="1556"/>
      <c r="U639" s="1556"/>
      <c r="V639" s="1556"/>
      <c r="W639" s="1556"/>
      <c r="X639" s="1556"/>
      <c r="Y639" s="1556"/>
      <c r="Z639" s="1556"/>
      <c r="AA639" s="1556"/>
      <c r="AB639" s="1556"/>
      <c r="AC639" s="1556"/>
      <c r="AD639" s="1556"/>
      <c r="AE639" s="1556"/>
      <c r="AF639" s="1556"/>
      <c r="AG639" s="1556"/>
      <c r="AH639" s="1556"/>
      <c r="AI639" s="1556"/>
      <c r="AJ639" s="1556"/>
      <c r="AK639" s="1556"/>
      <c r="AL639" s="1556"/>
      <c r="AM639" s="1556"/>
      <c r="AN639" s="1557"/>
      <c r="AO639" s="1530">
        <f>SUM(AO627:AR638)</f>
        <v>29454996</v>
      </c>
      <c r="AP639" s="1531"/>
      <c r="AQ639" s="1531"/>
      <c r="AR639" s="1531"/>
      <c r="AS639" s="1532"/>
      <c r="AV639" s="3"/>
      <c r="AW639" s="3"/>
      <c r="AX639" s="3"/>
      <c r="AY639" s="3"/>
      <c r="AZ639" s="3"/>
      <c r="BA639" s="3"/>
      <c r="BB639" s="3"/>
      <c r="BC639" s="3"/>
      <c r="BD639" s="3"/>
      <c r="BE639" s="3"/>
      <c r="BF639" s="3"/>
      <c r="BG639" s="3"/>
      <c r="BH639" s="3"/>
      <c r="BI639" s="3"/>
      <c r="BJ639" s="3"/>
      <c r="BK639" s="3"/>
      <c r="BL639" s="3"/>
      <c r="BM639" s="3"/>
      <c r="BN639" s="1345">
        <f>IF(J775="SRO/Studio",O775,0)</f>
        <v>0</v>
      </c>
      <c r="BO639" s="1346"/>
      <c r="BP639" s="1346"/>
      <c r="BQ639" s="1346"/>
      <c r="BR639" s="1347"/>
      <c r="BS639" s="1344">
        <f>IF(J775="1 Bedroom",O775,0)</f>
        <v>0</v>
      </c>
      <c r="BT639" s="1344"/>
      <c r="BU639" s="1344"/>
      <c r="BV639" s="1344"/>
      <c r="BW639" s="1344"/>
      <c r="BX639" s="1344">
        <f>IF(J775="2 Bedrooms",O775,0)</f>
        <v>0</v>
      </c>
      <c r="BY639" s="1344"/>
      <c r="BZ639" s="1344"/>
      <c r="CA639" s="1344"/>
      <c r="CB639" s="1344"/>
      <c r="CC639" s="1344">
        <f>IF(J775="3 Bedrooms",O775,0)</f>
        <v>0</v>
      </c>
      <c r="CD639" s="1344"/>
      <c r="CE639" s="1344"/>
      <c r="CF639" s="1344"/>
      <c r="CG639" s="1344"/>
      <c r="CH639" s="1344">
        <f>IF(J775="4 Bedrooms",O775,0)</f>
        <v>0</v>
      </c>
      <c r="CI639" s="1344"/>
      <c r="CJ639" s="1344"/>
      <c r="CK639" s="1344"/>
      <c r="CL639" s="1344"/>
      <c r="CM639" s="1344">
        <f>IF(J775="5 Bedrooms",O775,0)</f>
        <v>0</v>
      </c>
      <c r="CN639" s="1344"/>
      <c r="CO639" s="1344"/>
      <c r="CP639" s="1344"/>
      <c r="CQ639" s="1344"/>
      <c r="CR639" s="278"/>
      <c r="CV639" s="3"/>
      <c r="CW639" s="3"/>
      <c r="CX639" s="3"/>
      <c r="CY639" s="3"/>
      <c r="CZ639" s="3"/>
      <c r="DA639" s="3"/>
      <c r="DB639" s="3"/>
      <c r="DC639" s="3"/>
      <c r="DD639" s="3"/>
      <c r="DE639" s="3"/>
      <c r="DF639" s="3"/>
      <c r="DX639" s="1307" t="e">
        <f t="shared" si="29"/>
        <v>#VALUE!</v>
      </c>
      <c r="DY639" s="1307"/>
      <c r="DZ639" s="1307"/>
      <c r="EA639" s="1307"/>
      <c r="EB639" s="1307"/>
      <c r="EC639" s="1307" t="e">
        <f t="shared" si="24"/>
        <v>#VALUE!</v>
      </c>
      <c r="ED639" s="1307"/>
      <c r="EE639" s="1307"/>
      <c r="EF639" s="1307"/>
      <c r="EG639" s="1307"/>
      <c r="EH639" s="1307" t="e">
        <f t="shared" si="25"/>
        <v>#VALUE!</v>
      </c>
      <c r="EI639" s="1307"/>
      <c r="EJ639" s="1307"/>
      <c r="EK639" s="1307"/>
      <c r="EL639" s="1307"/>
      <c r="EM639" s="1307" t="e">
        <f t="shared" si="26"/>
        <v>#VALUE!</v>
      </c>
      <c r="EN639" s="1307"/>
      <c r="EO639" s="1307"/>
      <c r="EP639" s="1307"/>
      <c r="EQ639" s="1307"/>
      <c r="ER639" s="1307" t="e">
        <f t="shared" si="27"/>
        <v>#VALUE!</v>
      </c>
      <c r="ES639" s="1307"/>
      <c r="ET639" s="1307"/>
      <c r="EU639" s="1307"/>
      <c r="EV639" s="1307"/>
      <c r="EW639" s="1307" t="e">
        <f t="shared" si="28"/>
        <v>#VALUE!</v>
      </c>
      <c r="EX639" s="1307"/>
      <c r="EY639" s="1307"/>
      <c r="EZ639" s="1307"/>
      <c r="FA639" s="1307"/>
    </row>
    <row r="640" spans="2:157" ht="13.2" customHeight="1">
      <c r="B640" s="1555" t="s">
        <v>1519</v>
      </c>
      <c r="C640" s="1556"/>
      <c r="D640" s="1556"/>
      <c r="E640" s="1556"/>
      <c r="F640" s="1556"/>
      <c r="G640" s="1556"/>
      <c r="H640" s="1556"/>
      <c r="I640" s="1556"/>
      <c r="J640" s="1556"/>
      <c r="K640" s="1556"/>
      <c r="L640" s="1556"/>
      <c r="M640" s="1556"/>
      <c r="N640" s="1556"/>
      <c r="O640" s="1556"/>
      <c r="P640" s="1556"/>
      <c r="Q640" s="1556"/>
      <c r="R640" s="1556"/>
      <c r="S640" s="1556"/>
      <c r="T640" s="1556"/>
      <c r="U640" s="1556"/>
      <c r="V640" s="1556"/>
      <c r="W640" s="1556"/>
      <c r="X640" s="1556"/>
      <c r="Y640" s="1556"/>
      <c r="Z640" s="1556"/>
      <c r="AA640" s="1556"/>
      <c r="AB640" s="1556"/>
      <c r="AC640" s="1556"/>
      <c r="AD640" s="1556"/>
      <c r="AE640" s="1556"/>
      <c r="AF640" s="1556"/>
      <c r="AG640" s="1556"/>
      <c r="AH640" s="1556"/>
      <c r="AI640" s="1556"/>
      <c r="AJ640" s="1556"/>
      <c r="AK640" s="1556"/>
      <c r="AL640" s="1556"/>
      <c r="AM640" s="1556"/>
      <c r="AN640" s="1557"/>
      <c r="AO640" s="1533">
        <v>43831138</v>
      </c>
      <c r="AP640" s="1534"/>
      <c r="AQ640" s="1534"/>
      <c r="AR640" s="1534"/>
      <c r="AS640" s="1535"/>
      <c r="AV640" s="3"/>
      <c r="AW640" s="3"/>
      <c r="AX640" s="3"/>
      <c r="AY640" s="3"/>
      <c r="AZ640" s="3"/>
      <c r="BA640" s="3"/>
      <c r="BB640" s="3"/>
      <c r="BC640" s="3"/>
      <c r="BD640" s="3"/>
      <c r="BE640" s="3"/>
      <c r="BF640" s="3"/>
      <c r="BG640" s="3"/>
      <c r="BH640" s="3"/>
      <c r="BI640" s="3"/>
      <c r="BJ640" s="3"/>
      <c r="BK640" s="3"/>
      <c r="BL640" s="3"/>
      <c r="BM640" s="3"/>
      <c r="BN640" s="1345">
        <f>IF(J776="SRO/Studio",O776,0)</f>
        <v>0</v>
      </c>
      <c r="BO640" s="1346"/>
      <c r="BP640" s="1346"/>
      <c r="BQ640" s="1346"/>
      <c r="BR640" s="1347"/>
      <c r="BS640" s="1344">
        <f>IF(J776="1 Bedroom",O776,0)</f>
        <v>0</v>
      </c>
      <c r="BT640" s="1344"/>
      <c r="BU640" s="1344"/>
      <c r="BV640" s="1344"/>
      <c r="BW640" s="1344"/>
      <c r="BX640" s="1344">
        <f>IF(J776="2 Bedrooms",O776,0)</f>
        <v>0</v>
      </c>
      <c r="BY640" s="1344"/>
      <c r="BZ640" s="1344"/>
      <c r="CA640" s="1344"/>
      <c r="CB640" s="1344"/>
      <c r="CC640" s="1344">
        <f>IF(J776="3 Bedrooms",O776,0)</f>
        <v>0</v>
      </c>
      <c r="CD640" s="1344"/>
      <c r="CE640" s="1344"/>
      <c r="CF640" s="1344"/>
      <c r="CG640" s="1344"/>
      <c r="CH640" s="1344">
        <f>IF(J776="4 Bedrooms",O776,0)</f>
        <v>0</v>
      </c>
      <c r="CI640" s="1344"/>
      <c r="CJ640" s="1344"/>
      <c r="CK640" s="1344"/>
      <c r="CL640" s="1344"/>
      <c r="CM640" s="1344">
        <f>IF(J776="5 Bedrooms",O776,0)</f>
        <v>0</v>
      </c>
      <c r="CN640" s="1344"/>
      <c r="CO640" s="1344"/>
      <c r="CP640" s="1344"/>
      <c r="CQ640" s="1344"/>
      <c r="CV640" s="3"/>
      <c r="CW640" s="3"/>
      <c r="CX640" s="3"/>
      <c r="CY640" s="3"/>
      <c r="CZ640" s="3"/>
      <c r="DA640" s="3"/>
      <c r="DB640" s="3"/>
      <c r="DC640" s="3"/>
      <c r="DD640" s="3"/>
      <c r="DE640" s="3"/>
      <c r="DF640" s="3"/>
      <c r="DX640" s="1307" t="e">
        <f t="shared" si="29"/>
        <v>#VALUE!</v>
      </c>
      <c r="DY640" s="1307"/>
      <c r="DZ640" s="1307"/>
      <c r="EA640" s="1307"/>
      <c r="EB640" s="1307"/>
      <c r="EC640" s="1307" t="e">
        <f t="shared" si="24"/>
        <v>#VALUE!</v>
      </c>
      <c r="ED640" s="1307"/>
      <c r="EE640" s="1307"/>
      <c r="EF640" s="1307"/>
      <c r="EG640" s="1307"/>
      <c r="EH640" s="1307" t="e">
        <f t="shared" si="25"/>
        <v>#VALUE!</v>
      </c>
      <c r="EI640" s="1307"/>
      <c r="EJ640" s="1307"/>
      <c r="EK640" s="1307"/>
      <c r="EL640" s="1307"/>
      <c r="EM640" s="1307" t="e">
        <f t="shared" si="26"/>
        <v>#VALUE!</v>
      </c>
      <c r="EN640" s="1307"/>
      <c r="EO640" s="1307"/>
      <c r="EP640" s="1307"/>
      <c r="EQ640" s="1307"/>
      <c r="ER640" s="1307" t="e">
        <f t="shared" si="27"/>
        <v>#VALUE!</v>
      </c>
      <c r="ES640" s="1307"/>
      <c r="ET640" s="1307"/>
      <c r="EU640" s="1307"/>
      <c r="EV640" s="1307"/>
      <c r="EW640" s="1307" t="e">
        <f t="shared" si="28"/>
        <v>#VALUE!</v>
      </c>
      <c r="EX640" s="1307"/>
      <c r="EY640" s="1307"/>
      <c r="EZ640" s="1307"/>
      <c r="FA640" s="1307"/>
    </row>
    <row r="641" spans="1:157" ht="13.2" customHeight="1">
      <c r="B641" s="1790" t="s">
        <v>1520</v>
      </c>
      <c r="C641" s="1652"/>
      <c r="D641" s="1652"/>
      <c r="E641" s="1652"/>
      <c r="F641" s="1652"/>
      <c r="G641" s="1652"/>
      <c r="H641" s="1652"/>
      <c r="I641" s="1652"/>
      <c r="J641" s="1652"/>
      <c r="K641" s="1652"/>
      <c r="L641" s="1652"/>
      <c r="M641" s="1652"/>
      <c r="N641" s="1652"/>
      <c r="O641" s="1652"/>
      <c r="P641" s="1652"/>
      <c r="Q641" s="1652"/>
      <c r="R641" s="1652"/>
      <c r="S641" s="1652"/>
      <c r="T641" s="1652"/>
      <c r="U641" s="1652"/>
      <c r="V641" s="1652"/>
      <c r="W641" s="1652"/>
      <c r="X641" s="1652"/>
      <c r="Y641" s="1652"/>
      <c r="Z641" s="1652"/>
      <c r="AA641" s="1652"/>
      <c r="AB641" s="1652"/>
      <c r="AC641" s="1652"/>
      <c r="AD641" s="1652"/>
      <c r="AE641" s="1652"/>
      <c r="AF641" s="1652"/>
      <c r="AG641" s="1652"/>
      <c r="AH641" s="1652"/>
      <c r="AI641" s="1652"/>
      <c r="AJ641" s="1652"/>
      <c r="AK641" s="1652"/>
      <c r="AL641" s="1652"/>
      <c r="AM641" s="1652"/>
      <c r="AN641" s="1791"/>
      <c r="AO641" s="1530">
        <f>AO639+AO640</f>
        <v>73286134</v>
      </c>
      <c r="AP641" s="1531"/>
      <c r="AQ641" s="1531"/>
      <c r="AR641" s="1531"/>
      <c r="AS641" s="1532"/>
      <c r="AV641" s="3"/>
      <c r="AW641" s="3"/>
      <c r="AX641" s="3"/>
      <c r="AY641" s="3"/>
      <c r="AZ641" s="3"/>
      <c r="BA641" s="3"/>
      <c r="BB641" s="3"/>
      <c r="BC641" s="3"/>
      <c r="BD641" s="3"/>
      <c r="BE641" s="3"/>
      <c r="BF641" s="3"/>
      <c r="BG641" s="3"/>
      <c r="BH641" s="3"/>
      <c r="BI641" s="3"/>
      <c r="BJ641" s="3"/>
      <c r="BK641" s="3"/>
      <c r="BL641" s="3"/>
      <c r="BM641" s="3"/>
      <c r="BN641" s="1339">
        <f>SUM(BN637:BR640)</f>
        <v>0</v>
      </c>
      <c r="BO641" s="1340"/>
      <c r="BP641" s="1340"/>
      <c r="BQ641" s="1340"/>
      <c r="BR641" s="1341"/>
      <c r="BS641" s="1339">
        <f>SUM(BS637:BW640)</f>
        <v>0</v>
      </c>
      <c r="BT641" s="1340"/>
      <c r="BU641" s="1340"/>
      <c r="BV641" s="1340"/>
      <c r="BW641" s="1341"/>
      <c r="BX641" s="1339">
        <f>SUM(BX637:CB640)</f>
        <v>1</v>
      </c>
      <c r="BY641" s="1340"/>
      <c r="BZ641" s="1340"/>
      <c r="CA641" s="1340"/>
      <c r="CB641" s="1341"/>
      <c r="CC641" s="1339">
        <f>SUM(CC637:CG640)</f>
        <v>0</v>
      </c>
      <c r="CD641" s="1340"/>
      <c r="CE641" s="1340"/>
      <c r="CF641" s="1340"/>
      <c r="CG641" s="1341"/>
      <c r="CH641" s="1339">
        <f>SUM(CH637:CL640)</f>
        <v>0</v>
      </c>
      <c r="CI641" s="1340"/>
      <c r="CJ641" s="1340"/>
      <c r="CK641" s="1340"/>
      <c r="CL641" s="1341"/>
      <c r="CM641" s="1339">
        <f>SUM(CM637:CQ640)</f>
        <v>0</v>
      </c>
      <c r="CN641" s="1340"/>
      <c r="CO641" s="1340"/>
      <c r="CP641" s="1340"/>
      <c r="CQ641" s="1341"/>
      <c r="CS641" s="784">
        <f>BN641+BS641+BX641+CC641+CH641+CM641</f>
        <v>1</v>
      </c>
      <c r="CT641" s="50" t="s">
        <v>1521</v>
      </c>
      <c r="CU641" s="3"/>
      <c r="CV641" s="3"/>
      <c r="CW641" s="3"/>
      <c r="CX641" s="3"/>
      <c r="CY641" s="3"/>
      <c r="CZ641" s="3"/>
      <c r="DA641" s="3"/>
      <c r="DB641" s="3"/>
      <c r="DC641" s="3"/>
      <c r="DD641" s="3"/>
      <c r="DE641" s="3"/>
      <c r="DF641" s="3"/>
      <c r="DX641" s="1307" t="e">
        <f t="shared" si="29"/>
        <v>#VALUE!</v>
      </c>
      <c r="DY641" s="1307"/>
      <c r="DZ641" s="1307"/>
      <c r="EA641" s="1307"/>
      <c r="EB641" s="1307"/>
      <c r="EC641" s="1307" t="e">
        <f t="shared" si="24"/>
        <v>#VALUE!</v>
      </c>
      <c r="ED641" s="1307"/>
      <c r="EE641" s="1307"/>
      <c r="EF641" s="1307"/>
      <c r="EG641" s="1307"/>
      <c r="EH641" s="1307" t="e">
        <f t="shared" si="25"/>
        <v>#VALUE!</v>
      </c>
      <c r="EI641" s="1307"/>
      <c r="EJ641" s="1307"/>
      <c r="EK641" s="1307"/>
      <c r="EL641" s="1307"/>
      <c r="EM641" s="1307" t="e">
        <f t="shared" si="26"/>
        <v>#VALUE!</v>
      </c>
      <c r="EN641" s="1307"/>
      <c r="EO641" s="1307"/>
      <c r="EP641" s="1307"/>
      <c r="EQ641" s="1307"/>
      <c r="ER641" s="1307" t="e">
        <f t="shared" si="27"/>
        <v>#VALUE!</v>
      </c>
      <c r="ES641" s="1307"/>
      <c r="ET641" s="1307"/>
      <c r="EU641" s="1307"/>
      <c r="EV641" s="1307"/>
      <c r="EW641" s="1307" t="e">
        <f t="shared" si="28"/>
        <v>#VALUE!</v>
      </c>
      <c r="EX641" s="1307"/>
      <c r="EY641" s="1307"/>
      <c r="EZ641" s="1307"/>
      <c r="FA641" s="1307"/>
    </row>
    <row r="642" spans="1:157" ht="13.2" customHeight="1">
      <c r="B642" s="436"/>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4">
        <f>BN641*1</f>
        <v>0</v>
      </c>
      <c r="BS642" s="3"/>
      <c r="BT642" s="3"/>
      <c r="BU642" s="3"/>
      <c r="BV642" s="3"/>
      <c r="BW642" s="784">
        <f>BS641*1</f>
        <v>0</v>
      </c>
      <c r="BX642" s="3"/>
      <c r="BY642" s="3"/>
      <c r="BZ642" s="3"/>
      <c r="CA642" s="3"/>
      <c r="CB642" s="784">
        <f>BX641*2</f>
        <v>2</v>
      </c>
      <c r="CC642" s="3"/>
      <c r="CD642" s="3"/>
      <c r="CE642" s="3"/>
      <c r="CF642" s="3"/>
      <c r="CG642" s="784">
        <f>CC641*3</f>
        <v>0</v>
      </c>
      <c r="CH642" s="3"/>
      <c r="CI642" s="3"/>
      <c r="CJ642" s="3"/>
      <c r="CK642" s="3"/>
      <c r="CL642" s="784">
        <f>CH641*4</f>
        <v>0</v>
      </c>
      <c r="CM642" s="3"/>
      <c r="CN642" s="3"/>
      <c r="CO642" s="3"/>
      <c r="CP642" s="3"/>
      <c r="CQ642" s="784">
        <f>CM641*5</f>
        <v>0</v>
      </c>
      <c r="CS642" s="784">
        <f>BR642+BW642+CB642+CG642+CL642+CQ642</f>
        <v>2</v>
      </c>
      <c r="CT642" s="50" t="s">
        <v>1522</v>
      </c>
      <c r="CU642" s="3"/>
      <c r="CV642" s="3"/>
      <c r="CW642" s="3"/>
      <c r="CX642" s="3"/>
      <c r="CY642" s="3"/>
      <c r="CZ642" s="3"/>
      <c r="DA642" s="3"/>
      <c r="DB642" s="3"/>
      <c r="DC642" s="3"/>
      <c r="DD642" s="3"/>
      <c r="DE642" s="3"/>
      <c r="DF642" s="3"/>
      <c r="DX642" s="1307" t="e">
        <f t="shared" si="29"/>
        <v>#VALUE!</v>
      </c>
      <c r="DY642" s="1307"/>
      <c r="DZ642" s="1307"/>
      <c r="EA642" s="1307"/>
      <c r="EB642" s="1307"/>
      <c r="EC642" s="1307" t="e">
        <f t="shared" si="24"/>
        <v>#VALUE!</v>
      </c>
      <c r="ED642" s="1307"/>
      <c r="EE642" s="1307"/>
      <c r="EF642" s="1307"/>
      <c r="EG642" s="1307"/>
      <c r="EH642" s="1307" t="e">
        <f t="shared" si="25"/>
        <v>#VALUE!</v>
      </c>
      <c r="EI642" s="1307"/>
      <c r="EJ642" s="1307"/>
      <c r="EK642" s="1307"/>
      <c r="EL642" s="1307"/>
      <c r="EM642" s="1307" t="e">
        <f t="shared" si="26"/>
        <v>#VALUE!</v>
      </c>
      <c r="EN642" s="1307"/>
      <c r="EO642" s="1307"/>
      <c r="EP642" s="1307"/>
      <c r="EQ642" s="1307"/>
      <c r="ER642" s="1307" t="e">
        <f t="shared" si="27"/>
        <v>#VALUE!</v>
      </c>
      <c r="ES642" s="1307"/>
      <c r="ET642" s="1307"/>
      <c r="EU642" s="1307"/>
      <c r="EV642" s="1307"/>
      <c r="EW642" s="1307" t="e">
        <f t="shared" si="28"/>
        <v>#VALUE!</v>
      </c>
      <c r="EX642" s="1307"/>
      <c r="EY642" s="1307"/>
      <c r="EZ642" s="1307"/>
      <c r="FA642" s="1307"/>
    </row>
    <row r="643" spans="1:157" ht="13.2" customHeight="1">
      <c r="A643" s="48" t="s">
        <v>17</v>
      </c>
      <c r="B643" t="s">
        <v>1477</v>
      </c>
      <c r="G643" s="1449" t="str">
        <f>C627</f>
        <v>Citibank</v>
      </c>
      <c r="H643" s="1449"/>
      <c r="I643" s="1449"/>
      <c r="J643" s="1449"/>
      <c r="K643" s="1449"/>
      <c r="L643" s="1449"/>
      <c r="M643" s="1449"/>
      <c r="N643" s="1449"/>
      <c r="O643" s="1449"/>
      <c r="P643" s="1449"/>
      <c r="Q643" s="1449"/>
      <c r="R643" s="1449"/>
      <c r="S643" s="8"/>
      <c r="T643" s="48" t="s">
        <v>30</v>
      </c>
      <c r="U643" t="s">
        <v>1477</v>
      </c>
      <c r="Z643" s="1449" t="str">
        <f>C628</f>
        <v>VA Capital Contribution</v>
      </c>
      <c r="AA643" s="1449"/>
      <c r="AB643" s="1449"/>
      <c r="AC643" s="1449"/>
      <c r="AD643" s="1449"/>
      <c r="AE643" s="1449"/>
      <c r="AF643" s="1449"/>
      <c r="AG643" s="1449"/>
      <c r="AH643" s="1449"/>
      <c r="AI643" s="1449"/>
      <c r="AJ643" s="1449"/>
      <c r="AK643" s="1449"/>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07" t="e">
        <f t="shared" si="29"/>
        <v>#VALUE!</v>
      </c>
      <c r="DY643" s="1307"/>
      <c r="DZ643" s="1307"/>
      <c r="EA643" s="1307"/>
      <c r="EB643" s="1307"/>
      <c r="EC643" s="1307" t="e">
        <f t="shared" si="24"/>
        <v>#VALUE!</v>
      </c>
      <c r="ED643" s="1307"/>
      <c r="EE643" s="1307"/>
      <c r="EF643" s="1307"/>
      <c r="EG643" s="1307"/>
      <c r="EH643" s="1307" t="e">
        <f t="shared" si="25"/>
        <v>#VALUE!</v>
      </c>
      <c r="EI643" s="1307"/>
      <c r="EJ643" s="1307"/>
      <c r="EK643" s="1307"/>
      <c r="EL643" s="1307"/>
      <c r="EM643" s="1307" t="e">
        <f t="shared" si="26"/>
        <v>#VALUE!</v>
      </c>
      <c r="EN643" s="1307"/>
      <c r="EO643" s="1307"/>
      <c r="EP643" s="1307"/>
      <c r="EQ643" s="1307"/>
      <c r="ER643" s="1307" t="e">
        <f t="shared" si="27"/>
        <v>#VALUE!</v>
      </c>
      <c r="ES643" s="1307"/>
      <c r="ET643" s="1307"/>
      <c r="EU643" s="1307"/>
      <c r="EV643" s="1307"/>
      <c r="EW643" s="1307" t="e">
        <f t="shared" si="28"/>
        <v>#VALUE!</v>
      </c>
      <c r="EX643" s="1307"/>
      <c r="EY643" s="1307"/>
      <c r="EZ643" s="1307"/>
      <c r="FA643" s="1307"/>
    </row>
    <row r="644" spans="1:157" ht="13.2" customHeight="1">
      <c r="A644" s="20"/>
      <c r="B644" t="s">
        <v>1109</v>
      </c>
      <c r="G644" s="1381" t="s">
        <v>1478</v>
      </c>
      <c r="H644" s="1381"/>
      <c r="I644" s="1381"/>
      <c r="J644" s="1381"/>
      <c r="K644" s="1381"/>
      <c r="L644" s="1381"/>
      <c r="M644" s="1381"/>
      <c r="N644" s="1381"/>
      <c r="O644" s="1381"/>
      <c r="P644" s="1381"/>
      <c r="Q644" s="1381"/>
      <c r="R644" s="1381"/>
      <c r="S644" s="8"/>
      <c r="T644" s="20"/>
      <c r="U644" t="s">
        <v>1109</v>
      </c>
      <c r="Z644" s="1381" t="s">
        <v>1523</v>
      </c>
      <c r="AA644" s="1381"/>
      <c r="AB644" s="1381"/>
      <c r="AC644" s="1381"/>
      <c r="AD644" s="1381"/>
      <c r="AE644" s="1381"/>
      <c r="AF644" s="1381"/>
      <c r="AG644" s="1381"/>
      <c r="AH644" s="1381"/>
      <c r="AI644" s="1381"/>
      <c r="AJ644" s="1381"/>
      <c r="AK644" s="1381"/>
      <c r="AV644" s="3"/>
      <c r="AW644" s="3"/>
      <c r="AX644" s="3"/>
      <c r="AY644" s="3"/>
      <c r="AZ644" s="3"/>
      <c r="BA644" s="3"/>
      <c r="BB644" s="3"/>
      <c r="BC644" s="3"/>
      <c r="BD644" s="3"/>
      <c r="BE644" s="3"/>
      <c r="BF644" s="3"/>
      <c r="BG644" s="3"/>
      <c r="BH644" s="3"/>
      <c r="BI644" s="3"/>
      <c r="BJ644" s="3"/>
      <c r="BK644" s="3"/>
      <c r="BL644" s="3"/>
      <c r="BM644" s="3"/>
      <c r="BN644" s="3" t="s">
        <v>1524</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1525</v>
      </c>
      <c r="CT644" s="3"/>
      <c r="CU644" s="3"/>
      <c r="CV644" s="3"/>
      <c r="CW644" s="3"/>
      <c r="CX644" s="3"/>
      <c r="CY644" s="3"/>
      <c r="CZ644" s="3"/>
      <c r="DA644" s="3"/>
      <c r="DB644" s="3"/>
      <c r="DC644" s="3"/>
      <c r="DD644" s="3"/>
      <c r="DE644" s="3"/>
      <c r="DF644" s="3"/>
      <c r="DX644" s="1307" t="e">
        <f t="shared" si="29"/>
        <v>#VALUE!</v>
      </c>
      <c r="DY644" s="1307"/>
      <c r="DZ644" s="1307"/>
      <c r="EA644" s="1307"/>
      <c r="EB644" s="1307"/>
      <c r="EC644" s="1307" t="e">
        <f t="shared" si="24"/>
        <v>#VALUE!</v>
      </c>
      <c r="ED644" s="1307"/>
      <c r="EE644" s="1307"/>
      <c r="EF644" s="1307"/>
      <c r="EG644" s="1307"/>
      <c r="EH644" s="1307" t="e">
        <f t="shared" si="25"/>
        <v>#VALUE!</v>
      </c>
      <c r="EI644" s="1307"/>
      <c r="EJ644" s="1307"/>
      <c r="EK644" s="1307"/>
      <c r="EL644" s="1307"/>
      <c r="EM644" s="1307" t="e">
        <f t="shared" si="26"/>
        <v>#VALUE!</v>
      </c>
      <c r="EN644" s="1307"/>
      <c r="EO644" s="1307"/>
      <c r="EP644" s="1307"/>
      <c r="EQ644" s="1307"/>
      <c r="ER644" s="1307" t="e">
        <f t="shared" si="27"/>
        <v>#VALUE!</v>
      </c>
      <c r="ES644" s="1307"/>
      <c r="ET644" s="1307"/>
      <c r="EU644" s="1307"/>
      <c r="EV644" s="1307"/>
      <c r="EW644" s="1307" t="e">
        <f t="shared" si="28"/>
        <v>#VALUE!</v>
      </c>
      <c r="EX644" s="1307"/>
      <c r="EY644" s="1307"/>
      <c r="EZ644" s="1307"/>
      <c r="FA644" s="1307"/>
    </row>
    <row r="645" spans="1:157" ht="13.2" customHeight="1">
      <c r="A645" s="20"/>
      <c r="B645" t="s">
        <v>979</v>
      </c>
      <c r="G645" s="1381" t="s">
        <v>1186</v>
      </c>
      <c r="H645" s="1381"/>
      <c r="I645" s="1381"/>
      <c r="J645" s="1381"/>
      <c r="K645" s="1381"/>
      <c r="L645" s="1381"/>
      <c r="M645" s="1381"/>
      <c r="N645" s="1381"/>
      <c r="O645" s="1381"/>
      <c r="P645" s="1381"/>
      <c r="Q645" s="1381"/>
      <c r="R645" s="1381"/>
      <c r="T645" s="20"/>
      <c r="U645" t="s">
        <v>979</v>
      </c>
      <c r="Z645" s="1329" t="s">
        <v>1526</v>
      </c>
      <c r="AA645" s="1329"/>
      <c r="AB645" s="1329"/>
      <c r="AC645" s="1329"/>
      <c r="AD645" s="1329"/>
      <c r="AE645" s="1329"/>
      <c r="AF645" s="1329"/>
      <c r="AG645" s="1329"/>
      <c r="AH645" s="1329"/>
      <c r="AI645" s="1329"/>
      <c r="AJ645" s="1329"/>
      <c r="AK645" s="1329"/>
      <c r="AV645" s="3"/>
      <c r="AW645" s="3"/>
      <c r="AX645" s="3"/>
      <c r="AY645" s="3"/>
      <c r="AZ645" s="3"/>
      <c r="BA645" s="3"/>
      <c r="BB645" s="3"/>
      <c r="BC645" s="3"/>
      <c r="BD645" s="3"/>
      <c r="BE645" s="3"/>
      <c r="BF645" s="3"/>
      <c r="BG645" s="3"/>
      <c r="BH645" s="3"/>
      <c r="BI645" s="3"/>
      <c r="BJ645" s="3"/>
      <c r="BK645" s="3"/>
      <c r="BL645" s="3"/>
      <c r="BM645" s="3"/>
      <c r="BN645" s="1345">
        <f t="shared" ref="BN645:BN654" si="30">IF(J787="SRO/Studio",O787,0)</f>
        <v>0</v>
      </c>
      <c r="BO645" s="1346"/>
      <c r="BP645" s="1346"/>
      <c r="BQ645" s="1346"/>
      <c r="BR645" s="1347"/>
      <c r="BS645" s="1344">
        <f t="shared" ref="BS645:BS654" si="31">IF(J787="1 Bedroom",O787,0)</f>
        <v>0</v>
      </c>
      <c r="BT645" s="1344"/>
      <c r="BU645" s="1344"/>
      <c r="BV645" s="1344"/>
      <c r="BW645" s="1344"/>
      <c r="BX645" s="1344">
        <f t="shared" ref="BX645:BX654" si="32">IF(J787="2 Bedrooms",O787,0)</f>
        <v>0</v>
      </c>
      <c r="BY645" s="1344"/>
      <c r="BZ645" s="1344"/>
      <c r="CA645" s="1344"/>
      <c r="CB645" s="1344"/>
      <c r="CC645" s="1344">
        <f t="shared" ref="CC645:CC654" si="33">IF(J787="3 Bedrooms",O787,0)</f>
        <v>0</v>
      </c>
      <c r="CD645" s="1344"/>
      <c r="CE645" s="1344"/>
      <c r="CF645" s="1344"/>
      <c r="CG645" s="1344"/>
      <c r="CH645" s="1344">
        <f t="shared" ref="CH645:CH654" si="34">IF(J787="4 Bedrooms",O787,0)</f>
        <v>0</v>
      </c>
      <c r="CI645" s="1344"/>
      <c r="CJ645" s="1344"/>
      <c r="CK645" s="1344"/>
      <c r="CL645" s="1344"/>
      <c r="CM645" s="1344">
        <f t="shared" ref="CM645:CM654" si="35">IF(J787="5 Bedrooms",O787,0)</f>
        <v>0</v>
      </c>
      <c r="CN645" s="1344"/>
      <c r="CO645" s="1344"/>
      <c r="CP645" s="1344"/>
      <c r="CQ645" s="1344"/>
      <c r="CR645" s="278"/>
      <c r="CS645" s="1345">
        <f t="shared" ref="CS645:CS654" si="36">IF(AND(BN645&gt;=1,AH787&gt;=0.1,AH787&lt;=1),O787,0)</f>
        <v>0</v>
      </c>
      <c r="CT645" s="1346"/>
      <c r="CU645" s="1346"/>
      <c r="CV645" s="1346"/>
      <c r="CW645" s="1347"/>
      <c r="CX645" s="1345">
        <f t="shared" ref="CX645:CX654" si="37">IF(AND(BS645&gt;=1,AH787&gt;=0.1,AH787&lt;=1),O787,0)</f>
        <v>0</v>
      </c>
      <c r="CY645" s="1346"/>
      <c r="CZ645" s="1346"/>
      <c r="DA645" s="1346"/>
      <c r="DB645" s="1347"/>
      <c r="DC645" s="1345">
        <f t="shared" ref="DC645:DC654" si="38">IF(AND(BX645&gt;=1,AH787&gt;=0.1,AH787&lt;=1),O787,0)</f>
        <v>0</v>
      </c>
      <c r="DD645" s="1346"/>
      <c r="DE645" s="1346"/>
      <c r="DF645" s="1346"/>
      <c r="DG645" s="1347"/>
      <c r="DH645" s="1345">
        <f t="shared" ref="DH645:DH654" si="39">IF(AND(CC645&gt;=1,AH787&gt;=0.1,AH787&lt;=1),O787,0)</f>
        <v>0</v>
      </c>
      <c r="DI645" s="1346"/>
      <c r="DJ645" s="1346"/>
      <c r="DK645" s="1346"/>
      <c r="DL645" s="1347"/>
      <c r="DM645" s="1345">
        <f t="shared" ref="DM645:DM654" si="40">IF(AND(CH645&gt;=1,AH787&gt;=0.1,AH787&lt;=1),O787,0)</f>
        <v>0</v>
      </c>
      <c r="DN645" s="1346"/>
      <c r="DO645" s="1346"/>
      <c r="DP645" s="1346"/>
      <c r="DQ645" s="1347"/>
      <c r="DR645" s="1345">
        <f t="shared" ref="DR645:DR654" si="41">IF(AND(CM645&gt;=1,AH787&gt;=0.1,AH787&lt;=1),O787,0)</f>
        <v>0</v>
      </c>
      <c r="DS645" s="1346"/>
      <c r="DT645" s="1346"/>
      <c r="DU645" s="1346"/>
      <c r="DV645" s="1347"/>
      <c r="DX645" s="1307" t="e">
        <f t="shared" si="29"/>
        <v>#VALUE!</v>
      </c>
      <c r="DY645" s="1307"/>
      <c r="DZ645" s="1307"/>
      <c r="EA645" s="1307"/>
      <c r="EB645" s="1307"/>
      <c r="EC645" s="1307" t="e">
        <f t="shared" si="24"/>
        <v>#VALUE!</v>
      </c>
      <c r="ED645" s="1307"/>
      <c r="EE645" s="1307"/>
      <c r="EF645" s="1307"/>
      <c r="EG645" s="1307"/>
      <c r="EH645" s="1307" t="e">
        <f t="shared" si="25"/>
        <v>#VALUE!</v>
      </c>
      <c r="EI645" s="1307"/>
      <c r="EJ645" s="1307"/>
      <c r="EK645" s="1307"/>
      <c r="EL645" s="1307"/>
      <c r="EM645" s="1307" t="e">
        <f t="shared" si="26"/>
        <v>#VALUE!</v>
      </c>
      <c r="EN645" s="1307"/>
      <c r="EO645" s="1307"/>
      <c r="EP645" s="1307"/>
      <c r="EQ645" s="1307"/>
      <c r="ER645" s="1307" t="e">
        <f t="shared" si="27"/>
        <v>#VALUE!</v>
      </c>
      <c r="ES645" s="1307"/>
      <c r="ET645" s="1307"/>
      <c r="EU645" s="1307"/>
      <c r="EV645" s="1307"/>
      <c r="EW645" s="1307" t="e">
        <f t="shared" si="28"/>
        <v>#VALUE!</v>
      </c>
      <c r="EX645" s="1307"/>
      <c r="EY645" s="1307"/>
      <c r="EZ645" s="1307"/>
      <c r="FA645" s="1307"/>
    </row>
    <row r="646" spans="1:157" ht="13.2" customHeight="1">
      <c r="A646" s="20"/>
      <c r="B646" t="s">
        <v>1479</v>
      </c>
      <c r="G646" s="1381" t="s">
        <v>1480</v>
      </c>
      <c r="H646" s="1381"/>
      <c r="I646" s="1381"/>
      <c r="J646" s="1381"/>
      <c r="K646" s="1381"/>
      <c r="L646" s="1381"/>
      <c r="M646" s="1381"/>
      <c r="N646" s="1381"/>
      <c r="O646" s="1381"/>
      <c r="P646" s="1381"/>
      <c r="Q646" s="1381"/>
      <c r="R646" s="1381"/>
      <c r="S646" s="8"/>
      <c r="T646" s="20"/>
      <c r="U646" t="s">
        <v>1479</v>
      </c>
      <c r="Z646" s="1329" t="s">
        <v>1527</v>
      </c>
      <c r="AA646" s="1329"/>
      <c r="AB646" s="1329"/>
      <c r="AC646" s="1329"/>
      <c r="AD646" s="1329"/>
      <c r="AE646" s="1329"/>
      <c r="AF646" s="1329"/>
      <c r="AG646" s="1329"/>
      <c r="AH646" s="1329"/>
      <c r="AI646" s="1329"/>
      <c r="AJ646" s="1329"/>
      <c r="AK646" s="1329"/>
      <c r="AZ646" s="3"/>
      <c r="BA646" s="3"/>
      <c r="BB646" s="3"/>
      <c r="BC646" s="3"/>
      <c r="BD646" s="3"/>
      <c r="BE646" s="3"/>
      <c r="BF646" s="3"/>
      <c r="BG646" s="3"/>
      <c r="BH646" s="3"/>
      <c r="BI646" s="3"/>
      <c r="BJ646" s="3"/>
      <c r="BK646" s="3"/>
      <c r="BL646" s="3"/>
      <c r="BM646" s="3"/>
      <c r="BN646" s="1345">
        <f t="shared" si="30"/>
        <v>0</v>
      </c>
      <c r="BO646" s="1346"/>
      <c r="BP646" s="1346"/>
      <c r="BQ646" s="1346"/>
      <c r="BR646" s="1347"/>
      <c r="BS646" s="1344">
        <f t="shared" si="31"/>
        <v>0</v>
      </c>
      <c r="BT646" s="1344"/>
      <c r="BU646" s="1344"/>
      <c r="BV646" s="1344"/>
      <c r="BW646" s="1344"/>
      <c r="BX646" s="1344">
        <f t="shared" si="32"/>
        <v>0</v>
      </c>
      <c r="BY646" s="1344"/>
      <c r="BZ646" s="1344"/>
      <c r="CA646" s="1344"/>
      <c r="CB646" s="1344"/>
      <c r="CC646" s="1344">
        <f t="shared" si="33"/>
        <v>0</v>
      </c>
      <c r="CD646" s="1344"/>
      <c r="CE646" s="1344"/>
      <c r="CF646" s="1344"/>
      <c r="CG646" s="1344"/>
      <c r="CH646" s="1344">
        <f t="shared" si="34"/>
        <v>0</v>
      </c>
      <c r="CI646" s="1344"/>
      <c r="CJ646" s="1344"/>
      <c r="CK646" s="1344"/>
      <c r="CL646" s="1344"/>
      <c r="CM646" s="1344">
        <f t="shared" si="35"/>
        <v>0</v>
      </c>
      <c r="CN646" s="1344"/>
      <c r="CO646" s="1344"/>
      <c r="CP646" s="1344"/>
      <c r="CQ646" s="1344"/>
      <c r="CR646" s="278"/>
      <c r="CS646" s="1345">
        <f t="shared" si="36"/>
        <v>0</v>
      </c>
      <c r="CT646" s="1346"/>
      <c r="CU646" s="1346"/>
      <c r="CV646" s="1346"/>
      <c r="CW646" s="1347"/>
      <c r="CX646" s="1345">
        <f t="shared" si="37"/>
        <v>0</v>
      </c>
      <c r="CY646" s="1346"/>
      <c r="CZ646" s="1346"/>
      <c r="DA646" s="1346"/>
      <c r="DB646" s="1347"/>
      <c r="DC646" s="1345">
        <f t="shared" si="38"/>
        <v>0</v>
      </c>
      <c r="DD646" s="1346"/>
      <c r="DE646" s="1346"/>
      <c r="DF646" s="1346"/>
      <c r="DG646" s="1347"/>
      <c r="DH646" s="1345">
        <f t="shared" si="39"/>
        <v>0</v>
      </c>
      <c r="DI646" s="1346"/>
      <c r="DJ646" s="1346"/>
      <c r="DK646" s="1346"/>
      <c r="DL646" s="1347"/>
      <c r="DM646" s="1345">
        <f t="shared" si="40"/>
        <v>0</v>
      </c>
      <c r="DN646" s="1346"/>
      <c r="DO646" s="1346"/>
      <c r="DP646" s="1346"/>
      <c r="DQ646" s="1347"/>
      <c r="DR646" s="1345">
        <f t="shared" si="41"/>
        <v>0</v>
      </c>
      <c r="DS646" s="1346"/>
      <c r="DT646" s="1346"/>
      <c r="DU646" s="1346"/>
      <c r="DV646" s="1347"/>
      <c r="DX646" s="1307" t="e">
        <f t="shared" si="29"/>
        <v>#VALUE!</v>
      </c>
      <c r="DY646" s="1307"/>
      <c r="DZ646" s="1307"/>
      <c r="EA646" s="1307"/>
      <c r="EB646" s="1307"/>
      <c r="EC646" s="1307" t="e">
        <f t="shared" si="24"/>
        <v>#VALUE!</v>
      </c>
      <c r="ED646" s="1307"/>
      <c r="EE646" s="1307"/>
      <c r="EF646" s="1307"/>
      <c r="EG646" s="1307"/>
      <c r="EH646" s="1307" t="e">
        <f t="shared" si="25"/>
        <v>#VALUE!</v>
      </c>
      <c r="EI646" s="1307"/>
      <c r="EJ646" s="1307"/>
      <c r="EK646" s="1307"/>
      <c r="EL646" s="1307"/>
      <c r="EM646" s="1307" t="e">
        <f t="shared" si="26"/>
        <v>#VALUE!</v>
      </c>
      <c r="EN646" s="1307"/>
      <c r="EO646" s="1307"/>
      <c r="EP646" s="1307"/>
      <c r="EQ646" s="1307"/>
      <c r="ER646" s="1307" t="e">
        <f t="shared" si="27"/>
        <v>#VALUE!</v>
      </c>
      <c r="ES646" s="1307"/>
      <c r="ET646" s="1307"/>
      <c r="EU646" s="1307"/>
      <c r="EV646" s="1307"/>
      <c r="EW646" s="1307" t="e">
        <f t="shared" si="28"/>
        <v>#VALUE!</v>
      </c>
      <c r="EX646" s="1307"/>
      <c r="EY646" s="1307"/>
      <c r="EZ646" s="1307"/>
      <c r="FA646" s="1307"/>
    </row>
    <row r="647" spans="1:157" ht="13.2" customHeight="1">
      <c r="A647" s="20"/>
      <c r="B647" t="s">
        <v>881</v>
      </c>
      <c r="G647" s="1378" t="s">
        <v>1481</v>
      </c>
      <c r="H647" s="1378"/>
      <c r="I647" s="1378"/>
      <c r="J647" s="1378"/>
      <c r="K647" s="1378"/>
      <c r="L647" s="1378"/>
      <c r="O647" s="948" t="s">
        <v>1117</v>
      </c>
      <c r="P647" s="1349"/>
      <c r="Q647" s="1349"/>
      <c r="R647" s="1349"/>
      <c r="S647" s="10"/>
      <c r="T647" s="20"/>
      <c r="U647" t="s">
        <v>881</v>
      </c>
      <c r="Z647" s="1378" t="s">
        <v>1528</v>
      </c>
      <c r="AA647" s="1378"/>
      <c r="AB647" s="1378"/>
      <c r="AC647" s="1378"/>
      <c r="AD647" s="1378"/>
      <c r="AE647" s="1378"/>
      <c r="AH647" s="948" t="s">
        <v>1117</v>
      </c>
      <c r="AI647" s="1349"/>
      <c r="AJ647" s="1349"/>
      <c r="AK647" s="1349"/>
      <c r="AZ647" s="3"/>
      <c r="BA647" s="3"/>
      <c r="BB647" s="3"/>
      <c r="BC647" s="3"/>
      <c r="BD647" s="3"/>
      <c r="BE647" s="3"/>
      <c r="BF647" s="3"/>
      <c r="BG647" s="3"/>
      <c r="BH647" s="3"/>
      <c r="BI647" s="3"/>
      <c r="BJ647" s="3"/>
      <c r="BK647" s="3"/>
      <c r="BL647" s="3"/>
      <c r="BM647" s="3"/>
      <c r="BN647" s="1345">
        <f t="shared" si="30"/>
        <v>0</v>
      </c>
      <c r="BO647" s="1346"/>
      <c r="BP647" s="1346"/>
      <c r="BQ647" s="1346"/>
      <c r="BR647" s="1347"/>
      <c r="BS647" s="1344">
        <f t="shared" si="31"/>
        <v>0</v>
      </c>
      <c r="BT647" s="1344"/>
      <c r="BU647" s="1344"/>
      <c r="BV647" s="1344"/>
      <c r="BW647" s="1344"/>
      <c r="BX647" s="1344">
        <f t="shared" si="32"/>
        <v>0</v>
      </c>
      <c r="BY647" s="1344"/>
      <c r="BZ647" s="1344"/>
      <c r="CA647" s="1344"/>
      <c r="CB647" s="1344"/>
      <c r="CC647" s="1344">
        <f t="shared" si="33"/>
        <v>0</v>
      </c>
      <c r="CD647" s="1344"/>
      <c r="CE647" s="1344"/>
      <c r="CF647" s="1344"/>
      <c r="CG647" s="1344"/>
      <c r="CH647" s="1344">
        <f t="shared" si="34"/>
        <v>0</v>
      </c>
      <c r="CI647" s="1344"/>
      <c r="CJ647" s="1344"/>
      <c r="CK647" s="1344"/>
      <c r="CL647" s="1344"/>
      <c r="CM647" s="1344">
        <f t="shared" si="35"/>
        <v>0</v>
      </c>
      <c r="CN647" s="1344"/>
      <c r="CO647" s="1344"/>
      <c r="CP647" s="1344"/>
      <c r="CQ647" s="1344"/>
      <c r="CR647" s="278"/>
      <c r="CS647" s="1345">
        <f t="shared" si="36"/>
        <v>0</v>
      </c>
      <c r="CT647" s="1346"/>
      <c r="CU647" s="1346"/>
      <c r="CV647" s="1346"/>
      <c r="CW647" s="1347"/>
      <c r="CX647" s="1345">
        <f t="shared" si="37"/>
        <v>0</v>
      </c>
      <c r="CY647" s="1346"/>
      <c r="CZ647" s="1346"/>
      <c r="DA647" s="1346"/>
      <c r="DB647" s="1347"/>
      <c r="DC647" s="1345">
        <f t="shared" si="38"/>
        <v>0</v>
      </c>
      <c r="DD647" s="1346"/>
      <c r="DE647" s="1346"/>
      <c r="DF647" s="1346"/>
      <c r="DG647" s="1347"/>
      <c r="DH647" s="1345">
        <f t="shared" si="39"/>
        <v>0</v>
      </c>
      <c r="DI647" s="1346"/>
      <c r="DJ647" s="1346"/>
      <c r="DK647" s="1346"/>
      <c r="DL647" s="1347"/>
      <c r="DM647" s="1345">
        <f t="shared" si="40"/>
        <v>0</v>
      </c>
      <c r="DN647" s="1346"/>
      <c r="DO647" s="1346"/>
      <c r="DP647" s="1346"/>
      <c r="DQ647" s="1347"/>
      <c r="DR647" s="1345">
        <f t="shared" si="41"/>
        <v>0</v>
      </c>
      <c r="DS647" s="1346"/>
      <c r="DT647" s="1346"/>
      <c r="DU647" s="1346"/>
      <c r="DV647" s="1347"/>
      <c r="DX647" s="1307" t="e">
        <f t="shared" si="29"/>
        <v>#VALUE!</v>
      </c>
      <c r="DY647" s="1307"/>
      <c r="DZ647" s="1307"/>
      <c r="EA647" s="1307"/>
      <c r="EB647" s="1307"/>
      <c r="EC647" s="1307" t="e">
        <f t="shared" si="24"/>
        <v>#VALUE!</v>
      </c>
      <c r="ED647" s="1307"/>
      <c r="EE647" s="1307"/>
      <c r="EF647" s="1307"/>
      <c r="EG647" s="1307"/>
      <c r="EH647" s="1307" t="e">
        <f t="shared" si="25"/>
        <v>#VALUE!</v>
      </c>
      <c r="EI647" s="1307"/>
      <c r="EJ647" s="1307"/>
      <c r="EK647" s="1307"/>
      <c r="EL647" s="1307"/>
      <c r="EM647" s="1307" t="e">
        <f t="shared" si="26"/>
        <v>#VALUE!</v>
      </c>
      <c r="EN647" s="1307"/>
      <c r="EO647" s="1307"/>
      <c r="EP647" s="1307"/>
      <c r="EQ647" s="1307"/>
      <c r="ER647" s="1307" t="e">
        <f t="shared" si="27"/>
        <v>#VALUE!</v>
      </c>
      <c r="ES647" s="1307"/>
      <c r="ET647" s="1307"/>
      <c r="EU647" s="1307"/>
      <c r="EV647" s="1307"/>
      <c r="EW647" s="1307" t="e">
        <f t="shared" si="28"/>
        <v>#VALUE!</v>
      </c>
      <c r="EX647" s="1307"/>
      <c r="EY647" s="1307"/>
      <c r="EZ647" s="1307"/>
      <c r="FA647" s="1307"/>
    </row>
    <row r="648" spans="1:157" ht="13.2" customHeight="1">
      <c r="A648" s="20"/>
      <c r="B648" t="s">
        <v>1482</v>
      </c>
      <c r="H648" s="1476" t="s">
        <v>1529</v>
      </c>
      <c r="I648" s="1381"/>
      <c r="J648" s="1381"/>
      <c r="K648" s="1381"/>
      <c r="L648" s="1381"/>
      <c r="M648" s="1381"/>
      <c r="N648" s="1381"/>
      <c r="O648" s="1381"/>
      <c r="P648" s="1381"/>
      <c r="Q648" s="1381"/>
      <c r="R648" s="1381"/>
      <c r="S648" s="8"/>
      <c r="T648" s="20"/>
      <c r="U648" t="s">
        <v>1482</v>
      </c>
      <c r="AA648" s="1381" t="s">
        <v>1496</v>
      </c>
      <c r="AB648" s="1381"/>
      <c r="AC648" s="1381"/>
      <c r="AD648" s="1381"/>
      <c r="AE648" s="1381"/>
      <c r="AF648" s="1381"/>
      <c r="AG648" s="1381"/>
      <c r="AH648" s="1381"/>
      <c r="AI648" s="1381"/>
      <c r="AJ648" s="1381"/>
      <c r="AK648" s="1381"/>
      <c r="AZ648" s="3"/>
      <c r="BA648" s="3"/>
      <c r="BB648" s="3"/>
      <c r="BC648" s="3"/>
      <c r="BD648" s="3"/>
      <c r="BE648" s="3"/>
      <c r="BF648" s="3"/>
      <c r="BG648" s="3"/>
      <c r="BH648" s="3"/>
      <c r="BI648" s="3"/>
      <c r="BJ648" s="3"/>
      <c r="BK648" s="3"/>
      <c r="BL648" s="3"/>
      <c r="BM648" s="3"/>
      <c r="BN648" s="1345">
        <f t="shared" si="30"/>
        <v>0</v>
      </c>
      <c r="BO648" s="1346"/>
      <c r="BP648" s="1346"/>
      <c r="BQ648" s="1346"/>
      <c r="BR648" s="1347"/>
      <c r="BS648" s="1344">
        <f t="shared" si="31"/>
        <v>0</v>
      </c>
      <c r="BT648" s="1344"/>
      <c r="BU648" s="1344"/>
      <c r="BV648" s="1344"/>
      <c r="BW648" s="1344"/>
      <c r="BX648" s="1344">
        <f t="shared" si="32"/>
        <v>0</v>
      </c>
      <c r="BY648" s="1344"/>
      <c r="BZ648" s="1344"/>
      <c r="CA648" s="1344"/>
      <c r="CB648" s="1344"/>
      <c r="CC648" s="1344">
        <f t="shared" si="33"/>
        <v>0</v>
      </c>
      <c r="CD648" s="1344"/>
      <c r="CE648" s="1344"/>
      <c r="CF648" s="1344"/>
      <c r="CG648" s="1344"/>
      <c r="CH648" s="1344">
        <f t="shared" si="34"/>
        <v>0</v>
      </c>
      <c r="CI648" s="1344"/>
      <c r="CJ648" s="1344"/>
      <c r="CK648" s="1344"/>
      <c r="CL648" s="1344"/>
      <c r="CM648" s="1344">
        <f t="shared" si="35"/>
        <v>0</v>
      </c>
      <c r="CN648" s="1344"/>
      <c r="CO648" s="1344"/>
      <c r="CP648" s="1344"/>
      <c r="CQ648" s="1344"/>
      <c r="CR648" s="278"/>
      <c r="CS648" s="1345">
        <f t="shared" si="36"/>
        <v>0</v>
      </c>
      <c r="CT648" s="1346"/>
      <c r="CU648" s="1346"/>
      <c r="CV648" s="1346"/>
      <c r="CW648" s="1347"/>
      <c r="CX648" s="1345">
        <f t="shared" si="37"/>
        <v>0</v>
      </c>
      <c r="CY648" s="1346"/>
      <c r="CZ648" s="1346"/>
      <c r="DA648" s="1346"/>
      <c r="DB648" s="1347"/>
      <c r="DC648" s="1345">
        <f t="shared" si="38"/>
        <v>0</v>
      </c>
      <c r="DD648" s="1346"/>
      <c r="DE648" s="1346"/>
      <c r="DF648" s="1346"/>
      <c r="DG648" s="1347"/>
      <c r="DH648" s="1345">
        <f t="shared" si="39"/>
        <v>0</v>
      </c>
      <c r="DI648" s="1346"/>
      <c r="DJ648" s="1346"/>
      <c r="DK648" s="1346"/>
      <c r="DL648" s="1347"/>
      <c r="DM648" s="1345">
        <f t="shared" si="40"/>
        <v>0</v>
      </c>
      <c r="DN648" s="1346"/>
      <c r="DO648" s="1346"/>
      <c r="DP648" s="1346"/>
      <c r="DQ648" s="1347"/>
      <c r="DR648" s="1345">
        <f t="shared" si="41"/>
        <v>0</v>
      </c>
      <c r="DS648" s="1346"/>
      <c r="DT648" s="1346"/>
      <c r="DU648" s="1346"/>
      <c r="DV648" s="1347"/>
      <c r="DX648" s="1307" t="e">
        <f t="shared" si="29"/>
        <v>#VALUE!</v>
      </c>
      <c r="DY648" s="1307"/>
      <c r="DZ648" s="1307"/>
      <c r="EA648" s="1307"/>
      <c r="EB648" s="1307"/>
      <c r="EC648" s="1307" t="e">
        <f t="shared" si="24"/>
        <v>#VALUE!</v>
      </c>
      <c r="ED648" s="1307"/>
      <c r="EE648" s="1307"/>
      <c r="EF648" s="1307"/>
      <c r="EG648" s="1307"/>
      <c r="EH648" s="1307" t="e">
        <f t="shared" si="25"/>
        <v>#VALUE!</v>
      </c>
      <c r="EI648" s="1307"/>
      <c r="EJ648" s="1307"/>
      <c r="EK648" s="1307"/>
      <c r="EL648" s="1307"/>
      <c r="EM648" s="1307" t="e">
        <f t="shared" si="26"/>
        <v>#VALUE!</v>
      </c>
      <c r="EN648" s="1307"/>
      <c r="EO648" s="1307"/>
      <c r="EP648" s="1307"/>
      <c r="EQ648" s="1307"/>
      <c r="ER648" s="1307" t="e">
        <f t="shared" si="27"/>
        <v>#VALUE!</v>
      </c>
      <c r="ES648" s="1307"/>
      <c r="ET648" s="1307"/>
      <c r="EU648" s="1307"/>
      <c r="EV648" s="1307"/>
      <c r="EW648" s="1307" t="e">
        <f t="shared" si="28"/>
        <v>#VALUE!</v>
      </c>
      <c r="EX648" s="1307"/>
      <c r="EY648" s="1307"/>
      <c r="EZ648" s="1307"/>
      <c r="FA648" s="1307"/>
    </row>
    <row r="649" spans="1:157" ht="13.2" customHeight="1">
      <c r="A649" s="20"/>
      <c r="B649" t="s">
        <v>1486</v>
      </c>
      <c r="N649" s="1348" t="s">
        <v>836</v>
      </c>
      <c r="O649" s="1348"/>
      <c r="T649" s="20"/>
      <c r="U649" t="s">
        <v>1486</v>
      </c>
      <c r="AG649" s="1348" t="s">
        <v>892</v>
      </c>
      <c r="AH649" s="1348"/>
      <c r="AZ649" s="3"/>
      <c r="BA649" s="3"/>
      <c r="BB649" s="3"/>
      <c r="BC649" s="3"/>
      <c r="BD649" s="3"/>
      <c r="BE649" s="3"/>
      <c r="BF649" s="3"/>
      <c r="BG649" s="3"/>
      <c r="BH649" s="3"/>
      <c r="BI649" s="3"/>
      <c r="BJ649" s="3"/>
      <c r="BK649" s="3"/>
      <c r="BL649" s="3"/>
      <c r="BM649" s="3"/>
      <c r="BN649" s="1345">
        <f t="shared" si="30"/>
        <v>0</v>
      </c>
      <c r="BO649" s="1346"/>
      <c r="BP649" s="1346"/>
      <c r="BQ649" s="1346"/>
      <c r="BR649" s="1347"/>
      <c r="BS649" s="1344">
        <f t="shared" si="31"/>
        <v>0</v>
      </c>
      <c r="BT649" s="1344"/>
      <c r="BU649" s="1344"/>
      <c r="BV649" s="1344"/>
      <c r="BW649" s="1344"/>
      <c r="BX649" s="1344">
        <f t="shared" si="32"/>
        <v>0</v>
      </c>
      <c r="BY649" s="1344"/>
      <c r="BZ649" s="1344"/>
      <c r="CA649" s="1344"/>
      <c r="CB649" s="1344"/>
      <c r="CC649" s="1344">
        <f t="shared" si="33"/>
        <v>0</v>
      </c>
      <c r="CD649" s="1344"/>
      <c r="CE649" s="1344"/>
      <c r="CF649" s="1344"/>
      <c r="CG649" s="1344"/>
      <c r="CH649" s="1344">
        <f t="shared" si="34"/>
        <v>0</v>
      </c>
      <c r="CI649" s="1344"/>
      <c r="CJ649" s="1344"/>
      <c r="CK649" s="1344"/>
      <c r="CL649" s="1344"/>
      <c r="CM649" s="1344">
        <f t="shared" si="35"/>
        <v>0</v>
      </c>
      <c r="CN649" s="1344"/>
      <c r="CO649" s="1344"/>
      <c r="CP649" s="1344"/>
      <c r="CQ649" s="1344"/>
      <c r="CR649" s="278"/>
      <c r="CS649" s="1345">
        <f t="shared" si="36"/>
        <v>0</v>
      </c>
      <c r="CT649" s="1346"/>
      <c r="CU649" s="1346"/>
      <c r="CV649" s="1346"/>
      <c r="CW649" s="1347"/>
      <c r="CX649" s="1345">
        <f t="shared" si="37"/>
        <v>0</v>
      </c>
      <c r="CY649" s="1346"/>
      <c r="CZ649" s="1346"/>
      <c r="DA649" s="1346"/>
      <c r="DB649" s="1347"/>
      <c r="DC649" s="1345">
        <f t="shared" si="38"/>
        <v>0</v>
      </c>
      <c r="DD649" s="1346"/>
      <c r="DE649" s="1346"/>
      <c r="DF649" s="1346"/>
      <c r="DG649" s="1347"/>
      <c r="DH649" s="1345">
        <f t="shared" si="39"/>
        <v>0</v>
      </c>
      <c r="DI649" s="1346"/>
      <c r="DJ649" s="1346"/>
      <c r="DK649" s="1346"/>
      <c r="DL649" s="1347"/>
      <c r="DM649" s="1345">
        <f t="shared" si="40"/>
        <v>0</v>
      </c>
      <c r="DN649" s="1346"/>
      <c r="DO649" s="1346"/>
      <c r="DP649" s="1346"/>
      <c r="DQ649" s="1347"/>
      <c r="DR649" s="1345">
        <f t="shared" si="41"/>
        <v>0</v>
      </c>
      <c r="DS649" s="1346"/>
      <c r="DT649" s="1346"/>
      <c r="DU649" s="1346"/>
      <c r="DV649" s="1347"/>
      <c r="DX649" s="1307" t="e">
        <f t="shared" si="29"/>
        <v>#VALUE!</v>
      </c>
      <c r="DY649" s="1307"/>
      <c r="DZ649" s="1307"/>
      <c r="EA649" s="1307"/>
      <c r="EB649" s="1307"/>
      <c r="EC649" s="1307" t="e">
        <f t="shared" si="24"/>
        <v>#VALUE!</v>
      </c>
      <c r="ED649" s="1307"/>
      <c r="EE649" s="1307"/>
      <c r="EF649" s="1307"/>
      <c r="EG649" s="1307"/>
      <c r="EH649" s="1307" t="e">
        <f t="shared" si="25"/>
        <v>#VALUE!</v>
      </c>
      <c r="EI649" s="1307"/>
      <c r="EJ649" s="1307"/>
      <c r="EK649" s="1307"/>
      <c r="EL649" s="1307"/>
      <c r="EM649" s="1307" t="e">
        <f t="shared" si="26"/>
        <v>#VALUE!</v>
      </c>
      <c r="EN649" s="1307"/>
      <c r="EO649" s="1307"/>
      <c r="EP649" s="1307"/>
      <c r="EQ649" s="1307"/>
      <c r="ER649" s="1307" t="e">
        <f t="shared" si="27"/>
        <v>#VALUE!</v>
      </c>
      <c r="ES649" s="1307"/>
      <c r="ET649" s="1307"/>
      <c r="EU649" s="1307"/>
      <c r="EV649" s="1307"/>
      <c r="EW649" s="1307" t="e">
        <f t="shared" si="28"/>
        <v>#VALUE!</v>
      </c>
      <c r="EX649" s="1307"/>
      <c r="EY649" s="1307"/>
      <c r="EZ649" s="1307"/>
      <c r="FA649" s="1307"/>
    </row>
    <row r="650" spans="1:157" ht="13.2" customHeight="1">
      <c r="A650" s="20"/>
      <c r="T650" s="20"/>
      <c r="AZ650" s="3"/>
      <c r="BA650" s="3"/>
      <c r="BB650" s="3"/>
      <c r="BC650" s="3"/>
      <c r="BD650" s="3"/>
      <c r="BE650" s="3"/>
      <c r="BF650" s="3"/>
      <c r="BG650" s="3"/>
      <c r="BH650" s="3"/>
      <c r="BI650" s="3"/>
      <c r="BJ650" s="3"/>
      <c r="BK650" s="3"/>
      <c r="BL650" s="3"/>
      <c r="BM650" s="3"/>
      <c r="BN650" s="1345">
        <f t="shared" si="30"/>
        <v>0</v>
      </c>
      <c r="BO650" s="1346"/>
      <c r="BP650" s="1346"/>
      <c r="BQ650" s="1346"/>
      <c r="BR650" s="1347"/>
      <c r="BS650" s="1344">
        <f t="shared" si="31"/>
        <v>0</v>
      </c>
      <c r="BT650" s="1344"/>
      <c r="BU650" s="1344"/>
      <c r="BV650" s="1344"/>
      <c r="BW650" s="1344"/>
      <c r="BX650" s="1344">
        <f t="shared" si="32"/>
        <v>0</v>
      </c>
      <c r="BY650" s="1344"/>
      <c r="BZ650" s="1344"/>
      <c r="CA650" s="1344"/>
      <c r="CB650" s="1344"/>
      <c r="CC650" s="1344">
        <f t="shared" si="33"/>
        <v>0</v>
      </c>
      <c r="CD650" s="1344"/>
      <c r="CE650" s="1344"/>
      <c r="CF650" s="1344"/>
      <c r="CG650" s="1344"/>
      <c r="CH650" s="1344">
        <f t="shared" si="34"/>
        <v>0</v>
      </c>
      <c r="CI650" s="1344"/>
      <c r="CJ650" s="1344"/>
      <c r="CK650" s="1344"/>
      <c r="CL650" s="1344"/>
      <c r="CM650" s="1344">
        <f t="shared" si="35"/>
        <v>0</v>
      </c>
      <c r="CN650" s="1344"/>
      <c r="CO650" s="1344"/>
      <c r="CP650" s="1344"/>
      <c r="CQ650" s="1344"/>
      <c r="CR650" s="278"/>
      <c r="CS650" s="1345">
        <f t="shared" si="36"/>
        <v>0</v>
      </c>
      <c r="CT650" s="1346"/>
      <c r="CU650" s="1346"/>
      <c r="CV650" s="1346"/>
      <c r="CW650" s="1347"/>
      <c r="CX650" s="1345">
        <f t="shared" si="37"/>
        <v>0</v>
      </c>
      <c r="CY650" s="1346"/>
      <c r="CZ650" s="1346"/>
      <c r="DA650" s="1346"/>
      <c r="DB650" s="1347"/>
      <c r="DC650" s="1345">
        <f t="shared" si="38"/>
        <v>0</v>
      </c>
      <c r="DD650" s="1346"/>
      <c r="DE650" s="1346"/>
      <c r="DF650" s="1346"/>
      <c r="DG650" s="1347"/>
      <c r="DH650" s="1345">
        <f t="shared" si="39"/>
        <v>0</v>
      </c>
      <c r="DI650" s="1346"/>
      <c r="DJ650" s="1346"/>
      <c r="DK650" s="1346"/>
      <c r="DL650" s="1347"/>
      <c r="DM650" s="1345">
        <f t="shared" si="40"/>
        <v>0</v>
      </c>
      <c r="DN650" s="1346"/>
      <c r="DO650" s="1346"/>
      <c r="DP650" s="1346"/>
      <c r="DQ650" s="1347"/>
      <c r="DR650" s="1345">
        <f t="shared" si="41"/>
        <v>0</v>
      </c>
      <c r="DS650" s="1346"/>
      <c r="DT650" s="1346"/>
      <c r="DU650" s="1346"/>
      <c r="DV650" s="1347"/>
      <c r="DX650" s="1307" t="e">
        <f t="shared" si="29"/>
        <v>#VALUE!</v>
      </c>
      <c r="DY650" s="1307"/>
      <c r="DZ650" s="1307"/>
      <c r="EA650" s="1307"/>
      <c r="EB650" s="1307"/>
      <c r="EC650" s="1307" t="e">
        <f t="shared" si="24"/>
        <v>#VALUE!</v>
      </c>
      <c r="ED650" s="1307"/>
      <c r="EE650" s="1307"/>
      <c r="EF650" s="1307"/>
      <c r="EG650" s="1307"/>
      <c r="EH650" s="1307" t="e">
        <f t="shared" si="25"/>
        <v>#VALUE!</v>
      </c>
      <c r="EI650" s="1307"/>
      <c r="EJ650" s="1307"/>
      <c r="EK650" s="1307"/>
      <c r="EL650" s="1307"/>
      <c r="EM650" s="1307" t="e">
        <f t="shared" si="26"/>
        <v>#VALUE!</v>
      </c>
      <c r="EN650" s="1307"/>
      <c r="EO650" s="1307"/>
      <c r="EP650" s="1307"/>
      <c r="EQ650" s="1307"/>
      <c r="ER650" s="1307" t="e">
        <f t="shared" si="27"/>
        <v>#VALUE!</v>
      </c>
      <c r="ES650" s="1307"/>
      <c r="ET650" s="1307"/>
      <c r="EU650" s="1307"/>
      <c r="EV650" s="1307"/>
      <c r="EW650" s="1307" t="e">
        <f t="shared" si="28"/>
        <v>#VALUE!</v>
      </c>
      <c r="EX650" s="1307"/>
      <c r="EY650" s="1307"/>
      <c r="EZ650" s="1307"/>
      <c r="FA650" s="1307"/>
    </row>
    <row r="651" spans="1:157" ht="13.2" customHeight="1">
      <c r="A651" s="48" t="s">
        <v>38</v>
      </c>
      <c r="B651" t="s">
        <v>1477</v>
      </c>
      <c r="G651" s="1449" t="str">
        <f>C629</f>
        <v>Philanthropic Funds (WLAVC)</v>
      </c>
      <c r="H651" s="1449"/>
      <c r="I651" s="1449"/>
      <c r="J651" s="1449"/>
      <c r="K651" s="1449"/>
      <c r="L651" s="1449"/>
      <c r="M651" s="1449"/>
      <c r="N651" s="1449"/>
      <c r="O651" s="1449"/>
      <c r="P651" s="1449"/>
      <c r="Q651" s="1449"/>
      <c r="R651" s="1449"/>
      <c r="T651" s="48" t="s">
        <v>81</v>
      </c>
      <c r="U651" t="s">
        <v>1477</v>
      </c>
      <c r="Z651" s="1449" t="str">
        <f>C630</f>
        <v>Deferred Developer Fee</v>
      </c>
      <c r="AA651" s="1449"/>
      <c r="AB651" s="1449"/>
      <c r="AC651" s="1449"/>
      <c r="AD651" s="1449"/>
      <c r="AE651" s="1449"/>
      <c r="AF651" s="1449"/>
      <c r="AG651" s="1449"/>
      <c r="AH651" s="1449"/>
      <c r="AI651" s="1449"/>
      <c r="AJ651" s="1449"/>
      <c r="AK651" s="1449"/>
      <c r="AZ651" s="3"/>
      <c r="BA651" s="3"/>
      <c r="BB651" s="3"/>
      <c r="BC651" s="3"/>
      <c r="BD651" s="3"/>
      <c r="BE651" s="3"/>
      <c r="BF651" s="3"/>
      <c r="BG651" s="3"/>
      <c r="BH651" s="3"/>
      <c r="BI651" s="3"/>
      <c r="BJ651" s="3"/>
      <c r="BK651" s="3"/>
      <c r="BL651" s="3"/>
      <c r="BM651" s="3"/>
      <c r="BN651" s="1345">
        <f t="shared" si="30"/>
        <v>0</v>
      </c>
      <c r="BO651" s="1346"/>
      <c r="BP651" s="1346"/>
      <c r="BQ651" s="1346"/>
      <c r="BR651" s="1347"/>
      <c r="BS651" s="1344">
        <f t="shared" si="31"/>
        <v>0</v>
      </c>
      <c r="BT651" s="1344"/>
      <c r="BU651" s="1344"/>
      <c r="BV651" s="1344"/>
      <c r="BW651" s="1344"/>
      <c r="BX651" s="1344">
        <f t="shared" si="32"/>
        <v>0</v>
      </c>
      <c r="BY651" s="1344"/>
      <c r="BZ651" s="1344"/>
      <c r="CA651" s="1344"/>
      <c r="CB651" s="1344"/>
      <c r="CC651" s="1344">
        <f t="shared" si="33"/>
        <v>0</v>
      </c>
      <c r="CD651" s="1344"/>
      <c r="CE651" s="1344"/>
      <c r="CF651" s="1344"/>
      <c r="CG651" s="1344"/>
      <c r="CH651" s="1344">
        <f t="shared" si="34"/>
        <v>0</v>
      </c>
      <c r="CI651" s="1344"/>
      <c r="CJ651" s="1344"/>
      <c r="CK651" s="1344"/>
      <c r="CL651" s="1344"/>
      <c r="CM651" s="1344">
        <f t="shared" si="35"/>
        <v>0</v>
      </c>
      <c r="CN651" s="1344"/>
      <c r="CO651" s="1344"/>
      <c r="CP651" s="1344"/>
      <c r="CQ651" s="1344"/>
      <c r="CR651" s="278"/>
      <c r="CS651" s="1345">
        <f t="shared" si="36"/>
        <v>0</v>
      </c>
      <c r="CT651" s="1346"/>
      <c r="CU651" s="1346"/>
      <c r="CV651" s="1346"/>
      <c r="CW651" s="1347"/>
      <c r="CX651" s="1345">
        <f t="shared" si="37"/>
        <v>0</v>
      </c>
      <c r="CY651" s="1346"/>
      <c r="CZ651" s="1346"/>
      <c r="DA651" s="1346"/>
      <c r="DB651" s="1347"/>
      <c r="DC651" s="1345">
        <f t="shared" si="38"/>
        <v>0</v>
      </c>
      <c r="DD651" s="1346"/>
      <c r="DE651" s="1346"/>
      <c r="DF651" s="1346"/>
      <c r="DG651" s="1347"/>
      <c r="DH651" s="1345">
        <f t="shared" si="39"/>
        <v>0</v>
      </c>
      <c r="DI651" s="1346"/>
      <c r="DJ651" s="1346"/>
      <c r="DK651" s="1346"/>
      <c r="DL651" s="1347"/>
      <c r="DM651" s="1345">
        <f t="shared" si="40"/>
        <v>0</v>
      </c>
      <c r="DN651" s="1346"/>
      <c r="DO651" s="1346"/>
      <c r="DP651" s="1346"/>
      <c r="DQ651" s="1347"/>
      <c r="DR651" s="1345">
        <f t="shared" si="41"/>
        <v>0</v>
      </c>
      <c r="DS651" s="1346"/>
      <c r="DT651" s="1346"/>
      <c r="DU651" s="1346"/>
      <c r="DV651" s="1347"/>
      <c r="DX651" s="1307" t="e">
        <f t="shared" si="29"/>
        <v>#VALUE!</v>
      </c>
      <c r="DY651" s="1307"/>
      <c r="DZ651" s="1307"/>
      <c r="EA651" s="1307"/>
      <c r="EB651" s="1307"/>
      <c r="EC651" s="1307" t="e">
        <f t="shared" si="24"/>
        <v>#VALUE!</v>
      </c>
      <c r="ED651" s="1307"/>
      <c r="EE651" s="1307"/>
      <c r="EF651" s="1307"/>
      <c r="EG651" s="1307"/>
      <c r="EH651" s="1307" t="e">
        <f t="shared" si="25"/>
        <v>#VALUE!</v>
      </c>
      <c r="EI651" s="1307"/>
      <c r="EJ651" s="1307"/>
      <c r="EK651" s="1307"/>
      <c r="EL651" s="1307"/>
      <c r="EM651" s="1307" t="e">
        <f t="shared" si="26"/>
        <v>#VALUE!</v>
      </c>
      <c r="EN651" s="1307"/>
      <c r="EO651" s="1307"/>
      <c r="EP651" s="1307"/>
      <c r="EQ651" s="1307"/>
      <c r="ER651" s="1307" t="e">
        <f t="shared" si="27"/>
        <v>#VALUE!</v>
      </c>
      <c r="ES651" s="1307"/>
      <c r="ET651" s="1307"/>
      <c r="EU651" s="1307"/>
      <c r="EV651" s="1307"/>
      <c r="EW651" s="1307" t="e">
        <f t="shared" si="28"/>
        <v>#VALUE!</v>
      </c>
      <c r="EX651" s="1307"/>
      <c r="EY651" s="1307"/>
      <c r="EZ651" s="1307"/>
      <c r="FA651" s="1307"/>
    </row>
    <row r="652" spans="1:157" ht="13.2" customHeight="1">
      <c r="A652" s="20"/>
      <c r="B652" t="s">
        <v>1109</v>
      </c>
      <c r="G652" s="1381" t="s">
        <v>1488</v>
      </c>
      <c r="H652" s="1381"/>
      <c r="I652" s="1381"/>
      <c r="J652" s="1381"/>
      <c r="K652" s="1381"/>
      <c r="L652" s="1381"/>
      <c r="M652" s="1381"/>
      <c r="N652" s="1381"/>
      <c r="O652" s="1381"/>
      <c r="P652" s="1381"/>
      <c r="Q652" s="1381"/>
      <c r="R652" s="1381"/>
      <c r="T652" s="20"/>
      <c r="U652" t="s">
        <v>1109</v>
      </c>
      <c r="Z652" s="1381" t="s">
        <v>1170</v>
      </c>
      <c r="AA652" s="1381"/>
      <c r="AB652" s="1381"/>
      <c r="AC652" s="1381"/>
      <c r="AD652" s="1381"/>
      <c r="AE652" s="1381"/>
      <c r="AF652" s="1381"/>
      <c r="AG652" s="1381"/>
      <c r="AH652" s="1381"/>
      <c r="AI652" s="1381"/>
      <c r="AJ652" s="1381"/>
      <c r="AK652" s="1381"/>
      <c r="AZ652" s="3"/>
      <c r="BA652" s="3"/>
      <c r="BB652" s="3"/>
      <c r="BC652" s="3"/>
      <c r="BD652" s="3"/>
      <c r="BE652" s="3"/>
      <c r="BF652" s="3"/>
      <c r="BG652" s="3"/>
      <c r="BH652" s="3"/>
      <c r="BI652" s="3"/>
      <c r="BJ652" s="3"/>
      <c r="BK652" s="3"/>
      <c r="BL652" s="3"/>
      <c r="BM652" s="3"/>
      <c r="BN652" s="1345">
        <f t="shared" si="30"/>
        <v>0</v>
      </c>
      <c r="BO652" s="1346"/>
      <c r="BP652" s="1346"/>
      <c r="BQ652" s="1346"/>
      <c r="BR652" s="1347"/>
      <c r="BS652" s="1344">
        <f t="shared" si="31"/>
        <v>0</v>
      </c>
      <c r="BT652" s="1344"/>
      <c r="BU652" s="1344"/>
      <c r="BV652" s="1344"/>
      <c r="BW652" s="1344"/>
      <c r="BX652" s="1344">
        <f t="shared" si="32"/>
        <v>0</v>
      </c>
      <c r="BY652" s="1344"/>
      <c r="BZ652" s="1344"/>
      <c r="CA652" s="1344"/>
      <c r="CB652" s="1344"/>
      <c r="CC652" s="1344">
        <f t="shared" si="33"/>
        <v>0</v>
      </c>
      <c r="CD652" s="1344"/>
      <c r="CE652" s="1344"/>
      <c r="CF652" s="1344"/>
      <c r="CG652" s="1344"/>
      <c r="CH652" s="1344">
        <f t="shared" si="34"/>
        <v>0</v>
      </c>
      <c r="CI652" s="1344"/>
      <c r="CJ652" s="1344"/>
      <c r="CK652" s="1344"/>
      <c r="CL652" s="1344"/>
      <c r="CM652" s="1344">
        <f t="shared" si="35"/>
        <v>0</v>
      </c>
      <c r="CN652" s="1344"/>
      <c r="CO652" s="1344"/>
      <c r="CP652" s="1344"/>
      <c r="CQ652" s="1344"/>
      <c r="CR652" s="278"/>
      <c r="CS652" s="1345">
        <f t="shared" si="36"/>
        <v>0</v>
      </c>
      <c r="CT652" s="1346"/>
      <c r="CU652" s="1346"/>
      <c r="CV652" s="1346"/>
      <c r="CW652" s="1347"/>
      <c r="CX652" s="1345">
        <f t="shared" si="37"/>
        <v>0</v>
      </c>
      <c r="CY652" s="1346"/>
      <c r="CZ652" s="1346"/>
      <c r="DA652" s="1346"/>
      <c r="DB652" s="1347"/>
      <c r="DC652" s="1345">
        <f t="shared" si="38"/>
        <v>0</v>
      </c>
      <c r="DD652" s="1346"/>
      <c r="DE652" s="1346"/>
      <c r="DF652" s="1346"/>
      <c r="DG652" s="1347"/>
      <c r="DH652" s="1345">
        <f t="shared" si="39"/>
        <v>0</v>
      </c>
      <c r="DI652" s="1346"/>
      <c r="DJ652" s="1346"/>
      <c r="DK652" s="1346"/>
      <c r="DL652" s="1347"/>
      <c r="DM652" s="1345">
        <f t="shared" si="40"/>
        <v>0</v>
      </c>
      <c r="DN652" s="1346"/>
      <c r="DO652" s="1346"/>
      <c r="DP652" s="1346"/>
      <c r="DQ652" s="1347"/>
      <c r="DR652" s="1345">
        <f t="shared" si="41"/>
        <v>0</v>
      </c>
      <c r="DS652" s="1346"/>
      <c r="DT652" s="1346"/>
      <c r="DU652" s="1346"/>
      <c r="DV652" s="1347"/>
      <c r="DX652" s="1307" t="e">
        <f t="shared" si="29"/>
        <v>#VALUE!</v>
      </c>
      <c r="DY652" s="1307"/>
      <c r="DZ652" s="1307"/>
      <c r="EA652" s="1307"/>
      <c r="EB652" s="1307"/>
      <c r="EC652" s="1307" t="e">
        <f t="shared" si="24"/>
        <v>#VALUE!</v>
      </c>
      <c r="ED652" s="1307"/>
      <c r="EE652" s="1307"/>
      <c r="EF652" s="1307"/>
      <c r="EG652" s="1307"/>
      <c r="EH652" s="1307" t="e">
        <f t="shared" si="25"/>
        <v>#VALUE!</v>
      </c>
      <c r="EI652" s="1307"/>
      <c r="EJ652" s="1307"/>
      <c r="EK652" s="1307"/>
      <c r="EL652" s="1307"/>
      <c r="EM652" s="1307" t="e">
        <f t="shared" si="26"/>
        <v>#VALUE!</v>
      </c>
      <c r="EN652" s="1307"/>
      <c r="EO652" s="1307"/>
      <c r="EP652" s="1307"/>
      <c r="EQ652" s="1307"/>
      <c r="ER652" s="1307" t="e">
        <f t="shared" si="27"/>
        <v>#VALUE!</v>
      </c>
      <c r="ES652" s="1307"/>
      <c r="ET652" s="1307"/>
      <c r="EU652" s="1307"/>
      <c r="EV652" s="1307"/>
      <c r="EW652" s="1307" t="e">
        <f t="shared" si="28"/>
        <v>#VALUE!</v>
      </c>
      <c r="EX652" s="1307"/>
      <c r="EY652" s="1307"/>
      <c r="EZ652" s="1307"/>
      <c r="FA652" s="1307"/>
    </row>
    <row r="653" spans="1:157" ht="13.2" customHeight="1">
      <c r="A653" s="20"/>
      <c r="B653" t="s">
        <v>979</v>
      </c>
      <c r="G653" s="1329" t="s">
        <v>1530</v>
      </c>
      <c r="H653" s="1329"/>
      <c r="I653" s="1329"/>
      <c r="J653" s="1329"/>
      <c r="K653" s="1329"/>
      <c r="L653" s="1329"/>
      <c r="M653" s="1329"/>
      <c r="N653" s="1329"/>
      <c r="O653" s="1329"/>
      <c r="P653" s="1329"/>
      <c r="Q653" s="1329"/>
      <c r="R653" s="1329"/>
      <c r="T653" s="20"/>
      <c r="U653" t="s">
        <v>979</v>
      </c>
      <c r="Z653" s="1329" t="s">
        <v>1497</v>
      </c>
      <c r="AA653" s="1329"/>
      <c r="AB653" s="1329"/>
      <c r="AC653" s="1329"/>
      <c r="AD653" s="1329"/>
      <c r="AE653" s="1329"/>
      <c r="AF653" s="1329"/>
      <c r="AG653" s="1329"/>
      <c r="AH653" s="1329"/>
      <c r="AI653" s="1329"/>
      <c r="AJ653" s="1329"/>
      <c r="AK653" s="1329"/>
      <c r="AZ653" s="3"/>
      <c r="BA653" s="3"/>
      <c r="BB653" s="3"/>
      <c r="BC653" s="3"/>
      <c r="BD653" s="3"/>
      <c r="BE653" s="3"/>
      <c r="BF653" s="3"/>
      <c r="BG653" s="3"/>
      <c r="BH653" s="3"/>
      <c r="BI653" s="3"/>
      <c r="BJ653" s="3"/>
      <c r="BK653" s="3"/>
      <c r="BL653" s="3"/>
      <c r="BM653" s="3"/>
      <c r="BN653" s="1345">
        <f t="shared" si="30"/>
        <v>0</v>
      </c>
      <c r="BO653" s="1346"/>
      <c r="BP653" s="1346"/>
      <c r="BQ653" s="1346"/>
      <c r="BR653" s="1347"/>
      <c r="BS653" s="1344">
        <f t="shared" si="31"/>
        <v>0</v>
      </c>
      <c r="BT653" s="1344"/>
      <c r="BU653" s="1344"/>
      <c r="BV653" s="1344"/>
      <c r="BW653" s="1344"/>
      <c r="BX653" s="1344">
        <f t="shared" si="32"/>
        <v>0</v>
      </c>
      <c r="BY653" s="1344"/>
      <c r="BZ653" s="1344"/>
      <c r="CA653" s="1344"/>
      <c r="CB653" s="1344"/>
      <c r="CC653" s="1344">
        <f t="shared" si="33"/>
        <v>0</v>
      </c>
      <c r="CD653" s="1344"/>
      <c r="CE653" s="1344"/>
      <c r="CF653" s="1344"/>
      <c r="CG653" s="1344"/>
      <c r="CH653" s="1344">
        <f t="shared" si="34"/>
        <v>0</v>
      </c>
      <c r="CI653" s="1344"/>
      <c r="CJ653" s="1344"/>
      <c r="CK653" s="1344"/>
      <c r="CL653" s="1344"/>
      <c r="CM653" s="1344">
        <f t="shared" si="35"/>
        <v>0</v>
      </c>
      <c r="CN653" s="1344"/>
      <c r="CO653" s="1344"/>
      <c r="CP653" s="1344"/>
      <c r="CQ653" s="1344"/>
      <c r="CR653" s="278"/>
      <c r="CS653" s="1345">
        <f t="shared" si="36"/>
        <v>0</v>
      </c>
      <c r="CT653" s="1346"/>
      <c r="CU653" s="1346"/>
      <c r="CV653" s="1346"/>
      <c r="CW653" s="1347"/>
      <c r="CX653" s="1345">
        <f t="shared" si="37"/>
        <v>0</v>
      </c>
      <c r="CY653" s="1346"/>
      <c r="CZ653" s="1346"/>
      <c r="DA653" s="1346"/>
      <c r="DB653" s="1347"/>
      <c r="DC653" s="1345">
        <f t="shared" si="38"/>
        <v>0</v>
      </c>
      <c r="DD653" s="1346"/>
      <c r="DE653" s="1346"/>
      <c r="DF653" s="1346"/>
      <c r="DG653" s="1347"/>
      <c r="DH653" s="1345">
        <f t="shared" si="39"/>
        <v>0</v>
      </c>
      <c r="DI653" s="1346"/>
      <c r="DJ653" s="1346"/>
      <c r="DK653" s="1346"/>
      <c r="DL653" s="1347"/>
      <c r="DM653" s="1345">
        <f t="shared" si="40"/>
        <v>0</v>
      </c>
      <c r="DN653" s="1346"/>
      <c r="DO653" s="1346"/>
      <c r="DP653" s="1346"/>
      <c r="DQ653" s="1347"/>
      <c r="DR653" s="1345">
        <f t="shared" si="41"/>
        <v>0</v>
      </c>
      <c r="DS653" s="1346"/>
      <c r="DT653" s="1346"/>
      <c r="DU653" s="1346"/>
      <c r="DV653" s="1347"/>
      <c r="DX653" s="1307" t="e">
        <f t="shared" si="29"/>
        <v>#VALUE!</v>
      </c>
      <c r="DY653" s="1307"/>
      <c r="DZ653" s="1307"/>
      <c r="EA653" s="1307"/>
      <c r="EB653" s="1307"/>
      <c r="EC653" s="1307" t="e">
        <f t="shared" si="24"/>
        <v>#VALUE!</v>
      </c>
      <c r="ED653" s="1307"/>
      <c r="EE653" s="1307"/>
      <c r="EF653" s="1307"/>
      <c r="EG653" s="1307"/>
      <c r="EH653" s="1307" t="e">
        <f t="shared" si="25"/>
        <v>#VALUE!</v>
      </c>
      <c r="EI653" s="1307"/>
      <c r="EJ653" s="1307"/>
      <c r="EK653" s="1307"/>
      <c r="EL653" s="1307"/>
      <c r="EM653" s="1307" t="e">
        <f t="shared" si="26"/>
        <v>#VALUE!</v>
      </c>
      <c r="EN653" s="1307"/>
      <c r="EO653" s="1307"/>
      <c r="EP653" s="1307"/>
      <c r="EQ653" s="1307"/>
      <c r="ER653" s="1307" t="e">
        <f t="shared" si="27"/>
        <v>#VALUE!</v>
      </c>
      <c r="ES653" s="1307"/>
      <c r="ET653" s="1307"/>
      <c r="EU653" s="1307"/>
      <c r="EV653" s="1307"/>
      <c r="EW653" s="1307" t="e">
        <f t="shared" si="28"/>
        <v>#VALUE!</v>
      </c>
      <c r="EX653" s="1307"/>
      <c r="EY653" s="1307"/>
      <c r="EZ653" s="1307"/>
      <c r="FA653" s="1307"/>
    </row>
    <row r="654" spans="1:157" ht="13.2" customHeight="1">
      <c r="A654" s="20"/>
      <c r="B654" t="s">
        <v>1479</v>
      </c>
      <c r="G654" s="1329" t="s">
        <v>1531</v>
      </c>
      <c r="H654" s="1329"/>
      <c r="I654" s="1329"/>
      <c r="J654" s="1329"/>
      <c r="K654" s="1329"/>
      <c r="L654" s="1329"/>
      <c r="M654" s="1329"/>
      <c r="N654" s="1329"/>
      <c r="O654" s="1329"/>
      <c r="P654" s="1329"/>
      <c r="Q654" s="1329"/>
      <c r="R654" s="1329"/>
      <c r="T654" s="20"/>
      <c r="U654" t="s">
        <v>1479</v>
      </c>
      <c r="Z654" s="1329" t="s">
        <v>1143</v>
      </c>
      <c r="AA654" s="1329"/>
      <c r="AB654" s="1329"/>
      <c r="AC654" s="1329"/>
      <c r="AD654" s="1329"/>
      <c r="AE654" s="1329"/>
      <c r="AF654" s="1329"/>
      <c r="AG654" s="1329"/>
      <c r="AH654" s="1329"/>
      <c r="AI654" s="1329"/>
      <c r="AJ654" s="1329"/>
      <c r="AK654" s="1329"/>
      <c r="AZ654" s="3"/>
      <c r="BA654" s="3"/>
      <c r="BB654" s="3"/>
      <c r="BC654" s="3"/>
      <c r="BD654" s="3"/>
      <c r="BE654" s="3"/>
      <c r="BF654" s="3"/>
      <c r="BG654" s="3"/>
      <c r="BH654" s="3"/>
      <c r="BI654" s="3"/>
      <c r="BJ654" s="3"/>
      <c r="BK654" s="3"/>
      <c r="BL654" s="3"/>
      <c r="BM654" s="3"/>
      <c r="BN654" s="1345">
        <f t="shared" si="30"/>
        <v>0</v>
      </c>
      <c r="BO654" s="1346"/>
      <c r="BP654" s="1346"/>
      <c r="BQ654" s="1346"/>
      <c r="BR654" s="1347"/>
      <c r="BS654" s="1344">
        <f t="shared" si="31"/>
        <v>0</v>
      </c>
      <c r="BT654" s="1344"/>
      <c r="BU654" s="1344"/>
      <c r="BV654" s="1344"/>
      <c r="BW654" s="1344"/>
      <c r="BX654" s="1344">
        <f t="shared" si="32"/>
        <v>0</v>
      </c>
      <c r="BY654" s="1344"/>
      <c r="BZ654" s="1344"/>
      <c r="CA654" s="1344"/>
      <c r="CB654" s="1344"/>
      <c r="CC654" s="1344">
        <f t="shared" si="33"/>
        <v>0</v>
      </c>
      <c r="CD654" s="1344"/>
      <c r="CE654" s="1344"/>
      <c r="CF654" s="1344"/>
      <c r="CG654" s="1344"/>
      <c r="CH654" s="1344">
        <f t="shared" si="34"/>
        <v>0</v>
      </c>
      <c r="CI654" s="1344"/>
      <c r="CJ654" s="1344"/>
      <c r="CK654" s="1344"/>
      <c r="CL654" s="1344"/>
      <c r="CM654" s="1344">
        <f t="shared" si="35"/>
        <v>0</v>
      </c>
      <c r="CN654" s="1344"/>
      <c r="CO654" s="1344"/>
      <c r="CP654" s="1344"/>
      <c r="CQ654" s="1344"/>
      <c r="CR654" s="278"/>
      <c r="CS654" s="1345">
        <f t="shared" si="36"/>
        <v>0</v>
      </c>
      <c r="CT654" s="1346"/>
      <c r="CU654" s="1346"/>
      <c r="CV654" s="1346"/>
      <c r="CW654" s="1347"/>
      <c r="CX654" s="1345">
        <f t="shared" si="37"/>
        <v>0</v>
      </c>
      <c r="CY654" s="1346"/>
      <c r="CZ654" s="1346"/>
      <c r="DA654" s="1346"/>
      <c r="DB654" s="1347"/>
      <c r="DC654" s="1345">
        <f t="shared" si="38"/>
        <v>0</v>
      </c>
      <c r="DD654" s="1346"/>
      <c r="DE654" s="1346"/>
      <c r="DF654" s="1346"/>
      <c r="DG654" s="1347"/>
      <c r="DH654" s="1345">
        <f t="shared" si="39"/>
        <v>0</v>
      </c>
      <c r="DI654" s="1346"/>
      <c r="DJ654" s="1346"/>
      <c r="DK654" s="1346"/>
      <c r="DL654" s="1347"/>
      <c r="DM654" s="1345">
        <f t="shared" si="40"/>
        <v>0</v>
      </c>
      <c r="DN654" s="1346"/>
      <c r="DO654" s="1346"/>
      <c r="DP654" s="1346"/>
      <c r="DQ654" s="1347"/>
      <c r="DR654" s="1345">
        <f t="shared" si="41"/>
        <v>0</v>
      </c>
      <c r="DS654" s="1346"/>
      <c r="DT654" s="1346"/>
      <c r="DU654" s="1346"/>
      <c r="DV654" s="1347"/>
      <c r="DX654" s="1307" t="e">
        <f t="shared" si="29"/>
        <v>#VALUE!</v>
      </c>
      <c r="DY654" s="1307"/>
      <c r="DZ654" s="1307"/>
      <c r="EA654" s="1307"/>
      <c r="EB654" s="1307"/>
      <c r="EC654" s="1307" t="e">
        <f t="shared" si="24"/>
        <v>#VALUE!</v>
      </c>
      <c r="ED654" s="1307"/>
      <c r="EE654" s="1307"/>
      <c r="EF654" s="1307"/>
      <c r="EG654" s="1307"/>
      <c r="EH654" s="1307" t="e">
        <f t="shared" si="25"/>
        <v>#VALUE!</v>
      </c>
      <c r="EI654" s="1307"/>
      <c r="EJ654" s="1307"/>
      <c r="EK654" s="1307"/>
      <c r="EL654" s="1307"/>
      <c r="EM654" s="1307" t="e">
        <f t="shared" si="26"/>
        <v>#VALUE!</v>
      </c>
      <c r="EN654" s="1307"/>
      <c r="EO654" s="1307"/>
      <c r="EP654" s="1307"/>
      <c r="EQ654" s="1307"/>
      <c r="ER654" s="1307" t="e">
        <f t="shared" si="27"/>
        <v>#VALUE!</v>
      </c>
      <c r="ES654" s="1307"/>
      <c r="ET654" s="1307"/>
      <c r="EU654" s="1307"/>
      <c r="EV654" s="1307"/>
      <c r="EW654" s="1307" t="e">
        <f t="shared" si="28"/>
        <v>#VALUE!</v>
      </c>
      <c r="EX654" s="1307"/>
      <c r="EY654" s="1307"/>
      <c r="EZ654" s="1307"/>
      <c r="FA654" s="1307"/>
    </row>
    <row r="655" spans="1:157" ht="13.2" customHeight="1">
      <c r="A655" s="20"/>
      <c r="B655" t="s">
        <v>881</v>
      </c>
      <c r="G655" s="1378" t="s">
        <v>1494</v>
      </c>
      <c r="H655" s="1378"/>
      <c r="I655" s="1378"/>
      <c r="J655" s="1378"/>
      <c r="K655" s="1378"/>
      <c r="L655" s="1378"/>
      <c r="O655" s="948" t="s">
        <v>1117</v>
      </c>
      <c r="P655" s="1349"/>
      <c r="Q655" s="1349"/>
      <c r="R655" s="1349"/>
      <c r="T655" s="20"/>
      <c r="U655" t="s">
        <v>881</v>
      </c>
      <c r="Z655" s="1378" t="s">
        <v>1144</v>
      </c>
      <c r="AA655" s="1378"/>
      <c r="AB655" s="1378"/>
      <c r="AC655" s="1378"/>
      <c r="AD655" s="1378"/>
      <c r="AE655" s="1378"/>
      <c r="AH655" s="948" t="s">
        <v>1117</v>
      </c>
      <c r="AI655" s="1349"/>
      <c r="AJ655" s="1349"/>
      <c r="AK655" s="1349"/>
      <c r="AZ655" s="3"/>
      <c r="BA655" s="3"/>
      <c r="BB655" s="3"/>
      <c r="BC655" s="3"/>
      <c r="BD655" s="3"/>
      <c r="BE655" s="3"/>
      <c r="BF655" s="3"/>
      <c r="BG655" s="3"/>
      <c r="BH655" s="3"/>
      <c r="BI655" s="3"/>
      <c r="BJ655" s="3"/>
      <c r="BK655" s="3"/>
      <c r="BL655" s="3"/>
      <c r="BM655" s="3"/>
      <c r="BN655" s="1339">
        <f>SUM(BN645:BR654)</f>
        <v>0</v>
      </c>
      <c r="BO655" s="1340"/>
      <c r="BP655" s="1340"/>
      <c r="BQ655" s="1340"/>
      <c r="BR655" s="1341"/>
      <c r="BS655" s="1339">
        <f>SUM(BS645:BW654)</f>
        <v>0</v>
      </c>
      <c r="BT655" s="1340"/>
      <c r="BU655" s="1340"/>
      <c r="BV655" s="1340"/>
      <c r="BW655" s="1341"/>
      <c r="BX655" s="1339">
        <f>SUM(BX645:CB654)</f>
        <v>0</v>
      </c>
      <c r="BY655" s="1340"/>
      <c r="BZ655" s="1340"/>
      <c r="CA655" s="1340"/>
      <c r="CB655" s="1341"/>
      <c r="CC655" s="1339">
        <f>SUM(CC645:CG654)</f>
        <v>0</v>
      </c>
      <c r="CD655" s="1340"/>
      <c r="CE655" s="1340"/>
      <c r="CF655" s="1340"/>
      <c r="CG655" s="1341"/>
      <c r="CH655" s="1339">
        <f>SUM(CH645:CL654)</f>
        <v>0</v>
      </c>
      <c r="CI655" s="1340"/>
      <c r="CJ655" s="1340"/>
      <c r="CK655" s="1340"/>
      <c r="CL655" s="1341"/>
      <c r="CM655" s="1339">
        <f>SUM(CM645:CQ654)</f>
        <v>0</v>
      </c>
      <c r="CN655" s="1340"/>
      <c r="CO655" s="1340"/>
      <c r="CP655" s="1340"/>
      <c r="CQ655" s="1341"/>
      <c r="CR655" s="278"/>
      <c r="CS655" s="1342">
        <f>SUM(CS645:CW654)</f>
        <v>0</v>
      </c>
      <c r="CT655" s="1342"/>
      <c r="CU655" s="1342"/>
      <c r="CV655" s="1342"/>
      <c r="CW655" s="1342"/>
      <c r="CX655" s="1342">
        <f>SUM(CX645:DB654)</f>
        <v>0</v>
      </c>
      <c r="CY655" s="1342"/>
      <c r="CZ655" s="1342"/>
      <c r="DA655" s="1342"/>
      <c r="DB655" s="1342"/>
      <c r="DC655" s="1342">
        <f>SUM(DC645:DG654)</f>
        <v>0</v>
      </c>
      <c r="DD655" s="1342"/>
      <c r="DE655" s="1342"/>
      <c r="DF655" s="1342"/>
      <c r="DG655" s="1342"/>
      <c r="DH655" s="1342">
        <f>SUM(DH645:DL654)</f>
        <v>0</v>
      </c>
      <c r="DI655" s="1342"/>
      <c r="DJ655" s="1342"/>
      <c r="DK655" s="1342"/>
      <c r="DL655" s="1342"/>
      <c r="DM655" s="1342">
        <f>SUM(DM645:DQ654)</f>
        <v>0</v>
      </c>
      <c r="DN655" s="1342"/>
      <c r="DO655" s="1342"/>
      <c r="DP655" s="1342"/>
      <c r="DQ655" s="1342"/>
      <c r="DR655" s="1342">
        <f>SUM(DR645:DV654)</f>
        <v>0</v>
      </c>
      <c r="DS655" s="1342"/>
      <c r="DT655" s="1342"/>
      <c r="DU655" s="1342"/>
      <c r="DV655" s="1342"/>
      <c r="DX655" s="1307" t="e">
        <f t="shared" si="29"/>
        <v>#VALUE!</v>
      </c>
      <c r="DY655" s="1307"/>
      <c r="DZ655" s="1307"/>
      <c r="EA655" s="1307"/>
      <c r="EB655" s="1307"/>
      <c r="EC655" s="1307" t="e">
        <f t="shared" si="24"/>
        <v>#VALUE!</v>
      </c>
      <c r="ED655" s="1307"/>
      <c r="EE655" s="1307"/>
      <c r="EF655" s="1307"/>
      <c r="EG655" s="1307"/>
      <c r="EH655" s="1307" t="e">
        <f t="shared" si="25"/>
        <v>#VALUE!</v>
      </c>
      <c r="EI655" s="1307"/>
      <c r="EJ655" s="1307"/>
      <c r="EK655" s="1307"/>
      <c r="EL655" s="1307"/>
      <c r="EM655" s="1307" t="e">
        <f t="shared" si="26"/>
        <v>#VALUE!</v>
      </c>
      <c r="EN655" s="1307"/>
      <c r="EO655" s="1307"/>
      <c r="EP655" s="1307"/>
      <c r="EQ655" s="1307"/>
      <c r="ER655" s="1307" t="e">
        <f t="shared" si="27"/>
        <v>#VALUE!</v>
      </c>
      <c r="ES655" s="1307"/>
      <c r="ET655" s="1307"/>
      <c r="EU655" s="1307"/>
      <c r="EV655" s="1307"/>
      <c r="EW655" s="1307" t="e">
        <f t="shared" si="28"/>
        <v>#VALUE!</v>
      </c>
      <c r="EX655" s="1307"/>
      <c r="EY655" s="1307"/>
      <c r="EZ655" s="1307"/>
      <c r="FA655" s="1307"/>
    </row>
    <row r="656" spans="1:157" ht="13.2" customHeight="1">
      <c r="A656" s="20"/>
      <c r="B656" t="s">
        <v>1482</v>
      </c>
      <c r="H656" s="1381" t="s">
        <v>1496</v>
      </c>
      <c r="I656" s="1381"/>
      <c r="J656" s="1381"/>
      <c r="K656" s="1381"/>
      <c r="L656" s="1381"/>
      <c r="M656" s="1381"/>
      <c r="N656" s="1381"/>
      <c r="O656" s="1381"/>
      <c r="P656" s="1381"/>
      <c r="Q656" s="1381"/>
      <c r="R656" s="1381"/>
      <c r="T656" s="20"/>
      <c r="U656" t="s">
        <v>1482</v>
      </c>
      <c r="AA656" s="1381" t="s">
        <v>1467</v>
      </c>
      <c r="AB656" s="1381"/>
      <c r="AC656" s="1381"/>
      <c r="AD656" s="1381"/>
      <c r="AE656" s="1381"/>
      <c r="AF656" s="1381"/>
      <c r="AG656" s="1381"/>
      <c r="AH656" s="1381"/>
      <c r="AI656" s="1381"/>
      <c r="AJ656" s="1381"/>
      <c r="AK656" s="1381"/>
      <c r="AZ656" s="3"/>
      <c r="BA656" s="3"/>
      <c r="BB656" s="3"/>
      <c r="BC656" s="3"/>
      <c r="BD656" s="3"/>
      <c r="BE656" s="3"/>
      <c r="BF656" s="3"/>
      <c r="BG656" s="3"/>
      <c r="BH656" s="3"/>
      <c r="BI656" s="3"/>
      <c r="BJ656" s="3"/>
      <c r="BK656" s="3"/>
      <c r="BL656" s="3"/>
      <c r="BM656" s="3"/>
      <c r="BR656" s="784">
        <f>BN655*1</f>
        <v>0</v>
      </c>
      <c r="BS656" s="3"/>
      <c r="BT656" s="3"/>
      <c r="BU656" s="3"/>
      <c r="BV656" s="3"/>
      <c r="BW656" s="784">
        <f>BS655*1</f>
        <v>0</v>
      </c>
      <c r="BX656" s="3"/>
      <c r="BY656" s="3"/>
      <c r="BZ656" s="3"/>
      <c r="CA656" s="3"/>
      <c r="CB656" s="784">
        <f>BX655*2</f>
        <v>0</v>
      </c>
      <c r="CC656" s="3"/>
      <c r="CD656" s="3"/>
      <c r="CE656" s="3"/>
      <c r="CF656" s="3"/>
      <c r="CG656" s="784">
        <f>CC655*3</f>
        <v>0</v>
      </c>
      <c r="CH656" s="3"/>
      <c r="CI656" s="3"/>
      <c r="CJ656" s="3"/>
      <c r="CK656" s="3"/>
      <c r="CL656" s="784">
        <f>CH655*4</f>
        <v>0</v>
      </c>
      <c r="CM656" s="3"/>
      <c r="CN656" s="3"/>
      <c r="CO656" s="3"/>
      <c r="CP656" s="3"/>
      <c r="CQ656" s="78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07" t="e">
        <f t="shared" si="29"/>
        <v>#VALUE!</v>
      </c>
      <c r="DY656" s="1307"/>
      <c r="DZ656" s="1307"/>
      <c r="EA656" s="1307"/>
      <c r="EB656" s="1307"/>
      <c r="EC656" s="1307" t="e">
        <f t="shared" si="24"/>
        <v>#VALUE!</v>
      </c>
      <c r="ED656" s="1307"/>
      <c r="EE656" s="1307"/>
      <c r="EF656" s="1307"/>
      <c r="EG656" s="1307"/>
      <c r="EH656" s="1307" t="e">
        <f t="shared" si="25"/>
        <v>#VALUE!</v>
      </c>
      <c r="EI656" s="1307"/>
      <c r="EJ656" s="1307"/>
      <c r="EK656" s="1307"/>
      <c r="EL656" s="1307"/>
      <c r="EM656" s="1307" t="e">
        <f t="shared" si="26"/>
        <v>#VALUE!</v>
      </c>
      <c r="EN656" s="1307"/>
      <c r="EO656" s="1307"/>
      <c r="EP656" s="1307"/>
      <c r="EQ656" s="1307"/>
      <c r="ER656" s="1307" t="e">
        <f t="shared" si="27"/>
        <v>#VALUE!</v>
      </c>
      <c r="ES656" s="1307"/>
      <c r="ET656" s="1307"/>
      <c r="EU656" s="1307"/>
      <c r="EV656" s="1307"/>
      <c r="EW656" s="1307" t="e">
        <f t="shared" si="28"/>
        <v>#VALUE!</v>
      </c>
      <c r="EX656" s="1307"/>
      <c r="EY656" s="1307"/>
      <c r="EZ656" s="1307"/>
      <c r="FA656" s="1307"/>
    </row>
    <row r="657" spans="1:157" ht="13.2" customHeight="1">
      <c r="A657" s="20"/>
      <c r="B657" t="s">
        <v>1486</v>
      </c>
      <c r="N657" s="1348" t="s">
        <v>836</v>
      </c>
      <c r="O657" s="1348"/>
      <c r="T657" s="20"/>
      <c r="U657" t="s">
        <v>1486</v>
      </c>
      <c r="AG657" s="1348" t="s">
        <v>836</v>
      </c>
      <c r="AH657" s="1348"/>
      <c r="AZ657" s="3"/>
      <c r="BA657" s="3"/>
      <c r="BB657" s="3"/>
      <c r="BC657" s="3"/>
      <c r="BD657" s="3"/>
      <c r="BE657" s="3"/>
      <c r="BF657" s="3"/>
      <c r="BG657" s="3"/>
      <c r="BH657" s="3"/>
      <c r="BI657" s="3"/>
      <c r="BJ657" s="3"/>
      <c r="BK657" s="3"/>
      <c r="BL657" s="3"/>
      <c r="BM657" s="3"/>
      <c r="CR657" s="3"/>
      <c r="CS657" s="784">
        <f>BN655+BS655+BX655+CC655+CH655+CM655</f>
        <v>0</v>
      </c>
      <c r="CT657" s="50" t="s">
        <v>1532</v>
      </c>
      <c r="CU657" s="3"/>
      <c r="CV657" s="3"/>
      <c r="CW657" s="3"/>
      <c r="CX657" s="3"/>
      <c r="CY657" s="3"/>
      <c r="CZ657" s="3"/>
      <c r="DA657" s="3"/>
      <c r="DB657" s="3"/>
      <c r="DC657" s="3"/>
      <c r="DD657" s="3"/>
      <c r="DE657" s="3"/>
      <c r="DF657" s="3"/>
      <c r="DQ657" s="49" t="s">
        <v>1533</v>
      </c>
      <c r="DR657" s="1307">
        <f>SUM(CS655:DV655)</f>
        <v>0</v>
      </c>
      <c r="DS657" s="1307"/>
      <c r="DT657" s="1307"/>
      <c r="DU657" s="1307"/>
      <c r="DV657" s="1307"/>
      <c r="DX657" s="1307" t="e">
        <f t="shared" si="29"/>
        <v>#VALUE!</v>
      </c>
      <c r="DY657" s="1307"/>
      <c r="DZ657" s="1307"/>
      <c r="EA657" s="1307"/>
      <c r="EB657" s="1307"/>
      <c r="EC657" s="1307" t="e">
        <f t="shared" si="24"/>
        <v>#VALUE!</v>
      </c>
      <c r="ED657" s="1307"/>
      <c r="EE657" s="1307"/>
      <c r="EF657" s="1307"/>
      <c r="EG657" s="1307"/>
      <c r="EH657" s="1307" t="e">
        <f t="shared" si="25"/>
        <v>#VALUE!</v>
      </c>
      <c r="EI657" s="1307"/>
      <c r="EJ657" s="1307"/>
      <c r="EK657" s="1307"/>
      <c r="EL657" s="1307"/>
      <c r="EM657" s="1307" t="e">
        <f t="shared" si="26"/>
        <v>#VALUE!</v>
      </c>
      <c r="EN657" s="1307"/>
      <c r="EO657" s="1307"/>
      <c r="EP657" s="1307"/>
      <c r="EQ657" s="1307"/>
      <c r="ER657" s="1307" t="e">
        <f t="shared" si="27"/>
        <v>#VALUE!</v>
      </c>
      <c r="ES657" s="1307"/>
      <c r="ET657" s="1307"/>
      <c r="EU657" s="1307"/>
      <c r="EV657" s="1307"/>
      <c r="EW657" s="1307" t="e">
        <f t="shared" si="28"/>
        <v>#VALUE!</v>
      </c>
      <c r="EX657" s="1307"/>
      <c r="EY657" s="1307"/>
      <c r="EZ657" s="1307"/>
      <c r="FA657" s="1307"/>
    </row>
    <row r="658" spans="1:157" ht="13.2" customHeight="1">
      <c r="A658" s="20"/>
      <c r="T658" s="20"/>
      <c r="AZ658" s="3"/>
      <c r="BA658" s="3"/>
      <c r="BB658" s="3"/>
      <c r="BC658" s="3"/>
      <c r="BD658" s="3"/>
      <c r="BE658" s="3"/>
      <c r="BF658" s="3"/>
      <c r="BG658" s="3"/>
      <c r="BH658" s="3"/>
      <c r="BI658" s="3"/>
      <c r="BJ658" s="3"/>
      <c r="BK658" s="3"/>
      <c r="BL658" s="3"/>
      <c r="BM658" s="3"/>
      <c r="CR658" s="3"/>
      <c r="CS658" s="784">
        <f>BR656+BW656+CB656+CG656+CL656+CQ656</f>
        <v>0</v>
      </c>
      <c r="CT658" s="50" t="s">
        <v>1534</v>
      </c>
      <c r="CU658" s="3"/>
      <c r="CV658" s="3"/>
      <c r="CW658" s="3"/>
      <c r="CX658" s="3"/>
      <c r="CY658" s="3"/>
      <c r="CZ658" s="3"/>
      <c r="DA658" s="3"/>
      <c r="DB658" s="3"/>
      <c r="DC658" s="3"/>
      <c r="DD658" s="3"/>
      <c r="DE658" s="3"/>
      <c r="DF658" s="3"/>
      <c r="DX658" s="1307" t="e">
        <f t="shared" ref="DX658:DX667" si="42">DX620*(BN620/$BN$632)</f>
        <v>#VALUE!</v>
      </c>
      <c r="DY658" s="1307"/>
      <c r="DZ658" s="1307"/>
      <c r="EA658" s="1307"/>
      <c r="EB658" s="1307"/>
      <c r="EC658" s="1307" t="e">
        <f t="shared" ref="EC658:EC667" si="43">EC620*(BS620/$BS$632)</f>
        <v>#VALUE!</v>
      </c>
      <c r="ED658" s="1307"/>
      <c r="EE658" s="1307"/>
      <c r="EF658" s="1307"/>
      <c r="EG658" s="1307"/>
      <c r="EH658" s="1307" t="e">
        <f t="shared" ref="EH658:EH667" si="44">EH620*(BX620/$BX$632)</f>
        <v>#VALUE!</v>
      </c>
      <c r="EI658" s="1307"/>
      <c r="EJ658" s="1307"/>
      <c r="EK658" s="1307"/>
      <c r="EL658" s="1307"/>
      <c r="EM658" s="1307" t="e">
        <f t="shared" ref="EM658:EM667" si="45">EM620*(CC620/$CC$632)</f>
        <v>#VALUE!</v>
      </c>
      <c r="EN658" s="1307"/>
      <c r="EO658" s="1307"/>
      <c r="EP658" s="1307"/>
      <c r="EQ658" s="1307"/>
      <c r="ER658" s="1307" t="e">
        <f t="shared" ref="ER658:ER667" si="46">ER620*(CH620/$CH$632)</f>
        <v>#VALUE!</v>
      </c>
      <c r="ES658" s="1307"/>
      <c r="ET658" s="1307"/>
      <c r="EU658" s="1307"/>
      <c r="EV658" s="1307"/>
      <c r="EW658" s="1307" t="e">
        <f t="shared" ref="EW658:EW667" si="47">EW620*(CM620/$CM$632)</f>
        <v>#VALUE!</v>
      </c>
      <c r="EX658" s="1307"/>
      <c r="EY658" s="1307"/>
      <c r="EZ658" s="1307"/>
      <c r="FA658" s="1307"/>
    </row>
    <row r="659" spans="1:157" ht="13.2" customHeight="1">
      <c r="A659" s="48" t="s">
        <v>85</v>
      </c>
      <c r="B659" t="s">
        <v>1477</v>
      </c>
      <c r="G659" s="1449">
        <f>C631</f>
        <v>0</v>
      </c>
      <c r="H659" s="1449"/>
      <c r="I659" s="1449"/>
      <c r="J659" s="1449"/>
      <c r="K659" s="1449"/>
      <c r="L659" s="1449"/>
      <c r="M659" s="1449"/>
      <c r="N659" s="1449"/>
      <c r="O659" s="1449"/>
      <c r="P659" s="1449"/>
      <c r="Q659" s="1449"/>
      <c r="R659" s="1449"/>
      <c r="T659" s="48" t="s">
        <v>1468</v>
      </c>
      <c r="U659" t="s">
        <v>1477</v>
      </c>
      <c r="Z659" s="1449">
        <f>C632</f>
        <v>0</v>
      </c>
      <c r="AA659" s="1449"/>
      <c r="AB659" s="1449"/>
      <c r="AC659" s="1449"/>
      <c r="AD659" s="1449"/>
      <c r="AE659" s="1449"/>
      <c r="AF659" s="1449"/>
      <c r="AG659" s="1449"/>
      <c r="AH659" s="1449"/>
      <c r="AI659" s="1449"/>
      <c r="AJ659" s="1449"/>
      <c r="AK659" s="1449"/>
      <c r="AZ659" s="3"/>
      <c r="BA659" s="3"/>
      <c r="BB659" s="3"/>
      <c r="BC659" s="3"/>
      <c r="BD659" s="3"/>
      <c r="BE659" s="3"/>
      <c r="BF659" s="3"/>
      <c r="BG659" s="3"/>
      <c r="BH659" s="3"/>
      <c r="BI659" s="3"/>
      <c r="BJ659" s="3"/>
      <c r="BK659" s="3"/>
      <c r="BL659" s="3"/>
      <c r="BM659" s="3"/>
      <c r="BN659" s="3" t="s">
        <v>1535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07" t="e">
        <f t="shared" si="42"/>
        <v>#VALUE!</v>
      </c>
      <c r="DY659" s="1307"/>
      <c r="DZ659" s="1307"/>
      <c r="EA659" s="1307"/>
      <c r="EB659" s="1307"/>
      <c r="EC659" s="1307" t="e">
        <f t="shared" si="43"/>
        <v>#VALUE!</v>
      </c>
      <c r="ED659" s="1307"/>
      <c r="EE659" s="1307"/>
      <c r="EF659" s="1307"/>
      <c r="EG659" s="1307"/>
      <c r="EH659" s="1307" t="e">
        <f t="shared" si="44"/>
        <v>#VALUE!</v>
      </c>
      <c r="EI659" s="1307"/>
      <c r="EJ659" s="1307"/>
      <c r="EK659" s="1307"/>
      <c r="EL659" s="1307"/>
      <c r="EM659" s="1307" t="e">
        <f t="shared" si="45"/>
        <v>#VALUE!</v>
      </c>
      <c r="EN659" s="1307"/>
      <c r="EO659" s="1307"/>
      <c r="EP659" s="1307"/>
      <c r="EQ659" s="1307"/>
      <c r="ER659" s="1307" t="e">
        <f t="shared" si="46"/>
        <v>#VALUE!</v>
      </c>
      <c r="ES659" s="1307"/>
      <c r="ET659" s="1307"/>
      <c r="EU659" s="1307"/>
      <c r="EV659" s="1307"/>
      <c r="EW659" s="1307" t="e">
        <f t="shared" si="47"/>
        <v>#VALUE!</v>
      </c>
      <c r="EX659" s="1307"/>
      <c r="EY659" s="1307"/>
      <c r="EZ659" s="1307"/>
      <c r="FA659" s="1307"/>
    </row>
    <row r="660" spans="1:157" ht="13.2" customHeight="1">
      <c r="A660" s="20"/>
      <c r="B660" t="s">
        <v>1109</v>
      </c>
      <c r="G660" s="1381"/>
      <c r="H660" s="1381"/>
      <c r="I660" s="1381"/>
      <c r="J660" s="1381"/>
      <c r="K660" s="1381"/>
      <c r="L660" s="1381"/>
      <c r="M660" s="1381"/>
      <c r="N660" s="1381"/>
      <c r="O660" s="1381"/>
      <c r="P660" s="1381"/>
      <c r="Q660" s="1381"/>
      <c r="R660" s="1381"/>
      <c r="T660" s="20"/>
      <c r="U660" t="s">
        <v>1109</v>
      </c>
      <c r="Z660" s="1381"/>
      <c r="AA660" s="1381"/>
      <c r="AB660" s="1381"/>
      <c r="AC660" s="1381"/>
      <c r="AD660" s="1381"/>
      <c r="AE660" s="1381"/>
      <c r="AF660" s="1381"/>
      <c r="AG660" s="1381"/>
      <c r="AH660" s="1381"/>
      <c r="AI660" s="1381"/>
      <c r="AJ660" s="1381"/>
      <c r="AK660" s="1381"/>
      <c r="AZ660" s="3"/>
      <c r="BA660" s="3"/>
      <c r="BB660" s="3"/>
      <c r="BC660" s="3"/>
      <c r="BD660" s="3"/>
      <c r="BE660" s="3"/>
      <c r="BF660" s="3"/>
      <c r="BG660" s="3"/>
      <c r="BH660" s="3"/>
      <c r="BI660" s="3"/>
      <c r="BJ660" s="3"/>
      <c r="BK660" s="3"/>
      <c r="BL660" s="3"/>
      <c r="BM660" s="3"/>
      <c r="BN660" s="1339">
        <f>BN632+BN641+BN655</f>
        <v>0</v>
      </c>
      <c r="BO660" s="1340"/>
      <c r="BP660" s="1340"/>
      <c r="BQ660" s="1340"/>
      <c r="BR660" s="1341"/>
      <c r="BS660" s="1339">
        <f>BS632+BS641+BS655</f>
        <v>97</v>
      </c>
      <c r="BT660" s="1340"/>
      <c r="BU660" s="1340"/>
      <c r="BV660" s="1340"/>
      <c r="BW660" s="1341"/>
      <c r="BX660" s="1339">
        <f>BX632+BX641+BX655</f>
        <v>4</v>
      </c>
      <c r="BY660" s="1340"/>
      <c r="BZ660" s="1340"/>
      <c r="CA660" s="1340"/>
      <c r="CB660" s="1341"/>
      <c r="CC660" s="1339">
        <f>CC632+CC641+CC655</f>
        <v>0</v>
      </c>
      <c r="CD660" s="1340"/>
      <c r="CE660" s="1340"/>
      <c r="CF660" s="1340"/>
      <c r="CG660" s="1341"/>
      <c r="CH660" s="1339">
        <f>CH632+CH641+CH655</f>
        <v>0</v>
      </c>
      <c r="CI660" s="1340"/>
      <c r="CJ660" s="1340"/>
      <c r="CK660" s="1340"/>
      <c r="CL660" s="1341"/>
      <c r="CM660" s="1339">
        <f>CM655+CM641+CM632</f>
        <v>0</v>
      </c>
      <c r="CN660" s="1340"/>
      <c r="CO660" s="1340"/>
      <c r="CP660" s="1340"/>
      <c r="CQ660" s="1341"/>
      <c r="CR660" s="3"/>
      <c r="CS660" s="784">
        <f>CS634+CS658</f>
        <v>103</v>
      </c>
      <c r="CT660" s="50" t="s">
        <v>1536</v>
      </c>
      <c r="CU660" s="3"/>
      <c r="CV660" s="3"/>
      <c r="CW660" s="3"/>
      <c r="CX660" s="3"/>
      <c r="CY660" s="3"/>
      <c r="CZ660" s="3"/>
      <c r="DA660" s="3"/>
      <c r="DB660" s="3"/>
      <c r="DC660" s="3"/>
      <c r="DD660" s="3"/>
      <c r="DE660" s="3"/>
      <c r="DF660" s="3"/>
      <c r="DX660" s="1307" t="e">
        <f t="shared" si="42"/>
        <v>#VALUE!</v>
      </c>
      <c r="DY660" s="1307"/>
      <c r="DZ660" s="1307"/>
      <c r="EA660" s="1307"/>
      <c r="EB660" s="1307"/>
      <c r="EC660" s="1307" t="e">
        <f t="shared" si="43"/>
        <v>#VALUE!</v>
      </c>
      <c r="ED660" s="1307"/>
      <c r="EE660" s="1307"/>
      <c r="EF660" s="1307"/>
      <c r="EG660" s="1307"/>
      <c r="EH660" s="1307" t="e">
        <f t="shared" si="44"/>
        <v>#VALUE!</v>
      </c>
      <c r="EI660" s="1307"/>
      <c r="EJ660" s="1307"/>
      <c r="EK660" s="1307"/>
      <c r="EL660" s="1307"/>
      <c r="EM660" s="1307" t="e">
        <f t="shared" si="45"/>
        <v>#VALUE!</v>
      </c>
      <c r="EN660" s="1307"/>
      <c r="EO660" s="1307"/>
      <c r="EP660" s="1307"/>
      <c r="EQ660" s="1307"/>
      <c r="ER660" s="1307" t="e">
        <f t="shared" si="46"/>
        <v>#VALUE!</v>
      </c>
      <c r="ES660" s="1307"/>
      <c r="ET660" s="1307"/>
      <c r="EU660" s="1307"/>
      <c r="EV660" s="1307"/>
      <c r="EW660" s="1307" t="e">
        <f t="shared" si="47"/>
        <v>#VALUE!</v>
      </c>
      <c r="EX660" s="1307"/>
      <c r="EY660" s="1307"/>
      <c r="EZ660" s="1307"/>
      <c r="FA660" s="1307"/>
    </row>
    <row r="661" spans="1:157" ht="13.2" customHeight="1">
      <c r="A661" s="20"/>
      <c r="B661" t="s">
        <v>979</v>
      </c>
      <c r="G661" s="1381"/>
      <c r="H661" s="1381"/>
      <c r="I661" s="1381"/>
      <c r="J661" s="1381"/>
      <c r="K661" s="1381"/>
      <c r="L661" s="1381"/>
      <c r="M661" s="1381"/>
      <c r="N661" s="1381"/>
      <c r="O661" s="1381"/>
      <c r="P661" s="1381"/>
      <c r="Q661" s="1381"/>
      <c r="R661" s="1381"/>
      <c r="T661" s="20"/>
      <c r="U661" t="s">
        <v>979</v>
      </c>
      <c r="Z661" s="1329"/>
      <c r="AA661" s="1329"/>
      <c r="AB661" s="1329"/>
      <c r="AC661" s="1329"/>
      <c r="AD661" s="1329"/>
      <c r="AE661" s="1329"/>
      <c r="AF661" s="1329"/>
      <c r="AG661" s="1329"/>
      <c r="AH661" s="1329"/>
      <c r="AI661" s="1329"/>
      <c r="AJ661" s="1329"/>
      <c r="AK661" s="1329"/>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07" t="e">
        <f t="shared" si="42"/>
        <v>#VALUE!</v>
      </c>
      <c r="DY661" s="1307"/>
      <c r="DZ661" s="1307"/>
      <c r="EA661" s="1307"/>
      <c r="EB661" s="1307"/>
      <c r="EC661" s="1307" t="e">
        <f t="shared" si="43"/>
        <v>#VALUE!</v>
      </c>
      <c r="ED661" s="1307"/>
      <c r="EE661" s="1307"/>
      <c r="EF661" s="1307"/>
      <c r="EG661" s="1307"/>
      <c r="EH661" s="1307" t="e">
        <f t="shared" si="44"/>
        <v>#VALUE!</v>
      </c>
      <c r="EI661" s="1307"/>
      <c r="EJ661" s="1307"/>
      <c r="EK661" s="1307"/>
      <c r="EL661" s="1307"/>
      <c r="EM661" s="1307" t="e">
        <f t="shared" si="45"/>
        <v>#VALUE!</v>
      </c>
      <c r="EN661" s="1307"/>
      <c r="EO661" s="1307"/>
      <c r="EP661" s="1307"/>
      <c r="EQ661" s="1307"/>
      <c r="ER661" s="1307" t="e">
        <f t="shared" si="46"/>
        <v>#VALUE!</v>
      </c>
      <c r="ES661" s="1307"/>
      <c r="ET661" s="1307"/>
      <c r="EU661" s="1307"/>
      <c r="EV661" s="1307"/>
      <c r="EW661" s="1307" t="e">
        <f t="shared" si="47"/>
        <v>#VALUE!</v>
      </c>
      <c r="EX661" s="1307"/>
      <c r="EY661" s="1307"/>
      <c r="EZ661" s="1307"/>
      <c r="FA661" s="1307"/>
    </row>
    <row r="662" spans="1:157" ht="13.2" customHeight="1">
      <c r="A662" s="20"/>
      <c r="B662" t="s">
        <v>1479</v>
      </c>
      <c r="G662" s="1381"/>
      <c r="H662" s="1381"/>
      <c r="I662" s="1381"/>
      <c r="J662" s="1381"/>
      <c r="K662" s="1381"/>
      <c r="L662" s="1381"/>
      <c r="M662" s="1381"/>
      <c r="N662" s="1381"/>
      <c r="O662" s="1381"/>
      <c r="P662" s="1381"/>
      <c r="Q662" s="1381"/>
      <c r="R662" s="1381"/>
      <c r="T662" s="20"/>
      <c r="U662" t="s">
        <v>1479</v>
      </c>
      <c r="Z662" s="1329"/>
      <c r="AA662" s="1329"/>
      <c r="AB662" s="1329"/>
      <c r="AC662" s="1329"/>
      <c r="AD662" s="1329"/>
      <c r="AE662" s="1329"/>
      <c r="AF662" s="1329"/>
      <c r="AG662" s="1329"/>
      <c r="AH662" s="1329"/>
      <c r="AI662" s="1329"/>
      <c r="AJ662" s="1329"/>
      <c r="AK662" s="132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07" t="e">
        <f t="shared" si="42"/>
        <v>#VALUE!</v>
      </c>
      <c r="DY662" s="1307"/>
      <c r="DZ662" s="1307"/>
      <c r="EA662" s="1307"/>
      <c r="EB662" s="1307"/>
      <c r="EC662" s="1307" t="e">
        <f t="shared" si="43"/>
        <v>#VALUE!</v>
      </c>
      <c r="ED662" s="1307"/>
      <c r="EE662" s="1307"/>
      <c r="EF662" s="1307"/>
      <c r="EG662" s="1307"/>
      <c r="EH662" s="1307" t="e">
        <f t="shared" si="44"/>
        <v>#VALUE!</v>
      </c>
      <c r="EI662" s="1307"/>
      <c r="EJ662" s="1307"/>
      <c r="EK662" s="1307"/>
      <c r="EL662" s="1307"/>
      <c r="EM662" s="1307" t="e">
        <f t="shared" si="45"/>
        <v>#VALUE!</v>
      </c>
      <c r="EN662" s="1307"/>
      <c r="EO662" s="1307"/>
      <c r="EP662" s="1307"/>
      <c r="EQ662" s="1307"/>
      <c r="ER662" s="1307" t="e">
        <f t="shared" si="46"/>
        <v>#VALUE!</v>
      </c>
      <c r="ES662" s="1307"/>
      <c r="ET662" s="1307"/>
      <c r="EU662" s="1307"/>
      <c r="EV662" s="1307"/>
      <c r="EW662" s="1307" t="e">
        <f t="shared" si="47"/>
        <v>#VALUE!</v>
      </c>
      <c r="EX662" s="1307"/>
      <c r="EY662" s="1307"/>
      <c r="EZ662" s="1307"/>
      <c r="FA662" s="1307"/>
    </row>
    <row r="663" spans="1:157" ht="13.2" customHeight="1">
      <c r="A663" s="20"/>
      <c r="B663" t="s">
        <v>881</v>
      </c>
      <c r="G663" s="1378"/>
      <c r="H663" s="1378"/>
      <c r="I663" s="1378"/>
      <c r="J663" s="1378"/>
      <c r="K663" s="1378"/>
      <c r="L663" s="1378"/>
      <c r="O663" s="948" t="s">
        <v>1117</v>
      </c>
      <c r="P663" s="1349"/>
      <c r="Q663" s="1349"/>
      <c r="R663" s="1349"/>
      <c r="T663" s="20"/>
      <c r="U663" t="s">
        <v>881</v>
      </c>
      <c r="Z663" s="1378"/>
      <c r="AA663" s="1378"/>
      <c r="AB663" s="1378"/>
      <c r="AC663" s="1378"/>
      <c r="AD663" s="1378"/>
      <c r="AE663" s="1378"/>
      <c r="AH663" s="948" t="s">
        <v>1117</v>
      </c>
      <c r="AI663" s="1349"/>
      <c r="AJ663" s="1349"/>
      <c r="AK663" s="134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07" t="e">
        <f t="shared" si="42"/>
        <v>#VALUE!</v>
      </c>
      <c r="DY663" s="1307"/>
      <c r="DZ663" s="1307"/>
      <c r="EA663" s="1307"/>
      <c r="EB663" s="1307"/>
      <c r="EC663" s="1307" t="e">
        <f t="shared" si="43"/>
        <v>#VALUE!</v>
      </c>
      <c r="ED663" s="1307"/>
      <c r="EE663" s="1307"/>
      <c r="EF663" s="1307"/>
      <c r="EG663" s="1307"/>
      <c r="EH663" s="1307" t="e">
        <f t="shared" si="44"/>
        <v>#VALUE!</v>
      </c>
      <c r="EI663" s="1307"/>
      <c r="EJ663" s="1307"/>
      <c r="EK663" s="1307"/>
      <c r="EL663" s="1307"/>
      <c r="EM663" s="1307" t="e">
        <f t="shared" si="45"/>
        <v>#VALUE!</v>
      </c>
      <c r="EN663" s="1307"/>
      <c r="EO663" s="1307"/>
      <c r="EP663" s="1307"/>
      <c r="EQ663" s="1307"/>
      <c r="ER663" s="1307" t="e">
        <f t="shared" si="46"/>
        <v>#VALUE!</v>
      </c>
      <c r="ES663" s="1307"/>
      <c r="ET663" s="1307"/>
      <c r="EU663" s="1307"/>
      <c r="EV663" s="1307"/>
      <c r="EW663" s="1307" t="e">
        <f t="shared" si="47"/>
        <v>#VALUE!</v>
      </c>
      <c r="EX663" s="1307"/>
      <c r="EY663" s="1307"/>
      <c r="EZ663" s="1307"/>
      <c r="FA663" s="1307"/>
    </row>
    <row r="664" spans="1:157" ht="13.2" customHeight="1">
      <c r="A664" s="20"/>
      <c r="B664" t="s">
        <v>1482</v>
      </c>
      <c r="H664" s="1381"/>
      <c r="I664" s="1381"/>
      <c r="J664" s="1381"/>
      <c r="K664" s="1381"/>
      <c r="L664" s="1381"/>
      <c r="M664" s="1381"/>
      <c r="N664" s="1381"/>
      <c r="O664" s="1381"/>
      <c r="P664" s="1381"/>
      <c r="Q664" s="1381"/>
      <c r="R664" s="1381"/>
      <c r="T664" s="20"/>
      <c r="U664" t="s">
        <v>1482</v>
      </c>
      <c r="AA664" s="1381"/>
      <c r="AB664" s="1381"/>
      <c r="AC664" s="1381"/>
      <c r="AD664" s="1381"/>
      <c r="AE664" s="1381"/>
      <c r="AF664" s="1381"/>
      <c r="AG664" s="1381"/>
      <c r="AH664" s="1381"/>
      <c r="AI664" s="1381"/>
      <c r="AJ664" s="1381"/>
      <c r="AK664" s="138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07" t="e">
        <f t="shared" si="42"/>
        <v>#VALUE!</v>
      </c>
      <c r="DY664" s="1307"/>
      <c r="DZ664" s="1307"/>
      <c r="EA664" s="1307"/>
      <c r="EB664" s="1307"/>
      <c r="EC664" s="1307" t="e">
        <f t="shared" si="43"/>
        <v>#VALUE!</v>
      </c>
      <c r="ED664" s="1307"/>
      <c r="EE664" s="1307"/>
      <c r="EF664" s="1307"/>
      <c r="EG664" s="1307"/>
      <c r="EH664" s="1307" t="e">
        <f t="shared" si="44"/>
        <v>#VALUE!</v>
      </c>
      <c r="EI664" s="1307"/>
      <c r="EJ664" s="1307"/>
      <c r="EK664" s="1307"/>
      <c r="EL664" s="1307"/>
      <c r="EM664" s="1307" t="e">
        <f t="shared" si="45"/>
        <v>#VALUE!</v>
      </c>
      <c r="EN664" s="1307"/>
      <c r="EO664" s="1307"/>
      <c r="EP664" s="1307"/>
      <c r="EQ664" s="1307"/>
      <c r="ER664" s="1307" t="e">
        <f t="shared" si="46"/>
        <v>#VALUE!</v>
      </c>
      <c r="ES664" s="1307"/>
      <c r="ET664" s="1307"/>
      <c r="EU664" s="1307"/>
      <c r="EV664" s="1307"/>
      <c r="EW664" s="1307" t="e">
        <f t="shared" si="47"/>
        <v>#VALUE!</v>
      </c>
      <c r="EX664" s="1307"/>
      <c r="EY664" s="1307"/>
      <c r="EZ664" s="1307"/>
      <c r="FA664" s="1307"/>
    </row>
    <row r="665" spans="1:157" ht="13.2" customHeight="1">
      <c r="A665" s="20"/>
      <c r="B665" t="s">
        <v>1486</v>
      </c>
      <c r="N665" s="1348" t="s">
        <v>892</v>
      </c>
      <c r="O665" s="1348"/>
      <c r="T665" s="20"/>
      <c r="U665" t="s">
        <v>1486</v>
      </c>
      <c r="AG665" s="1348" t="s">
        <v>892</v>
      </c>
      <c r="AH665" s="134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07" t="e">
        <f t="shared" si="42"/>
        <v>#VALUE!</v>
      </c>
      <c r="DY665" s="1307"/>
      <c r="DZ665" s="1307"/>
      <c r="EA665" s="1307"/>
      <c r="EB665" s="1307"/>
      <c r="EC665" s="1307" t="e">
        <f t="shared" si="43"/>
        <v>#VALUE!</v>
      </c>
      <c r="ED665" s="1307"/>
      <c r="EE665" s="1307"/>
      <c r="EF665" s="1307"/>
      <c r="EG665" s="1307"/>
      <c r="EH665" s="1307" t="e">
        <f t="shared" si="44"/>
        <v>#VALUE!</v>
      </c>
      <c r="EI665" s="1307"/>
      <c r="EJ665" s="1307"/>
      <c r="EK665" s="1307"/>
      <c r="EL665" s="1307"/>
      <c r="EM665" s="1307" t="e">
        <f t="shared" si="45"/>
        <v>#VALUE!</v>
      </c>
      <c r="EN665" s="1307"/>
      <c r="EO665" s="1307"/>
      <c r="EP665" s="1307"/>
      <c r="EQ665" s="1307"/>
      <c r="ER665" s="1307" t="e">
        <f t="shared" si="46"/>
        <v>#VALUE!</v>
      </c>
      <c r="ES665" s="1307"/>
      <c r="ET665" s="1307"/>
      <c r="EU665" s="1307"/>
      <c r="EV665" s="1307"/>
      <c r="EW665" s="1307" t="e">
        <f t="shared" si="47"/>
        <v>#VALUE!</v>
      </c>
      <c r="EX665" s="1307"/>
      <c r="EY665" s="1307"/>
      <c r="EZ665" s="1307"/>
      <c r="FA665" s="1307"/>
    </row>
    <row r="666" spans="1:157" ht="13.2" customHeight="1">
      <c r="A666" s="20"/>
      <c r="T666" s="20"/>
      <c r="AZ666" s="3"/>
      <c r="BA666" s="74" t="s">
        <v>1537</v>
      </c>
      <c r="BB666" s="3"/>
      <c r="BC666" s="3"/>
      <c r="BD666" s="3"/>
      <c r="BE666" s="3"/>
      <c r="BF666" s="143"/>
      <c r="BG666" s="144" t="s">
        <v>1538</v>
      </c>
      <c r="BH666" s="143"/>
      <c r="BI666" s="143"/>
      <c r="BJ666" s="3"/>
      <c r="BK666" s="3"/>
      <c r="BL666" s="3"/>
      <c r="BM666" s="3"/>
      <c r="BN666" s="3"/>
      <c r="BO666" s="3"/>
      <c r="BT666" s="144" t="s">
        <v>1539</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07" t="e">
        <f t="shared" si="42"/>
        <v>#VALUE!</v>
      </c>
      <c r="DY666" s="1307"/>
      <c r="DZ666" s="1307"/>
      <c r="EA666" s="1307"/>
      <c r="EB666" s="1307"/>
      <c r="EC666" s="1307" t="e">
        <f t="shared" si="43"/>
        <v>#VALUE!</v>
      </c>
      <c r="ED666" s="1307"/>
      <c r="EE666" s="1307"/>
      <c r="EF666" s="1307"/>
      <c r="EG666" s="1307"/>
      <c r="EH666" s="1307" t="e">
        <f t="shared" si="44"/>
        <v>#VALUE!</v>
      </c>
      <c r="EI666" s="1307"/>
      <c r="EJ666" s="1307"/>
      <c r="EK666" s="1307"/>
      <c r="EL666" s="1307"/>
      <c r="EM666" s="1307" t="e">
        <f t="shared" si="45"/>
        <v>#VALUE!</v>
      </c>
      <c r="EN666" s="1307"/>
      <c r="EO666" s="1307"/>
      <c r="EP666" s="1307"/>
      <c r="EQ666" s="1307"/>
      <c r="ER666" s="1307" t="e">
        <f t="shared" si="46"/>
        <v>#VALUE!</v>
      </c>
      <c r="ES666" s="1307"/>
      <c r="ET666" s="1307"/>
      <c r="EU666" s="1307"/>
      <c r="EV666" s="1307"/>
      <c r="EW666" s="1307" t="e">
        <f t="shared" si="47"/>
        <v>#VALUE!</v>
      </c>
      <c r="EX666" s="1307"/>
      <c r="EY666" s="1307"/>
      <c r="EZ666" s="1307"/>
      <c r="FA666" s="1307"/>
    </row>
    <row r="667" spans="1:157" ht="13.2" customHeight="1">
      <c r="A667" s="48" t="s">
        <v>1470</v>
      </c>
      <c r="B667" t="s">
        <v>1477</v>
      </c>
      <c r="G667" s="1449">
        <f>C633</f>
        <v>0</v>
      </c>
      <c r="H667" s="1449"/>
      <c r="I667" s="1449"/>
      <c r="J667" s="1449"/>
      <c r="K667" s="1449"/>
      <c r="L667" s="1449"/>
      <c r="M667" s="1449"/>
      <c r="N667" s="1449"/>
      <c r="O667" s="1449"/>
      <c r="P667" s="1449"/>
      <c r="Q667" s="1449"/>
      <c r="R667" s="1449"/>
      <c r="T667" s="48" t="s">
        <v>1471</v>
      </c>
      <c r="U667" t="s">
        <v>1477</v>
      </c>
      <c r="Z667" s="1449">
        <f>C634</f>
        <v>0</v>
      </c>
      <c r="AA667" s="1449"/>
      <c r="AB667" s="1449"/>
      <c r="AC667" s="1449"/>
      <c r="AD667" s="1449"/>
      <c r="AE667" s="1449"/>
      <c r="AF667" s="1449"/>
      <c r="AG667" s="1449"/>
      <c r="AH667" s="1449"/>
      <c r="AI667" s="1449"/>
      <c r="AJ667" s="1449"/>
      <c r="AK667" s="1449"/>
      <c r="AZ667" s="3"/>
      <c r="BA667" s="85">
        <f t="shared" ref="BA667:BA699" si="48">IF($G718=0,"N/A",VLOOKUP($T$189,TC_Rent,(MATCH($B718,bedrooms,FALSE))))</f>
        <v>2600</v>
      </c>
      <c r="BB667" s="3"/>
      <c r="BC667" s="3"/>
      <c r="BD667" s="3"/>
      <c r="BE667" s="3"/>
      <c r="BF667" s="143"/>
      <c r="BG667" s="214" t="s">
        <v>1540</v>
      </c>
      <c r="BH667" s="218" t="s">
        <v>1541</v>
      </c>
      <c r="BI667" s="217" t="s">
        <v>1542</v>
      </c>
      <c r="BJ667" s="3"/>
      <c r="BK667" s="3"/>
      <c r="BL667" s="3"/>
      <c r="BM667" s="3"/>
      <c r="BN667" s="3"/>
      <c r="BO667" s="3"/>
      <c r="BT667" s="214" t="s">
        <v>1540</v>
      </c>
      <c r="BU667" s="218" t="s">
        <v>1541</v>
      </c>
      <c r="BV667" s="217" t="s">
        <v>1542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07" t="e">
        <f t="shared" si="42"/>
        <v>#VALUE!</v>
      </c>
      <c r="DY667" s="1307"/>
      <c r="DZ667" s="1307"/>
      <c r="EA667" s="1307"/>
      <c r="EB667" s="1307"/>
      <c r="EC667" s="1307" t="e">
        <f t="shared" si="43"/>
        <v>#VALUE!</v>
      </c>
      <c r="ED667" s="1307"/>
      <c r="EE667" s="1307"/>
      <c r="EF667" s="1307"/>
      <c r="EG667" s="1307"/>
      <c r="EH667" s="1307" t="e">
        <f t="shared" si="44"/>
        <v>#VALUE!</v>
      </c>
      <c r="EI667" s="1307"/>
      <c r="EJ667" s="1307"/>
      <c r="EK667" s="1307"/>
      <c r="EL667" s="1307"/>
      <c r="EM667" s="1307" t="e">
        <f t="shared" si="45"/>
        <v>#VALUE!</v>
      </c>
      <c r="EN667" s="1307"/>
      <c r="EO667" s="1307"/>
      <c r="EP667" s="1307"/>
      <c r="EQ667" s="1307"/>
      <c r="ER667" s="1307" t="e">
        <f t="shared" si="46"/>
        <v>#VALUE!</v>
      </c>
      <c r="ES667" s="1307"/>
      <c r="ET667" s="1307"/>
      <c r="EU667" s="1307"/>
      <c r="EV667" s="1307"/>
      <c r="EW667" s="1307" t="e">
        <f t="shared" si="47"/>
        <v>#VALUE!</v>
      </c>
      <c r="EX667" s="1307"/>
      <c r="EY667" s="1307"/>
      <c r="EZ667" s="1307"/>
      <c r="FA667" s="1307"/>
    </row>
    <row r="668" spans="1:157" ht="13.2" customHeight="1">
      <c r="A668" s="20"/>
      <c r="B668" t="s">
        <v>1109</v>
      </c>
      <c r="G668" s="1381"/>
      <c r="H668" s="1381"/>
      <c r="I668" s="1381"/>
      <c r="J668" s="1381"/>
      <c r="K668" s="1381"/>
      <c r="L668" s="1381"/>
      <c r="M668" s="1381"/>
      <c r="N668" s="1381"/>
      <c r="O668" s="1381"/>
      <c r="P668" s="1381"/>
      <c r="Q668" s="1381"/>
      <c r="R668" s="1381"/>
      <c r="T668" s="20"/>
      <c r="U668" t="s">
        <v>1109</v>
      </c>
      <c r="Z668" s="1381"/>
      <c r="AA668" s="1381"/>
      <c r="AB668" s="1381"/>
      <c r="AC668" s="1381"/>
      <c r="AD668" s="1381"/>
      <c r="AE668" s="1381"/>
      <c r="AF668" s="1381"/>
      <c r="AG668" s="1381"/>
      <c r="AH668" s="1381"/>
      <c r="AI668" s="1381"/>
      <c r="AJ668" s="1381"/>
      <c r="AK668" s="1381"/>
      <c r="AZ668" s="3"/>
      <c r="BA668" s="85">
        <f t="shared" si="48"/>
        <v>2600</v>
      </c>
      <c r="BB668" s="3"/>
      <c r="BC668" s="3"/>
      <c r="BD668" s="3"/>
      <c r="BE668" s="3"/>
      <c r="BF668" s="143"/>
      <c r="BG668" s="215">
        <f t="shared" ref="BG668:BG700" si="49">G718</f>
        <v>50</v>
      </c>
      <c r="BH668" s="219">
        <f t="shared" ref="BH668:BH702" si="50">IF($BG$703=0,0,BG668/$BG$703)</f>
        <v>0.5</v>
      </c>
      <c r="BI668" s="220">
        <f t="shared" ref="BI668:BI691" si="51">IF(BH668=0,"",BH668*AC718)</f>
        <v>0.15</v>
      </c>
      <c r="BJ668" s="3"/>
      <c r="BK668" s="3"/>
      <c r="BL668" s="3"/>
      <c r="BM668" s="3"/>
      <c r="BN668" s="3"/>
      <c r="BO668" s="3"/>
      <c r="BT668" s="215">
        <f t="shared" ref="BT668:BT700" si="52">G718</f>
        <v>50</v>
      </c>
      <c r="BU668" s="219">
        <f t="shared" ref="BU668:BU702" si="53">IF($BT$703=0,0,BT668/$BT$703)</f>
        <v>0.5</v>
      </c>
      <c r="BV668" s="220">
        <f t="shared" ref="BV668:BV700" si="54">IF(BU668=0,"",BU668*AH718)</f>
        <v>0.15</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07" t="e">
        <f>DX630*(BN630/$BN$632)</f>
        <v>#VALUE!</v>
      </c>
      <c r="DY668" s="1307"/>
      <c r="DZ668" s="1307"/>
      <c r="EA668" s="1307"/>
      <c r="EB668" s="1307"/>
      <c r="EC668" s="1307" t="e">
        <f>EC630*(BS630/$BS$632)</f>
        <v>#VALUE!</v>
      </c>
      <c r="ED668" s="1307"/>
      <c r="EE668" s="1307"/>
      <c r="EF668" s="1307"/>
      <c r="EG668" s="1307"/>
      <c r="EH668" s="1307" t="e">
        <f>EH630*(BX630/$BX$632)</f>
        <v>#VALUE!</v>
      </c>
      <c r="EI668" s="1307"/>
      <c r="EJ668" s="1307"/>
      <c r="EK668" s="1307"/>
      <c r="EL668" s="1307"/>
      <c r="EM668" s="1307" t="e">
        <f>EM630*(CC630/$CC$632)</f>
        <v>#VALUE!</v>
      </c>
      <c r="EN668" s="1307"/>
      <c r="EO668" s="1307"/>
      <c r="EP668" s="1307"/>
      <c r="EQ668" s="1307"/>
      <c r="ER668" s="1307" t="e">
        <f>ER630*(CH630/$CH$632)</f>
        <v>#VALUE!</v>
      </c>
      <c r="ES668" s="1307"/>
      <c r="ET668" s="1307"/>
      <c r="EU668" s="1307"/>
      <c r="EV668" s="1307"/>
      <c r="EW668" s="1307" t="e">
        <f>EW630*(CM630/$CM$632)</f>
        <v>#VALUE!</v>
      </c>
      <c r="EX668" s="1307"/>
      <c r="EY668" s="1307"/>
      <c r="EZ668" s="1307"/>
      <c r="FA668" s="1307"/>
    </row>
    <row r="669" spans="1:157" ht="13.2" customHeight="1">
      <c r="A669" s="20"/>
      <c r="B669" t="s">
        <v>979</v>
      </c>
      <c r="G669" s="1381"/>
      <c r="H669" s="1381"/>
      <c r="I669" s="1381"/>
      <c r="J669" s="1381"/>
      <c r="K669" s="1381"/>
      <c r="L669" s="1381"/>
      <c r="M669" s="1381"/>
      <c r="N669" s="1381"/>
      <c r="O669" s="1381"/>
      <c r="P669" s="1381"/>
      <c r="Q669" s="1381"/>
      <c r="R669" s="1381"/>
      <c r="T669" s="20"/>
      <c r="U669" t="s">
        <v>979</v>
      </c>
      <c r="Z669" s="1329"/>
      <c r="AA669" s="1329"/>
      <c r="AB669" s="1329"/>
      <c r="AC669" s="1329"/>
      <c r="AD669" s="1329"/>
      <c r="AE669" s="1329"/>
      <c r="AF669" s="1329"/>
      <c r="AG669" s="1329"/>
      <c r="AH669" s="1329"/>
      <c r="AI669" s="1329"/>
      <c r="AJ669" s="1329"/>
      <c r="AK669" s="1329"/>
      <c r="AZ669" s="3"/>
      <c r="BA669" s="85">
        <f t="shared" si="48"/>
        <v>2600</v>
      </c>
      <c r="BB669" s="3"/>
      <c r="BC669" s="3"/>
      <c r="BD669" s="3"/>
      <c r="BE669" s="3"/>
      <c r="BF669" s="143"/>
      <c r="BG669" s="216">
        <f t="shared" si="49"/>
        <v>25</v>
      </c>
      <c r="BH669" s="219">
        <f t="shared" si="50"/>
        <v>0.25</v>
      </c>
      <c r="BI669" s="220">
        <f t="shared" si="51"/>
        <v>0.15</v>
      </c>
      <c r="BJ669" s="3"/>
      <c r="BK669" s="3"/>
      <c r="BL669" s="3"/>
      <c r="BM669" s="3"/>
      <c r="BN669" s="3"/>
      <c r="BO669" s="3"/>
      <c r="BT669" s="216">
        <f t="shared" si="52"/>
        <v>25</v>
      </c>
      <c r="BU669" s="219">
        <f t="shared" si="53"/>
        <v>0.25</v>
      </c>
      <c r="BV669" s="220">
        <f t="shared" si="54"/>
        <v>0.15</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07" t="e">
        <f>DX631*(BN631/$BN$632)</f>
        <v>#VALUE!</v>
      </c>
      <c r="DY669" s="1307"/>
      <c r="DZ669" s="1307"/>
      <c r="EA669" s="1307"/>
      <c r="EB669" s="1307"/>
      <c r="EC669" s="1307" t="e">
        <f>EC631*(BS631/$BS$632)</f>
        <v>#VALUE!</v>
      </c>
      <c r="ED669" s="1307"/>
      <c r="EE669" s="1307"/>
      <c r="EF669" s="1307"/>
      <c r="EG669" s="1307"/>
      <c r="EH669" s="1307" t="e">
        <f>EH631*(BX631/$BX$632)</f>
        <v>#VALUE!</v>
      </c>
      <c r="EI669" s="1307"/>
      <c r="EJ669" s="1307"/>
      <c r="EK669" s="1307"/>
      <c r="EL669" s="1307"/>
      <c r="EM669" s="1307" t="e">
        <f>EM631*(CC631/$CC$632)</f>
        <v>#VALUE!</v>
      </c>
      <c r="EN669" s="1307"/>
      <c r="EO669" s="1307"/>
      <c r="EP669" s="1307"/>
      <c r="EQ669" s="1307"/>
      <c r="ER669" s="1307" t="e">
        <f>ER631*(CH631/$CH$632)</f>
        <v>#VALUE!</v>
      </c>
      <c r="ES669" s="1307"/>
      <c r="ET669" s="1307"/>
      <c r="EU669" s="1307"/>
      <c r="EV669" s="1307"/>
      <c r="EW669" s="1307" t="e">
        <f>EW631*(CM631/$CM$632)</f>
        <v>#VALUE!</v>
      </c>
      <c r="EX669" s="1307"/>
      <c r="EY669" s="1307"/>
      <c r="EZ669" s="1307"/>
      <c r="FA669" s="1307"/>
    </row>
    <row r="670" spans="1:157" ht="13.2" customHeight="1">
      <c r="A670" s="20"/>
      <c r="B670" t="s">
        <v>1479</v>
      </c>
      <c r="G670" s="1381"/>
      <c r="H670" s="1381"/>
      <c r="I670" s="1381"/>
      <c r="J670" s="1381"/>
      <c r="K670" s="1381"/>
      <c r="L670" s="1381"/>
      <c r="M670" s="1381"/>
      <c r="N670" s="1381"/>
      <c r="O670" s="1381"/>
      <c r="P670" s="1381"/>
      <c r="Q670" s="1381"/>
      <c r="R670" s="1381"/>
      <c r="T670" s="20"/>
      <c r="U670" t="s">
        <v>1479</v>
      </c>
      <c r="Z670" s="1329"/>
      <c r="AA670" s="1329"/>
      <c r="AB670" s="1329"/>
      <c r="AC670" s="1329"/>
      <c r="AD670" s="1329"/>
      <c r="AE670" s="1329"/>
      <c r="AF670" s="1329"/>
      <c r="AG670" s="1329"/>
      <c r="AH670" s="1329"/>
      <c r="AI670" s="1329"/>
      <c r="AJ670" s="1329"/>
      <c r="AK670" s="1329"/>
      <c r="AZ670" s="3"/>
      <c r="BA670" s="85">
        <f t="shared" si="48"/>
        <v>3120</v>
      </c>
      <c r="BB670" s="3"/>
      <c r="BC670" s="3"/>
      <c r="BD670" s="3"/>
      <c r="BE670" s="3"/>
      <c r="BF670" s="143"/>
      <c r="BG670" s="216">
        <f t="shared" si="49"/>
        <v>22</v>
      </c>
      <c r="BH670" s="219">
        <f t="shared" si="50"/>
        <v>0.22</v>
      </c>
      <c r="BI670" s="220">
        <f t="shared" si="51"/>
        <v>0.17600000000000002</v>
      </c>
      <c r="BJ670" s="3"/>
      <c r="BK670" s="3"/>
      <c r="BL670" s="3"/>
      <c r="BM670" s="3"/>
      <c r="BN670" s="3"/>
      <c r="BO670" s="3"/>
      <c r="BT670" s="216">
        <f t="shared" si="52"/>
        <v>22</v>
      </c>
      <c r="BU670" s="219">
        <f t="shared" si="53"/>
        <v>0.22</v>
      </c>
      <c r="BV670" s="220">
        <f t="shared" si="54"/>
        <v>0.17600000000000002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07">
        <f>SUMIF(DX635:EB669,"&gt;0")</f>
        <v>0</v>
      </c>
      <c r="DY670" s="1307"/>
      <c r="DZ670" s="1307"/>
      <c r="EA670" s="1307"/>
      <c r="EB670" s="1307"/>
      <c r="EC670" s="1307">
        <f>SUMIF(EC635:EG669,"&gt;0")</f>
        <v>1175.8762886597938</v>
      </c>
      <c r="ED670" s="1307"/>
      <c r="EE670" s="1307"/>
      <c r="EF670" s="1307"/>
      <c r="EG670" s="1307"/>
      <c r="EH670" s="1307">
        <f>SUMIF(EH635:EL669,"&gt;0")</f>
        <v>2368</v>
      </c>
      <c r="EI670" s="1307"/>
      <c r="EJ670" s="1307"/>
      <c r="EK670" s="1307"/>
      <c r="EL670" s="1307"/>
      <c r="EM670" s="1307">
        <f>SUMIF(EM635:EQ669,"&gt;0")</f>
        <v>0</v>
      </c>
      <c r="EN670" s="1307"/>
      <c r="EO670" s="1307"/>
      <c r="EP670" s="1307"/>
      <c r="EQ670" s="1307"/>
      <c r="ER670" s="1307">
        <f>SUMIF(ER635:EV669,"&gt;0")</f>
        <v>0</v>
      </c>
      <c r="ES670" s="1307"/>
      <c r="ET670" s="1307"/>
      <c r="EU670" s="1307"/>
      <c r="EV670" s="1307"/>
      <c r="EW670" s="1307">
        <f>SUMIF(EW635:FA669,"&gt;0")</f>
        <v>0</v>
      </c>
      <c r="EX670" s="1307"/>
      <c r="EY670" s="1307"/>
      <c r="EZ670" s="1307"/>
      <c r="FA670" s="1307"/>
    </row>
    <row r="671" spans="1:157" ht="13.2" customHeight="1">
      <c r="A671" s="20"/>
      <c r="B671" t="s">
        <v>881</v>
      </c>
      <c r="G671" s="1378"/>
      <c r="H671" s="1378"/>
      <c r="I671" s="1378"/>
      <c r="J671" s="1378"/>
      <c r="K671" s="1378"/>
      <c r="L671" s="1378"/>
      <c r="O671" s="948" t="s">
        <v>1117</v>
      </c>
      <c r="P671" s="1349"/>
      <c r="Q671" s="1349"/>
      <c r="R671" s="1349"/>
      <c r="T671" s="20"/>
      <c r="U671" t="s">
        <v>881</v>
      </c>
      <c r="Z671" s="1378"/>
      <c r="AA671" s="1378"/>
      <c r="AB671" s="1378"/>
      <c r="AC671" s="1378"/>
      <c r="AD671" s="1378"/>
      <c r="AE671" s="1378"/>
      <c r="AH671" s="948" t="s">
        <v>1117</v>
      </c>
      <c r="AI671" s="1349"/>
      <c r="AJ671" s="1349"/>
      <c r="AK671" s="1349"/>
      <c r="AZ671" s="3"/>
      <c r="BA671" s="85" t="str">
        <f t="shared" si="48"/>
        <v>N/A</v>
      </c>
      <c r="BB671" s="3"/>
      <c r="BC671" s="3"/>
      <c r="BD671" s="3"/>
      <c r="BE671" s="3"/>
      <c r="BF671" s="143"/>
      <c r="BG671" s="216">
        <f t="shared" si="49"/>
        <v>3</v>
      </c>
      <c r="BH671" s="219">
        <f t="shared" si="50"/>
        <v>0.03</v>
      </c>
      <c r="BI671" s="220">
        <f t="shared" si="51"/>
        <v>2.4E-2</v>
      </c>
      <c r="BJ671" s="3"/>
      <c r="BK671" s="3"/>
      <c r="BL671" s="3"/>
      <c r="BM671" s="3"/>
      <c r="BN671" s="3"/>
      <c r="BO671" s="3"/>
      <c r="BT671" s="216">
        <f t="shared" si="52"/>
        <v>3</v>
      </c>
      <c r="BU671" s="219">
        <f t="shared" si="53"/>
        <v>0.03</v>
      </c>
      <c r="BV671" s="220">
        <f t="shared" si="54"/>
        <v>2.4E-2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 customHeight="1">
      <c r="A672" s="20"/>
      <c r="B672" t="s">
        <v>1482</v>
      </c>
      <c r="H672" s="1381"/>
      <c r="I672" s="1381"/>
      <c r="J672" s="1381"/>
      <c r="K672" s="1381"/>
      <c r="L672" s="1381"/>
      <c r="M672" s="1381"/>
      <c r="N672" s="1381"/>
      <c r="O672" s="1381"/>
      <c r="P672" s="1381"/>
      <c r="Q672" s="1381"/>
      <c r="R672" s="1381"/>
      <c r="T672" s="20"/>
      <c r="U672" t="s">
        <v>1482</v>
      </c>
      <c r="AA672" s="1381"/>
      <c r="AB672" s="1381"/>
      <c r="AC672" s="1381"/>
      <c r="AD672" s="1381"/>
      <c r="AE672" s="1381"/>
      <c r="AF672" s="1381"/>
      <c r="AG672" s="1381"/>
      <c r="AH672" s="1381"/>
      <c r="AI672" s="1381"/>
      <c r="AJ672" s="1381"/>
      <c r="AK672" s="1381"/>
      <c r="AZ672" s="3"/>
      <c r="BA672" s="85" t="str">
        <f t="shared" si="48"/>
        <v>N/A</v>
      </c>
      <c r="BB672" s="3"/>
      <c r="BC672" s="3"/>
      <c r="BD672" s="3"/>
      <c r="BE672" s="3"/>
      <c r="BF672" s="143"/>
      <c r="BG672" s="216">
        <f t="shared" si="49"/>
        <v>0</v>
      </c>
      <c r="BH672" s="219">
        <f t="shared" si="50"/>
        <v>0</v>
      </c>
      <c r="BI672" s="220" t="str">
        <f t="shared" si="51"/>
        <v/>
      </c>
      <c r="BJ672" s="3"/>
      <c r="BK672" s="3"/>
      <c r="BL672" s="3"/>
      <c r="BM672" s="3"/>
      <c r="BN672" s="3"/>
      <c r="BO672" s="3"/>
      <c r="BT672" s="216">
        <f t="shared" si="52"/>
        <v>0</v>
      </c>
      <c r="BU672" s="219">
        <f t="shared" si="53"/>
        <v>0</v>
      </c>
      <c r="BV672" s="2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2" customHeight="1">
      <c r="A673" s="20"/>
      <c r="B673" t="s">
        <v>1486</v>
      </c>
      <c r="N673" s="1348" t="s">
        <v>892</v>
      </c>
      <c r="O673" s="1348"/>
      <c r="T673" s="20"/>
      <c r="U673" t="s">
        <v>1486</v>
      </c>
      <c r="AG673" s="1348" t="s">
        <v>892</v>
      </c>
      <c r="AH673" s="1348"/>
      <c r="AZ673" s="3"/>
      <c r="BA673" s="85" t="str">
        <f t="shared" si="48"/>
        <v>N/A</v>
      </c>
      <c r="BB673" s="3"/>
      <c r="BC673" s="3"/>
      <c r="BD673" s="3"/>
      <c r="BE673" s="3"/>
      <c r="BF673" s="143"/>
      <c r="BG673" s="216">
        <f t="shared" si="49"/>
        <v>0</v>
      </c>
      <c r="BH673" s="219">
        <f t="shared" si="50"/>
        <v>0</v>
      </c>
      <c r="BI673" s="220" t="str">
        <f t="shared" si="51"/>
        <v/>
      </c>
      <c r="BJ673" s="3"/>
      <c r="BK673" s="3"/>
      <c r="BL673" s="3"/>
      <c r="BM673" s="3"/>
      <c r="BN673" s="3"/>
      <c r="BO673" s="3"/>
      <c r="BT673" s="216">
        <f t="shared" si="52"/>
        <v>0</v>
      </c>
      <c r="BU673" s="219">
        <f t="shared" si="53"/>
        <v>0</v>
      </c>
      <c r="BV673" s="2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2" customHeight="1">
      <c r="A674" s="20"/>
      <c r="T674" s="20"/>
      <c r="AZ674" s="3"/>
      <c r="BA674" s="85" t="str">
        <f t="shared" si="48"/>
        <v>N/A</v>
      </c>
      <c r="BB674" s="3"/>
      <c r="BC674" s="3"/>
      <c r="BD674" s="3"/>
      <c r="BE674" s="3"/>
      <c r="BF674" s="143"/>
      <c r="BG674" s="216">
        <f t="shared" si="49"/>
        <v>0</v>
      </c>
      <c r="BH674" s="219">
        <f t="shared" si="50"/>
        <v>0</v>
      </c>
      <c r="BI674" s="220" t="str">
        <f t="shared" si="51"/>
        <v/>
      </c>
      <c r="BJ674" s="3"/>
      <c r="BK674" s="3"/>
      <c r="BL674" s="3"/>
      <c r="BM674" s="3"/>
      <c r="BN674" s="3"/>
      <c r="BO674" s="3"/>
      <c r="BT674" s="216">
        <f t="shared" si="52"/>
        <v>0</v>
      </c>
      <c r="BU674" s="219">
        <f t="shared" si="53"/>
        <v>0</v>
      </c>
      <c r="BV674" s="2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2" customHeight="1">
      <c r="A675" s="48" t="s">
        <v>1472</v>
      </c>
      <c r="B675" t="s">
        <v>1477</v>
      </c>
      <c r="G675" s="1449">
        <f>C635</f>
        <v>0</v>
      </c>
      <c r="H675" s="1449"/>
      <c r="I675" s="1449"/>
      <c r="J675" s="1449"/>
      <c r="K675" s="1449"/>
      <c r="L675" s="1449"/>
      <c r="M675" s="1449"/>
      <c r="N675" s="1449"/>
      <c r="O675" s="1449"/>
      <c r="P675" s="1449"/>
      <c r="Q675" s="1449"/>
      <c r="R675" s="1449"/>
      <c r="T675" s="48" t="s">
        <v>1473</v>
      </c>
      <c r="U675" t="s">
        <v>1477</v>
      </c>
      <c r="Z675" s="1449">
        <f>C636</f>
        <v>0</v>
      </c>
      <c r="AA675" s="1449"/>
      <c r="AB675" s="1449"/>
      <c r="AC675" s="1449"/>
      <c r="AD675" s="1449"/>
      <c r="AE675" s="1449"/>
      <c r="AF675" s="1449"/>
      <c r="AG675" s="1449"/>
      <c r="AH675" s="1449"/>
      <c r="AI675" s="1449"/>
      <c r="AJ675" s="1449"/>
      <c r="AK675" s="1449"/>
      <c r="AZ675" s="3"/>
      <c r="BA675" s="85" t="str">
        <f t="shared" si="48"/>
        <v>N/A</v>
      </c>
      <c r="BB675" s="3"/>
      <c r="BC675" s="3"/>
      <c r="BD675" s="3"/>
      <c r="BE675" s="3"/>
      <c r="BF675" s="143"/>
      <c r="BG675" s="216">
        <f t="shared" si="49"/>
        <v>0</v>
      </c>
      <c r="BH675" s="219">
        <f t="shared" si="50"/>
        <v>0</v>
      </c>
      <c r="BI675" s="220" t="str">
        <f t="shared" si="51"/>
        <v/>
      </c>
      <c r="BJ675" s="3"/>
      <c r="BK675" s="3"/>
      <c r="BL675" s="3"/>
      <c r="BM675" s="3"/>
      <c r="BN675" s="3"/>
      <c r="BO675" s="3"/>
      <c r="BT675" s="216">
        <f t="shared" si="52"/>
        <v>0</v>
      </c>
      <c r="BU675" s="219">
        <f t="shared" si="53"/>
        <v>0</v>
      </c>
      <c r="BV675" s="2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2" customHeight="1">
      <c r="A676" s="20"/>
      <c r="B676" t="s">
        <v>1109</v>
      </c>
      <c r="G676" s="1381"/>
      <c r="H676" s="1381"/>
      <c r="I676" s="1381"/>
      <c r="J676" s="1381"/>
      <c r="K676" s="1381"/>
      <c r="L676" s="1381"/>
      <c r="M676" s="1381"/>
      <c r="N676" s="1381"/>
      <c r="O676" s="1381"/>
      <c r="P676" s="1381"/>
      <c r="Q676" s="1381"/>
      <c r="R676" s="1381"/>
      <c r="T676" s="20"/>
      <c r="U676" t="s">
        <v>1109</v>
      </c>
      <c r="Z676" s="1381"/>
      <c r="AA676" s="1381"/>
      <c r="AB676" s="1381"/>
      <c r="AC676" s="1381"/>
      <c r="AD676" s="1381"/>
      <c r="AE676" s="1381"/>
      <c r="AF676" s="1381"/>
      <c r="AG676" s="1381"/>
      <c r="AH676" s="1381"/>
      <c r="AI676" s="1381"/>
      <c r="AJ676" s="1381"/>
      <c r="AK676" s="1381"/>
      <c r="AZ676" s="3"/>
      <c r="BA676" s="85" t="str">
        <f t="shared" si="48"/>
        <v>N/A</v>
      </c>
      <c r="BB676" s="3"/>
      <c r="BC676" s="3"/>
      <c r="BD676" s="3"/>
      <c r="BE676" s="3"/>
      <c r="BF676" s="143"/>
      <c r="BG676" s="216">
        <f t="shared" si="49"/>
        <v>0</v>
      </c>
      <c r="BH676" s="219">
        <f t="shared" si="50"/>
        <v>0</v>
      </c>
      <c r="BI676" s="220" t="str">
        <f t="shared" si="51"/>
        <v/>
      </c>
      <c r="BJ676" s="3"/>
      <c r="BK676" s="3"/>
      <c r="BL676" s="3"/>
      <c r="BM676" s="3"/>
      <c r="BN676" s="3"/>
      <c r="BO676" s="3"/>
      <c r="BT676" s="216">
        <f t="shared" si="52"/>
        <v>0</v>
      </c>
      <c r="BU676" s="219">
        <f t="shared" si="53"/>
        <v>0</v>
      </c>
      <c r="BV676" s="2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2" customHeight="1">
      <c r="A677" s="20"/>
      <c r="B677" t="s">
        <v>979</v>
      </c>
      <c r="G677" s="1381"/>
      <c r="H677" s="1381"/>
      <c r="I677" s="1381"/>
      <c r="J677" s="1381"/>
      <c r="K677" s="1381"/>
      <c r="L677" s="1381"/>
      <c r="M677" s="1381"/>
      <c r="N677" s="1381"/>
      <c r="O677" s="1381"/>
      <c r="P677" s="1381"/>
      <c r="Q677" s="1381"/>
      <c r="R677" s="1381"/>
      <c r="T677" s="20"/>
      <c r="U677" t="s">
        <v>979</v>
      </c>
      <c r="Z677" s="1329"/>
      <c r="AA677" s="1329"/>
      <c r="AB677" s="1329"/>
      <c r="AC677" s="1329"/>
      <c r="AD677" s="1329"/>
      <c r="AE677" s="1329"/>
      <c r="AF677" s="1329"/>
      <c r="AG677" s="1329"/>
      <c r="AH677" s="1329"/>
      <c r="AI677" s="1329"/>
      <c r="AJ677" s="1329"/>
      <c r="AK677" s="1329"/>
      <c r="AZ677" s="3"/>
      <c r="BA677" s="85" t="str">
        <f t="shared" si="48"/>
        <v>N/A</v>
      </c>
      <c r="BB677" s="3"/>
      <c r="BC677" s="3"/>
      <c r="BD677" s="3"/>
      <c r="BE677" s="3"/>
      <c r="BF677" s="143"/>
      <c r="BG677" s="216">
        <f t="shared" si="49"/>
        <v>0</v>
      </c>
      <c r="BH677" s="219">
        <f t="shared" si="50"/>
        <v>0</v>
      </c>
      <c r="BI677" s="220" t="str">
        <f t="shared" si="51"/>
        <v/>
      </c>
      <c r="BJ677" s="3"/>
      <c r="BK677" s="3"/>
      <c r="BL677" s="3"/>
      <c r="BM677" s="3"/>
      <c r="BN677" s="3"/>
      <c r="BO677" s="3"/>
      <c r="BT677" s="216">
        <f t="shared" si="52"/>
        <v>0</v>
      </c>
      <c r="BU677" s="219">
        <f t="shared" si="53"/>
        <v>0</v>
      </c>
      <c r="BV677" s="2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2" customHeight="1">
      <c r="A678" s="20"/>
      <c r="B678" t="s">
        <v>1479</v>
      </c>
      <c r="G678" s="1381"/>
      <c r="H678" s="1381"/>
      <c r="I678" s="1381"/>
      <c r="J678" s="1381"/>
      <c r="K678" s="1381"/>
      <c r="L678" s="1381"/>
      <c r="M678" s="1381"/>
      <c r="N678" s="1381"/>
      <c r="O678" s="1381"/>
      <c r="P678" s="1381"/>
      <c r="Q678" s="1381"/>
      <c r="R678" s="1381"/>
      <c r="T678" s="20"/>
      <c r="U678" t="s">
        <v>1479</v>
      </c>
      <c r="Z678" s="1329"/>
      <c r="AA678" s="1329"/>
      <c r="AB678" s="1329"/>
      <c r="AC678" s="1329"/>
      <c r="AD678" s="1329"/>
      <c r="AE678" s="1329"/>
      <c r="AF678" s="1329"/>
      <c r="AG678" s="1329"/>
      <c r="AH678" s="1329"/>
      <c r="AI678" s="1329"/>
      <c r="AJ678" s="1329"/>
      <c r="AK678" s="1329"/>
      <c r="AZ678" s="3"/>
      <c r="BA678" s="85" t="str">
        <f t="shared" si="48"/>
        <v>N/A</v>
      </c>
      <c r="BB678" s="3"/>
      <c r="BC678" s="3"/>
      <c r="BD678" s="3"/>
      <c r="BE678" s="3"/>
      <c r="BF678" s="143"/>
      <c r="BG678" s="216">
        <f t="shared" si="49"/>
        <v>0</v>
      </c>
      <c r="BH678" s="219">
        <f t="shared" si="50"/>
        <v>0</v>
      </c>
      <c r="BI678" s="220" t="str">
        <f t="shared" si="51"/>
        <v/>
      </c>
      <c r="BJ678" s="3"/>
      <c r="BK678" s="3"/>
      <c r="BL678" s="3"/>
      <c r="BM678" s="3"/>
      <c r="BN678" s="3"/>
      <c r="BO678" s="3"/>
      <c r="BT678" s="216">
        <f t="shared" si="52"/>
        <v>0</v>
      </c>
      <c r="BU678" s="219">
        <f t="shared" si="53"/>
        <v>0</v>
      </c>
      <c r="BV678" s="2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2" customHeight="1">
      <c r="A679" s="20"/>
      <c r="B679" t="s">
        <v>881</v>
      </c>
      <c r="G679" s="1378"/>
      <c r="H679" s="1378"/>
      <c r="I679" s="1378"/>
      <c r="J679" s="1378"/>
      <c r="K679" s="1378"/>
      <c r="L679" s="1378"/>
      <c r="O679" s="948" t="s">
        <v>1117</v>
      </c>
      <c r="P679" s="1349"/>
      <c r="Q679" s="1349"/>
      <c r="R679" s="1349"/>
      <c r="T679" s="20"/>
      <c r="U679" t="s">
        <v>881</v>
      </c>
      <c r="Z679" s="1378"/>
      <c r="AA679" s="1378"/>
      <c r="AB679" s="1378"/>
      <c r="AC679" s="1378"/>
      <c r="AD679" s="1378"/>
      <c r="AE679" s="1378"/>
      <c r="AH679" s="948" t="s">
        <v>1117</v>
      </c>
      <c r="AI679" s="1349"/>
      <c r="AJ679" s="1349"/>
      <c r="AK679" s="1349"/>
      <c r="AZ679" s="3"/>
      <c r="BA679" s="85" t="str">
        <f t="shared" si="48"/>
        <v>N/A</v>
      </c>
      <c r="BB679" s="3"/>
      <c r="BC679" s="3"/>
      <c r="BD679" s="3"/>
      <c r="BE679" s="3"/>
      <c r="BF679" s="143"/>
      <c r="BG679" s="216">
        <f t="shared" si="49"/>
        <v>0</v>
      </c>
      <c r="BH679" s="219">
        <f t="shared" si="50"/>
        <v>0</v>
      </c>
      <c r="BI679" s="220" t="str">
        <f t="shared" si="51"/>
        <v/>
      </c>
      <c r="BJ679" s="3"/>
      <c r="BK679" s="3"/>
      <c r="BL679" s="3"/>
      <c r="BM679" s="3"/>
      <c r="BN679" s="3"/>
      <c r="BO679" s="3"/>
      <c r="BT679" s="216">
        <f t="shared" si="52"/>
        <v>0</v>
      </c>
      <c r="BU679" s="219">
        <f t="shared" si="53"/>
        <v>0</v>
      </c>
      <c r="BV679" s="2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2" customHeight="1">
      <c r="A680" s="20"/>
      <c r="B680" t="s">
        <v>1482</v>
      </c>
      <c r="H680" s="1381"/>
      <c r="I680" s="1381"/>
      <c r="J680" s="1381"/>
      <c r="K680" s="1381"/>
      <c r="L680" s="1381"/>
      <c r="M680" s="1381"/>
      <c r="N680" s="1381"/>
      <c r="O680" s="1381"/>
      <c r="P680" s="1381"/>
      <c r="Q680" s="1381"/>
      <c r="R680" s="1381"/>
      <c r="T680" s="20"/>
      <c r="U680" t="s">
        <v>1482</v>
      </c>
      <c r="AA680" s="1381"/>
      <c r="AB680" s="1381"/>
      <c r="AC680" s="1381"/>
      <c r="AD680" s="1381"/>
      <c r="AE680" s="1381"/>
      <c r="AF680" s="1381"/>
      <c r="AG680" s="1381"/>
      <c r="AH680" s="1381"/>
      <c r="AI680" s="1381"/>
      <c r="AJ680" s="1381"/>
      <c r="AK680" s="1381"/>
      <c r="AZ680" s="3"/>
      <c r="BA680" s="85" t="str">
        <f t="shared" si="48"/>
        <v>N/A</v>
      </c>
      <c r="BB680" s="3"/>
      <c r="BC680" s="3"/>
      <c r="BD680" s="3"/>
      <c r="BE680" s="3"/>
      <c r="BF680" s="143"/>
      <c r="BG680" s="216">
        <f t="shared" si="49"/>
        <v>0</v>
      </c>
      <c r="BH680" s="219">
        <f t="shared" si="50"/>
        <v>0</v>
      </c>
      <c r="BI680" s="220" t="str">
        <f t="shared" si="51"/>
        <v/>
      </c>
      <c r="BJ680" s="3"/>
      <c r="BK680" s="3"/>
      <c r="BL680" s="3"/>
      <c r="BM680" s="3"/>
      <c r="BN680" s="3"/>
      <c r="BO680" s="3"/>
      <c r="BT680" s="216">
        <f t="shared" si="52"/>
        <v>0</v>
      </c>
      <c r="BU680" s="219">
        <f t="shared" si="53"/>
        <v>0</v>
      </c>
      <c r="BV680" s="2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2" customHeight="1">
      <c r="A681" s="20"/>
      <c r="B681" t="s">
        <v>1486</v>
      </c>
      <c r="N681" s="1348" t="s">
        <v>892</v>
      </c>
      <c r="O681" s="1348"/>
      <c r="T681" s="20"/>
      <c r="U681" t="s">
        <v>1486</v>
      </c>
      <c r="AG681" s="1348" t="s">
        <v>892</v>
      </c>
      <c r="AH681" s="1348"/>
      <c r="AZ681" s="3"/>
      <c r="BA681" s="85" t="str">
        <f t="shared" si="48"/>
        <v>N/A</v>
      </c>
      <c r="BB681" s="3"/>
      <c r="BC681" s="3"/>
      <c r="BD681" s="3"/>
      <c r="BE681" s="3"/>
      <c r="BF681" s="143"/>
      <c r="BG681" s="216">
        <f t="shared" si="49"/>
        <v>0</v>
      </c>
      <c r="BH681" s="219">
        <f t="shared" si="50"/>
        <v>0</v>
      </c>
      <c r="BI681" s="220" t="str">
        <f t="shared" si="51"/>
        <v/>
      </c>
      <c r="BJ681" s="3"/>
      <c r="BK681" s="3"/>
      <c r="BL681" s="3"/>
      <c r="BM681" s="3"/>
      <c r="BN681" s="3"/>
      <c r="BO681" s="3"/>
      <c r="BT681" s="216">
        <f t="shared" si="52"/>
        <v>0</v>
      </c>
      <c r="BU681" s="219">
        <f t="shared" si="53"/>
        <v>0</v>
      </c>
      <c r="BV681" s="2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2" customHeight="1">
      <c r="A682" s="20"/>
      <c r="T682" s="20"/>
      <c r="AZ682" s="3"/>
      <c r="BA682" s="85" t="str">
        <f t="shared" si="48"/>
        <v>N/A</v>
      </c>
      <c r="BB682" s="3"/>
      <c r="BC682" s="3"/>
      <c r="BD682" s="3"/>
      <c r="BE682" s="3"/>
      <c r="BF682" s="143"/>
      <c r="BG682" s="216">
        <f t="shared" si="49"/>
        <v>0</v>
      </c>
      <c r="BH682" s="219">
        <f t="shared" si="50"/>
        <v>0</v>
      </c>
      <c r="BI682" s="220" t="str">
        <f t="shared" si="51"/>
        <v/>
      </c>
      <c r="BJ682" s="3"/>
      <c r="BK682" s="3"/>
      <c r="BL682" s="3"/>
      <c r="BM682" s="3"/>
      <c r="BN682" s="3"/>
      <c r="BO682" s="3"/>
      <c r="BT682" s="216">
        <f t="shared" si="52"/>
        <v>0</v>
      </c>
      <c r="BU682" s="219">
        <f t="shared" si="53"/>
        <v>0</v>
      </c>
      <c r="BV682" s="2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2" customHeight="1">
      <c r="A683" s="48" t="s">
        <v>1474</v>
      </c>
      <c r="B683" t="s">
        <v>1477</v>
      </c>
      <c r="G683" s="1449">
        <f>C637</f>
        <v>0</v>
      </c>
      <c r="H683" s="1449"/>
      <c r="I683" s="1449"/>
      <c r="J683" s="1449"/>
      <c r="K683" s="1449"/>
      <c r="L683" s="1449"/>
      <c r="M683" s="1449"/>
      <c r="N683" s="1449"/>
      <c r="O683" s="1449"/>
      <c r="P683" s="1449"/>
      <c r="Q683" s="1449"/>
      <c r="R683" s="1449"/>
      <c r="T683" s="48" t="s">
        <v>1475</v>
      </c>
      <c r="U683" t="s">
        <v>1477</v>
      </c>
      <c r="Z683" s="1449">
        <f>C638</f>
        <v>0</v>
      </c>
      <c r="AA683" s="1449"/>
      <c r="AB683" s="1449"/>
      <c r="AC683" s="1449"/>
      <c r="AD683" s="1449"/>
      <c r="AE683" s="1449"/>
      <c r="AF683" s="1449"/>
      <c r="AG683" s="1449"/>
      <c r="AH683" s="1449"/>
      <c r="AI683" s="1449"/>
      <c r="AJ683" s="1449"/>
      <c r="AK683" s="1449"/>
      <c r="AZ683" s="3"/>
      <c r="BA683" s="85" t="str">
        <f t="shared" si="48"/>
        <v>N/A</v>
      </c>
      <c r="BB683" s="3"/>
      <c r="BC683" s="3"/>
      <c r="BD683" s="3"/>
      <c r="BE683" s="3"/>
      <c r="BF683" s="143"/>
      <c r="BG683" s="216">
        <f t="shared" si="49"/>
        <v>0</v>
      </c>
      <c r="BH683" s="219">
        <f t="shared" si="50"/>
        <v>0</v>
      </c>
      <c r="BI683" s="220" t="str">
        <f t="shared" si="51"/>
        <v/>
      </c>
      <c r="BJ683" s="3"/>
      <c r="BK683" s="3"/>
      <c r="BL683" s="3"/>
      <c r="BM683" s="3"/>
      <c r="BN683" s="3"/>
      <c r="BO683" s="3"/>
      <c r="BT683" s="216">
        <f t="shared" si="52"/>
        <v>0</v>
      </c>
      <c r="BU683" s="219">
        <f t="shared" si="53"/>
        <v>0</v>
      </c>
      <c r="BV683" s="2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2" customHeight="1">
      <c r="B684" t="s">
        <v>1109</v>
      </c>
      <c r="G684" s="1381"/>
      <c r="H684" s="1381"/>
      <c r="I684" s="1381"/>
      <c r="J684" s="1381"/>
      <c r="K684" s="1381"/>
      <c r="L684" s="1381"/>
      <c r="M684" s="1381"/>
      <c r="N684" s="1381"/>
      <c r="O684" s="1381"/>
      <c r="P684" s="1381"/>
      <c r="Q684" s="1381"/>
      <c r="R684" s="1381"/>
      <c r="T684" s="20"/>
      <c r="U684" t="s">
        <v>1109</v>
      </c>
      <c r="Z684" s="1381"/>
      <c r="AA684" s="1381"/>
      <c r="AB684" s="1381"/>
      <c r="AC684" s="1381"/>
      <c r="AD684" s="1381"/>
      <c r="AE684" s="1381"/>
      <c r="AF684" s="1381"/>
      <c r="AG684" s="1381"/>
      <c r="AH684" s="1381"/>
      <c r="AI684" s="1381"/>
      <c r="AJ684" s="1381"/>
      <c r="AK684" s="1381"/>
      <c r="AZ684" s="3"/>
      <c r="BA684" s="85" t="str">
        <f t="shared" si="48"/>
        <v>N/A</v>
      </c>
      <c r="BB684" s="3"/>
      <c r="BC684" s="3"/>
      <c r="BD684" s="3"/>
      <c r="BE684" s="3"/>
      <c r="BF684" s="143"/>
      <c r="BG684" s="216">
        <f t="shared" si="49"/>
        <v>0</v>
      </c>
      <c r="BH684" s="219">
        <f t="shared" si="50"/>
        <v>0</v>
      </c>
      <c r="BI684" s="220" t="str">
        <f t="shared" si="51"/>
        <v/>
      </c>
      <c r="BJ684" s="3"/>
      <c r="BK684" s="3"/>
      <c r="BL684" s="3"/>
      <c r="BM684" s="3"/>
      <c r="BN684" s="3"/>
      <c r="BO684" s="3"/>
      <c r="BT684" s="216">
        <f t="shared" si="52"/>
        <v>0</v>
      </c>
      <c r="BU684" s="219">
        <f t="shared" si="53"/>
        <v>0</v>
      </c>
      <c r="BV684" s="2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2" customHeight="1">
      <c r="B685" t="s">
        <v>979</v>
      </c>
      <c r="G685" s="1381"/>
      <c r="H685" s="1381"/>
      <c r="I685" s="1381"/>
      <c r="J685" s="1381"/>
      <c r="K685" s="1381"/>
      <c r="L685" s="1381"/>
      <c r="M685" s="1381"/>
      <c r="N685" s="1381"/>
      <c r="O685" s="1381"/>
      <c r="P685" s="1381"/>
      <c r="Q685" s="1381"/>
      <c r="R685" s="1381"/>
      <c r="U685" t="s">
        <v>979</v>
      </c>
      <c r="Z685" s="1329"/>
      <c r="AA685" s="1329"/>
      <c r="AB685" s="1329"/>
      <c r="AC685" s="1329"/>
      <c r="AD685" s="1329"/>
      <c r="AE685" s="1329"/>
      <c r="AF685" s="1329"/>
      <c r="AG685" s="1329"/>
      <c r="AH685" s="1329"/>
      <c r="AI685" s="1329"/>
      <c r="AJ685" s="1329"/>
      <c r="AK685" s="1329"/>
      <c r="AZ685" s="3"/>
      <c r="BA685" s="85" t="str">
        <f t="shared" si="48"/>
        <v>N/A</v>
      </c>
      <c r="BB685" s="3"/>
      <c r="BC685" s="3"/>
      <c r="BD685" s="3"/>
      <c r="BE685" s="3"/>
      <c r="BF685" s="143"/>
      <c r="BG685" s="216">
        <f t="shared" si="49"/>
        <v>0</v>
      </c>
      <c r="BH685" s="219">
        <f t="shared" si="50"/>
        <v>0</v>
      </c>
      <c r="BI685" s="220" t="str">
        <f t="shared" si="51"/>
        <v/>
      </c>
      <c r="BJ685" s="3"/>
      <c r="BK685" s="3"/>
      <c r="BL685" s="3"/>
      <c r="BM685" s="3"/>
      <c r="BN685" s="3"/>
      <c r="BO685" s="3"/>
      <c r="BT685" s="216">
        <f t="shared" si="52"/>
        <v>0</v>
      </c>
      <c r="BU685" s="219">
        <f t="shared" si="53"/>
        <v>0</v>
      </c>
      <c r="BV685" s="2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2" customHeight="1">
      <c r="B686" t="s">
        <v>1479</v>
      </c>
      <c r="G686" s="1381"/>
      <c r="H686" s="1381"/>
      <c r="I686" s="1381"/>
      <c r="J686" s="1381"/>
      <c r="K686" s="1381"/>
      <c r="L686" s="1381"/>
      <c r="M686" s="1381"/>
      <c r="N686" s="1381"/>
      <c r="O686" s="1381"/>
      <c r="P686" s="1381"/>
      <c r="Q686" s="1381"/>
      <c r="R686" s="1381"/>
      <c r="U686" t="s">
        <v>1479</v>
      </c>
      <c r="Z686" s="1329"/>
      <c r="AA686" s="1329"/>
      <c r="AB686" s="1329"/>
      <c r="AC686" s="1329"/>
      <c r="AD686" s="1329"/>
      <c r="AE686" s="1329"/>
      <c r="AF686" s="1329"/>
      <c r="AG686" s="1329"/>
      <c r="AH686" s="1329"/>
      <c r="AI686" s="1329"/>
      <c r="AJ686" s="1329"/>
      <c r="AK686" s="1329"/>
      <c r="AZ686" s="3"/>
      <c r="BA686" s="85" t="str">
        <f t="shared" si="48"/>
        <v>N/A</v>
      </c>
      <c r="BB686" s="3"/>
      <c r="BC686" s="3"/>
      <c r="BD686" s="3"/>
      <c r="BE686" s="3"/>
      <c r="BF686" s="143"/>
      <c r="BG686" s="216">
        <f t="shared" si="49"/>
        <v>0</v>
      </c>
      <c r="BH686" s="219">
        <f t="shared" si="50"/>
        <v>0</v>
      </c>
      <c r="BI686" s="220" t="str">
        <f t="shared" si="51"/>
        <v/>
      </c>
      <c r="BJ686" s="3"/>
      <c r="BK686" s="3"/>
      <c r="BL686" s="3"/>
      <c r="BM686" s="3"/>
      <c r="BN686" s="3"/>
      <c r="BO686" s="3"/>
      <c r="BT686" s="216">
        <f t="shared" si="52"/>
        <v>0</v>
      </c>
      <c r="BU686" s="219">
        <f t="shared" si="53"/>
        <v>0</v>
      </c>
      <c r="BV686" s="2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2" customHeight="1">
      <c r="B687" t="s">
        <v>881</v>
      </c>
      <c r="G687" s="1378"/>
      <c r="H687" s="1378"/>
      <c r="I687" s="1378"/>
      <c r="J687" s="1378"/>
      <c r="K687" s="1378"/>
      <c r="L687" s="1378"/>
      <c r="O687" s="948" t="s">
        <v>1117</v>
      </c>
      <c r="P687" s="1349"/>
      <c r="Q687" s="1349"/>
      <c r="R687" s="1349"/>
      <c r="U687" t="s">
        <v>881</v>
      </c>
      <c r="Z687" s="1378"/>
      <c r="AA687" s="1378"/>
      <c r="AB687" s="1378"/>
      <c r="AC687" s="1378"/>
      <c r="AD687" s="1378"/>
      <c r="AE687" s="1378"/>
      <c r="AH687" s="948" t="s">
        <v>1117</v>
      </c>
      <c r="AI687" s="1349"/>
      <c r="AJ687" s="1349"/>
      <c r="AK687" s="1349"/>
      <c r="AZ687" s="3"/>
      <c r="BA687" s="85" t="str">
        <f t="shared" si="48"/>
        <v>N/A</v>
      </c>
      <c r="BB687" s="3"/>
      <c r="BC687" s="3"/>
      <c r="BD687" s="3"/>
      <c r="BE687" s="3"/>
      <c r="BF687" s="143"/>
      <c r="BG687" s="216">
        <f t="shared" si="49"/>
        <v>0</v>
      </c>
      <c r="BH687" s="219">
        <f t="shared" si="50"/>
        <v>0</v>
      </c>
      <c r="BI687" s="220" t="str">
        <f t="shared" si="51"/>
        <v/>
      </c>
      <c r="BJ687" s="3"/>
      <c r="BK687" s="3"/>
      <c r="BL687" s="3"/>
      <c r="BM687" s="3"/>
      <c r="BN687" s="3"/>
      <c r="BO687" s="3"/>
      <c r="BT687" s="216">
        <f t="shared" si="52"/>
        <v>0</v>
      </c>
      <c r="BU687" s="219">
        <f t="shared" si="53"/>
        <v>0</v>
      </c>
      <c r="BV687" s="2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2" customHeight="1">
      <c r="B688" t="s">
        <v>1482</v>
      </c>
      <c r="H688" s="1381"/>
      <c r="I688" s="1381"/>
      <c r="J688" s="1381"/>
      <c r="K688" s="1381"/>
      <c r="L688" s="1381"/>
      <c r="M688" s="1381"/>
      <c r="N688" s="1381"/>
      <c r="O688" s="1381"/>
      <c r="P688" s="1381"/>
      <c r="Q688" s="1381"/>
      <c r="R688" s="1381"/>
      <c r="U688" t="s">
        <v>1482</v>
      </c>
      <c r="AA688" s="1381"/>
      <c r="AB688" s="1381"/>
      <c r="AC688" s="1381"/>
      <c r="AD688" s="1381"/>
      <c r="AE688" s="1381"/>
      <c r="AF688" s="1381"/>
      <c r="AG688" s="1381"/>
      <c r="AH688" s="1381"/>
      <c r="AI688" s="1381"/>
      <c r="AJ688" s="1381"/>
      <c r="AK688" s="1381"/>
      <c r="AZ688" s="3"/>
      <c r="BA688" s="85" t="str">
        <f t="shared" si="48"/>
        <v>N/A</v>
      </c>
      <c r="BB688" s="3"/>
      <c r="BF688" s="143"/>
      <c r="BG688" s="216">
        <f t="shared" si="49"/>
        <v>0</v>
      </c>
      <c r="BH688" s="219">
        <f t="shared" si="50"/>
        <v>0</v>
      </c>
      <c r="BI688" s="220" t="str">
        <f t="shared" si="51"/>
        <v/>
      </c>
      <c r="BL688" s="3"/>
      <c r="BM688" s="3"/>
      <c r="BN688" s="3"/>
      <c r="BO688" s="3"/>
      <c r="BT688" s="216">
        <f t="shared" si="52"/>
        <v>0</v>
      </c>
      <c r="BU688" s="219">
        <f t="shared" si="53"/>
        <v>0</v>
      </c>
      <c r="BV688" s="2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2" customHeight="1">
      <c r="B689" t="s">
        <v>1486</v>
      </c>
      <c r="N689" s="1348" t="s">
        <v>892</v>
      </c>
      <c r="O689" s="1348"/>
      <c r="U689" t="s">
        <v>1486</v>
      </c>
      <c r="AG689" s="1348" t="s">
        <v>892</v>
      </c>
      <c r="AH689" s="1348"/>
      <c r="AZ689" s="3"/>
      <c r="BA689" s="85" t="str">
        <f t="shared" si="48"/>
        <v>N/A</v>
      </c>
      <c r="BB689" s="3"/>
      <c r="BF689" s="143"/>
      <c r="BG689" s="216">
        <f t="shared" si="49"/>
        <v>0</v>
      </c>
      <c r="BH689" s="219">
        <f t="shared" si="50"/>
        <v>0</v>
      </c>
      <c r="BI689" s="220" t="str">
        <f t="shared" si="51"/>
        <v/>
      </c>
      <c r="BL689" s="3"/>
      <c r="BM689" s="3"/>
      <c r="BN689" s="3"/>
      <c r="BO689" s="3"/>
      <c r="BT689" s="216">
        <f t="shared" si="52"/>
        <v>0</v>
      </c>
      <c r="BU689" s="219">
        <f t="shared" si="53"/>
        <v>0</v>
      </c>
      <c r="BV689" s="2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2" customHeight="1">
      <c r="AZ690" s="3"/>
      <c r="BA690" s="85" t="str">
        <f t="shared" si="48"/>
        <v>N/A</v>
      </c>
      <c r="BB690" s="3"/>
      <c r="BF690" s="143"/>
      <c r="BG690" s="216">
        <f t="shared" si="49"/>
        <v>0</v>
      </c>
      <c r="BH690" s="219">
        <f t="shared" si="50"/>
        <v>0</v>
      </c>
      <c r="BI690" s="220" t="str">
        <f t="shared" si="51"/>
        <v/>
      </c>
      <c r="BL690" s="3"/>
      <c r="BM690" s="3"/>
      <c r="BN690" s="3"/>
      <c r="BO690" s="3"/>
      <c r="BT690" s="216">
        <f t="shared" si="52"/>
        <v>0</v>
      </c>
      <c r="BU690" s="219">
        <f t="shared" si="53"/>
        <v>0</v>
      </c>
      <c r="BV690" s="2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2" customHeight="1">
      <c r="A691" s="2" t="s">
        <v>960</v>
      </c>
      <c r="C691" s="2" t="s">
        <v>178</v>
      </c>
      <c r="E691" s="96"/>
      <c r="F691" s="96"/>
      <c r="G691" s="96"/>
      <c r="H691" s="96"/>
      <c r="AZ691" s="3"/>
      <c r="BA691" s="85" t="str">
        <f t="shared" si="48"/>
        <v>N/A</v>
      </c>
      <c r="BB691" s="3"/>
      <c r="BF691" s="143"/>
      <c r="BG691" s="216">
        <f t="shared" si="49"/>
        <v>0</v>
      </c>
      <c r="BH691" s="219">
        <f t="shared" si="50"/>
        <v>0</v>
      </c>
      <c r="BI691" s="220" t="str">
        <f t="shared" si="51"/>
        <v/>
      </c>
      <c r="BL691" s="3"/>
      <c r="BM691" s="3"/>
      <c r="BN691" s="3"/>
      <c r="BO691" s="3"/>
      <c r="BT691" s="216">
        <f t="shared" si="52"/>
        <v>0</v>
      </c>
      <c r="BU691" s="219">
        <f t="shared" si="53"/>
        <v>0</v>
      </c>
      <c r="BV691" s="2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2" customHeight="1">
      <c r="B692" s="100"/>
      <c r="C692" s="100"/>
      <c r="D692" s="951" t="s">
        <v>1543</v>
      </c>
      <c r="E692" s="100"/>
      <c r="F692" s="100"/>
      <c r="G692" s="100"/>
      <c r="H692" s="100"/>
      <c r="AZ692" s="3"/>
      <c r="BA692" s="85" t="str">
        <f t="shared" si="48"/>
        <v>N/A</v>
      </c>
      <c r="BB692" s="3"/>
      <c r="BC692" s="3"/>
      <c r="BF692" s="143"/>
      <c r="BG692" s="216">
        <f t="shared" si="49"/>
        <v>0</v>
      </c>
      <c r="BH692" s="219">
        <f t="shared" si="50"/>
        <v>0</v>
      </c>
      <c r="BI692" s="220" t="str">
        <f t="shared" ref="BI692:BI697" si="55">IF(BH692=0,"",BH692*AC752)</f>
        <v/>
      </c>
      <c r="BM692" s="3"/>
      <c r="BN692" s="3"/>
      <c r="BO692" s="3"/>
      <c r="BT692" s="216">
        <f t="shared" si="52"/>
        <v>0</v>
      </c>
      <c r="BU692" s="219">
        <f t="shared" si="53"/>
        <v>0</v>
      </c>
      <c r="BV692" s="2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2" customHeight="1">
      <c r="B693" s="100"/>
      <c r="C693" s="100"/>
      <c r="E693" s="951" t="s">
        <v>1544</v>
      </c>
      <c r="F693" s="100"/>
      <c r="G693" s="100"/>
      <c r="H693" s="100"/>
      <c r="AE693" s="1348" t="s">
        <v>836</v>
      </c>
      <c r="AF693" s="1348"/>
      <c r="AZ693" s="3"/>
      <c r="BA693" s="85" t="str">
        <f t="shared" si="48"/>
        <v>N/A</v>
      </c>
      <c r="BB693" s="3"/>
      <c r="BC693" s="3"/>
      <c r="BD693" s="3"/>
      <c r="BG693" s="216">
        <f t="shared" si="49"/>
        <v>0</v>
      </c>
      <c r="BH693" s="219">
        <f t="shared" si="50"/>
        <v>0</v>
      </c>
      <c r="BI693" s="220" t="str">
        <f t="shared" si="55"/>
        <v/>
      </c>
      <c r="BT693" s="216">
        <f t="shared" si="52"/>
        <v>0</v>
      </c>
      <c r="BU693" s="219">
        <f t="shared" si="53"/>
        <v>0</v>
      </c>
      <c r="BV693" s="2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2" customHeight="1">
      <c r="B694" s="100"/>
      <c r="C694" s="100"/>
      <c r="D694" s="951" t="s">
        <v>1545</v>
      </c>
      <c r="E694" s="100"/>
      <c r="F694" s="100"/>
      <c r="G694" s="100"/>
      <c r="H694" s="100"/>
      <c r="AE694" s="1348" t="s">
        <v>836</v>
      </c>
      <c r="AF694" s="1348"/>
      <c r="AZ694" s="3"/>
      <c r="BA694" s="85" t="str">
        <f t="shared" si="48"/>
        <v>N/A</v>
      </c>
      <c r="BB694" s="3"/>
      <c r="BC694" s="3"/>
      <c r="BD694" s="3"/>
      <c r="BE694" s="3"/>
      <c r="BF694" s="3"/>
      <c r="BG694" s="216">
        <f t="shared" si="49"/>
        <v>0</v>
      </c>
      <c r="BH694" s="219">
        <f t="shared" si="50"/>
        <v>0</v>
      </c>
      <c r="BI694" s="220" t="str">
        <f t="shared" si="55"/>
        <v/>
      </c>
      <c r="BJ694" s="3"/>
      <c r="BK694" s="3"/>
      <c r="BL694" s="3"/>
      <c r="BM694" s="3"/>
      <c r="BN694" s="3"/>
      <c r="BO694" s="3"/>
      <c r="BT694" s="216">
        <f t="shared" si="52"/>
        <v>0</v>
      </c>
      <c r="BU694" s="219">
        <f t="shared" si="53"/>
        <v>0</v>
      </c>
      <c r="BV694" s="2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2" customHeight="1">
      <c r="B695" s="100"/>
      <c r="C695" s="100"/>
      <c r="D695" s="951" t="s">
        <v>1546</v>
      </c>
      <c r="E695" s="100"/>
      <c r="F695" s="100"/>
      <c r="G695" s="100"/>
      <c r="H695" s="100"/>
      <c r="AE695" s="1487">
        <v>45531</v>
      </c>
      <c r="AF695" s="1487"/>
      <c r="AG695" s="1487"/>
      <c r="AH695" s="1487"/>
      <c r="AI695" s="1487"/>
      <c r="AZ695" s="3"/>
      <c r="BA695" s="85" t="str">
        <f t="shared" si="48"/>
        <v>N/A</v>
      </c>
      <c r="BB695" s="3"/>
      <c r="BC695" s="3"/>
      <c r="BD695" s="3"/>
      <c r="BE695" s="3"/>
      <c r="BF695" s="3"/>
      <c r="BG695" s="216">
        <f t="shared" si="49"/>
        <v>0</v>
      </c>
      <c r="BH695" s="219">
        <f t="shared" si="50"/>
        <v>0</v>
      </c>
      <c r="BI695" s="220" t="str">
        <f t="shared" si="55"/>
        <v/>
      </c>
      <c r="BJ695" s="3"/>
      <c r="BK695" s="3"/>
      <c r="BL695" s="3"/>
      <c r="BM695" s="3"/>
      <c r="BN695" s="3"/>
      <c r="BO695" s="3"/>
      <c r="BT695" s="216">
        <f t="shared" si="52"/>
        <v>0</v>
      </c>
      <c r="BU695" s="219">
        <f t="shared" si="53"/>
        <v>0</v>
      </c>
      <c r="BV695" s="2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2" customHeight="1">
      <c r="B696" s="100"/>
      <c r="C696" s="100"/>
      <c r="D696" s="239" t="s">
        <v>1547</v>
      </c>
      <c r="E696" s="100"/>
      <c r="F696" s="100"/>
      <c r="G696" s="100"/>
      <c r="H696" s="100"/>
      <c r="AE696" s="1536">
        <v>45637</v>
      </c>
      <c r="AF696" s="1536"/>
      <c r="AG696" s="1536"/>
      <c r="AH696" s="1536"/>
      <c r="AI696" s="1536"/>
      <c r="AZ696" s="3"/>
      <c r="BA696" s="85" t="str">
        <f t="shared" si="48"/>
        <v>N/A</v>
      </c>
      <c r="BB696" s="3"/>
      <c r="BC696" s="3"/>
      <c r="BD696" s="3"/>
      <c r="BE696" s="3"/>
      <c r="BF696" s="3"/>
      <c r="BG696" s="216">
        <f t="shared" si="49"/>
        <v>0</v>
      </c>
      <c r="BH696" s="219">
        <f t="shared" si="50"/>
        <v>0</v>
      </c>
      <c r="BI696" s="220" t="str">
        <f t="shared" si="55"/>
        <v/>
      </c>
      <c r="BJ696" s="3"/>
      <c r="BK696" s="3"/>
      <c r="BL696" s="3"/>
      <c r="BM696" s="3"/>
      <c r="BN696" s="3"/>
      <c r="BO696" s="3"/>
      <c r="BT696" s="216">
        <f t="shared" si="52"/>
        <v>0</v>
      </c>
      <c r="BU696" s="219">
        <f t="shared" si="53"/>
        <v>0</v>
      </c>
      <c r="BV696" s="220"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2" customHeight="1">
      <c r="B697" s="100"/>
      <c r="C697" s="100"/>
      <c r="AZ697" s="3"/>
      <c r="BA697" s="85" t="str">
        <f t="shared" si="48"/>
        <v>N/A</v>
      </c>
      <c r="BB697" s="3"/>
      <c r="BC697" s="3"/>
      <c r="BD697" s="3"/>
      <c r="BE697" s="3"/>
      <c r="BF697" s="3"/>
      <c r="BG697" s="216">
        <f t="shared" si="49"/>
        <v>0</v>
      </c>
      <c r="BH697" s="219">
        <f t="shared" si="50"/>
        <v>0</v>
      </c>
      <c r="BI697" s="220" t="str">
        <f t="shared" si="55"/>
        <v/>
      </c>
      <c r="BJ697" s="3"/>
      <c r="BK697" s="3"/>
      <c r="BL697" s="3"/>
      <c r="BM697" s="3"/>
      <c r="BN697" s="3"/>
      <c r="BO697" s="3"/>
      <c r="BT697" s="216">
        <f t="shared" si="52"/>
        <v>0</v>
      </c>
      <c r="BU697" s="219">
        <f t="shared" si="53"/>
        <v>0</v>
      </c>
      <c r="BV697" s="220"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2" customHeight="1">
      <c r="B698" s="100"/>
      <c r="C698" s="100"/>
      <c r="D698" s="951" t="s">
        <v>1548</v>
      </c>
      <c r="E698" s="100"/>
      <c r="F698" s="100"/>
      <c r="G698" s="100"/>
      <c r="H698" s="100"/>
      <c r="AE698" s="1487">
        <v>45809</v>
      </c>
      <c r="AF698" s="1487"/>
      <c r="AG698" s="1487"/>
      <c r="AH698" s="1487"/>
      <c r="AI698" s="1487"/>
      <c r="AZ698" s="3"/>
      <c r="BA698" s="85" t="str">
        <f t="shared" si="48"/>
        <v>N/A</v>
      </c>
      <c r="BB698" s="3"/>
      <c r="BC698" s="3"/>
      <c r="BD698" s="3"/>
      <c r="BE698" s="3"/>
      <c r="BF698" s="3"/>
      <c r="BG698" s="216">
        <f t="shared" si="49"/>
        <v>0</v>
      </c>
      <c r="BH698" s="219">
        <f t="shared" si="50"/>
        <v>0</v>
      </c>
      <c r="BI698" s="220" t="str">
        <f>IF(BH698=0,"",BH698*AC759)</f>
        <v/>
      </c>
      <c r="BJ698" s="3"/>
      <c r="BK698" s="3"/>
      <c r="BL698" s="3"/>
      <c r="BM698" s="3"/>
      <c r="BN698" s="3"/>
      <c r="BO698" s="3"/>
      <c r="BT698" s="216">
        <f t="shared" si="52"/>
        <v>0</v>
      </c>
      <c r="BU698" s="219">
        <f t="shared" si="53"/>
        <v>0</v>
      </c>
      <c r="BV698" s="220"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2" customHeight="1">
      <c r="B699" s="100"/>
      <c r="C699" s="100"/>
      <c r="D699" s="951" t="s">
        <v>1549</v>
      </c>
      <c r="E699" s="100"/>
      <c r="F699" s="100"/>
      <c r="G699" s="100"/>
      <c r="H699" s="100"/>
      <c r="AE699" s="1540">
        <f>AM554/SUM('Sources and Uses Budget'!S107,'Sources and Uses Budget'!B12,'Sources and Uses Budget'!B93,1073917)</f>
        <v>0.54870240467288922</v>
      </c>
      <c r="AF699" s="1540"/>
      <c r="AG699" s="1540"/>
      <c r="AH699" s="1540"/>
      <c r="AI699" s="1540"/>
      <c r="AZ699" s="3"/>
      <c r="BA699" s="85" t="str">
        <f t="shared" si="48"/>
        <v>N/A</v>
      </c>
      <c r="BB699" s="3"/>
      <c r="BC699" s="3"/>
      <c r="BD699" s="3"/>
      <c r="BE699" s="3"/>
      <c r="BF699" s="3"/>
      <c r="BG699" s="216">
        <f t="shared" si="49"/>
        <v>0</v>
      </c>
      <c r="BH699" s="219">
        <f t="shared" si="50"/>
        <v>0</v>
      </c>
      <c r="BI699" s="220" t="str">
        <f>IF(BH699=0,"",BH699*AC760)</f>
        <v/>
      </c>
      <c r="BJ699" s="3"/>
      <c r="BK699" s="3"/>
      <c r="BL699" s="3"/>
      <c r="BM699" s="3"/>
      <c r="BN699" s="3"/>
      <c r="BO699" s="3"/>
      <c r="BT699" s="216">
        <f t="shared" si="52"/>
        <v>0</v>
      </c>
      <c r="BU699" s="219">
        <f t="shared" si="53"/>
        <v>0</v>
      </c>
      <c r="BV699" s="220"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2" customHeight="1">
      <c r="B700" s="100"/>
      <c r="C700" s="100"/>
      <c r="D700" s="951" t="s">
        <v>1550</v>
      </c>
      <c r="E700" s="100"/>
      <c r="F700" s="100"/>
      <c r="G700" s="100"/>
      <c r="H700" s="100"/>
      <c r="W700" s="1449" t="str">
        <f>H335</f>
        <v>CalHFA</v>
      </c>
      <c r="X700" s="1449"/>
      <c r="Y700" s="1449"/>
      <c r="Z700" s="1449"/>
      <c r="AA700" s="1449"/>
      <c r="AB700" s="1449"/>
      <c r="AC700" s="1449"/>
      <c r="AD700" s="1449"/>
      <c r="AE700" s="1449"/>
      <c r="AF700" s="1449"/>
      <c r="AG700" s="1449"/>
      <c r="AH700" s="1449"/>
      <c r="AI700" s="1449"/>
      <c r="AJ700" s="1449"/>
      <c r="AK700" s="1449"/>
      <c r="AZ700" s="3"/>
      <c r="BA700" s="85" t="str">
        <f>IF($G751=0,"N/A",VLOOKUP($T$189,TC_Rent,(MATCH($B751,bedrooms,FALSE))))</f>
        <v>N/A</v>
      </c>
      <c r="BB700" s="3"/>
      <c r="BC700" s="3"/>
      <c r="BD700" s="3"/>
      <c r="BE700" s="3"/>
      <c r="BF700" s="3"/>
      <c r="BG700" s="216">
        <f t="shared" si="49"/>
        <v>0</v>
      </c>
      <c r="BH700" s="219">
        <f t="shared" si="50"/>
        <v>0</v>
      </c>
      <c r="BI700" s="220" t="str">
        <f>IF(BH700=0,"",BH700*AC761)</f>
        <v/>
      </c>
      <c r="BJ700" s="3"/>
      <c r="BK700" s="3"/>
      <c r="BL700" s="3"/>
      <c r="BM700" s="3"/>
      <c r="BN700" s="3"/>
      <c r="BO700" s="3"/>
      <c r="BT700" s="216">
        <f t="shared" si="52"/>
        <v>0</v>
      </c>
      <c r="BU700" s="219">
        <f t="shared" si="53"/>
        <v>0</v>
      </c>
      <c r="BV700" s="220"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2" customHeight="1">
      <c r="B701" s="100"/>
      <c r="C701" s="100"/>
      <c r="D701" s="951"/>
      <c r="E701" s="100"/>
      <c r="F701" s="100"/>
      <c r="G701" s="100"/>
      <c r="H701" s="100"/>
      <c r="AZ701" s="3"/>
      <c r="BA701" s="85" t="str">
        <f>IF($G752=0,"N/A",VLOOKUP($T$189,TC_Rent,(MATCH($B752,bedrooms,FALSE))))</f>
        <v>N/A</v>
      </c>
      <c r="BB701" s="3"/>
      <c r="BC701" s="3"/>
      <c r="BD701" s="3"/>
      <c r="BE701" s="3"/>
      <c r="BF701" s="3"/>
      <c r="BG701" s="216">
        <f t="shared" ref="BG701" si="56">G751</f>
        <v>0</v>
      </c>
      <c r="BH701" s="219">
        <f t="shared" si="50"/>
        <v>0</v>
      </c>
      <c r="BI701" s="220" t="str">
        <f>IF(BH701=0,"",BH701*AC762)</f>
        <v/>
      </c>
      <c r="BJ701" s="3"/>
      <c r="BK701" s="3"/>
      <c r="BL701" s="3"/>
      <c r="BM701" s="3"/>
      <c r="BN701" s="3"/>
      <c r="BO701" s="3"/>
      <c r="BT701" s="216">
        <f t="shared" ref="BT701" si="57">G751</f>
        <v>0</v>
      </c>
      <c r="BU701" s="219">
        <f t="shared" si="53"/>
        <v>0</v>
      </c>
      <c r="BV701" s="220"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2" customHeight="1">
      <c r="B702" s="100"/>
      <c r="C702" s="100"/>
      <c r="D702" s="951" t="s">
        <v>1551</v>
      </c>
      <c r="E702" s="100"/>
      <c r="F702" s="100"/>
      <c r="G702" s="100"/>
      <c r="H702" s="100"/>
      <c r="AE702" s="1348" t="s">
        <v>892</v>
      </c>
      <c r="AF702" s="1348"/>
      <c r="AZ702" s="3"/>
      <c r="BA702" s="3"/>
      <c r="BB702" s="3"/>
      <c r="BC702" s="3"/>
      <c r="BD702" s="3"/>
      <c r="BE702" s="3"/>
      <c r="BG702" s="216">
        <f>G752</f>
        <v>0</v>
      </c>
      <c r="BH702" s="219">
        <f t="shared" si="50"/>
        <v>0</v>
      </c>
      <c r="BI702" s="220" t="str">
        <f>IF(BH702=0,"",BH702*AC762)</f>
        <v/>
      </c>
      <c r="BJ702" s="3"/>
      <c r="BK702" s="3"/>
      <c r="BL702" s="3"/>
      <c r="BM702" s="3"/>
      <c r="BN702" s="3"/>
      <c r="BO702" s="3"/>
      <c r="BT702" s="783">
        <f>G752</f>
        <v>0</v>
      </c>
      <c r="BU702" s="219">
        <f t="shared" si="53"/>
        <v>0</v>
      </c>
      <c r="BV702" s="220"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2" customHeight="1">
      <c r="B703" s="100"/>
      <c r="C703" s="100"/>
      <c r="D703" s="951" t="s">
        <v>1552</v>
      </c>
      <c r="E703" s="100"/>
      <c r="F703" s="100"/>
      <c r="G703" s="100"/>
      <c r="H703" s="100"/>
      <c r="W703" s="1381"/>
      <c r="X703" s="1381"/>
      <c r="Y703" s="1381"/>
      <c r="Z703" s="1381"/>
      <c r="AA703" s="1381"/>
      <c r="AB703" s="1381"/>
      <c r="AC703" s="1381"/>
      <c r="AD703" s="1381"/>
      <c r="AE703" s="1381"/>
      <c r="AF703" s="1381"/>
      <c r="AG703" s="1381"/>
      <c r="AH703" s="1381"/>
      <c r="AI703" s="1381"/>
      <c r="AJ703" s="1381"/>
      <c r="AK703" s="1381"/>
      <c r="AZ703" s="3"/>
      <c r="BA703" s="3"/>
      <c r="BB703" s="3"/>
      <c r="BC703" s="3"/>
      <c r="BD703" s="3"/>
      <c r="BE703" s="3"/>
      <c r="BF703" s="213" t="s">
        <v>1553</v>
      </c>
      <c r="BG703" s="221">
        <f>SUM(BG668:BG702)</f>
        <v>100</v>
      </c>
      <c r="BH703" s="222">
        <f>SUM(BH668:BH702)</f>
        <v>1</v>
      </c>
      <c r="BI703" s="222">
        <f>SUM(BI668:BI702)</f>
        <v>0.5</v>
      </c>
      <c r="BN703" s="3"/>
      <c r="BO703" s="3"/>
      <c r="BT703" s="782">
        <f>SUM(BT668:BT702)</f>
        <v>100</v>
      </c>
      <c r="BU703" s="222">
        <f>SUM(BU668:BU702)</f>
        <v>1</v>
      </c>
      <c r="BV703" s="222">
        <f>SUM(BV668:BV702)</f>
        <v>0.5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2" customHeight="1">
      <c r="B704" s="100"/>
      <c r="C704" s="100"/>
      <c r="D704" s="951" t="s">
        <v>1113</v>
      </c>
      <c r="E704" s="100"/>
      <c r="F704" s="100"/>
      <c r="G704" s="100"/>
      <c r="H704" s="100"/>
      <c r="J704" s="1381"/>
      <c r="K704" s="1381"/>
      <c r="L704" s="1381"/>
      <c r="M704" s="1381"/>
      <c r="N704" s="1381"/>
      <c r="O704" s="1381"/>
      <c r="P704" s="1381"/>
      <c r="Q704" s="1381"/>
      <c r="R704" s="1381"/>
      <c r="S704" s="1381"/>
      <c r="T704" s="1381"/>
      <c r="U704" s="1381"/>
      <c r="V704" s="1381"/>
      <c r="W704" s="1381"/>
      <c r="X704" s="1381"/>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2" customHeight="1">
      <c r="B705" s="100"/>
      <c r="C705" s="100"/>
      <c r="D705" s="951" t="s">
        <v>1115</v>
      </c>
      <c r="J705" s="1378"/>
      <c r="K705" s="1378"/>
      <c r="L705" s="1378"/>
      <c r="M705" s="1378"/>
      <c r="N705" s="1378"/>
      <c r="O705" s="1378"/>
      <c r="P705" s="3" t="s">
        <v>1117</v>
      </c>
      <c r="Q705" s="3"/>
      <c r="R705" s="1349"/>
      <c r="S705" s="1349"/>
      <c r="T705" s="134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2" customHeight="1">
      <c r="B706" s="100"/>
      <c r="C706" s="100"/>
      <c r="D706" s="951" t="s">
        <v>1554</v>
      </c>
      <c r="W706" s="1381" t="s">
        <v>294</v>
      </c>
      <c r="X706" s="1381"/>
      <c r="Y706" s="1381"/>
      <c r="Z706" s="1381"/>
      <c r="AA706" s="1381"/>
      <c r="AB706" s="1381"/>
      <c r="AC706" s="1381"/>
      <c r="AD706" s="1381"/>
      <c r="AE706" s="1381"/>
      <c r="AF706" s="1381"/>
      <c r="AG706" s="1381"/>
      <c r="AH706" s="1381"/>
      <c r="AI706" s="1381"/>
      <c r="AJ706" s="1381"/>
      <c r="AK706" s="138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2" customHeight="1">
      <c r="B707" s="100"/>
      <c r="C707" s="100"/>
      <c r="D707" s="951"/>
      <c r="E707" s="1381" t="s">
        <v>1406</v>
      </c>
      <c r="F707" s="1381"/>
      <c r="G707" s="1381"/>
      <c r="H707" s="1381"/>
      <c r="I707" s="1381"/>
      <c r="J707" s="1381"/>
      <c r="K707" s="1381"/>
      <c r="L707" s="1381"/>
      <c r="M707" s="1381"/>
      <c r="N707" s="1381"/>
      <c r="O707" s="1381"/>
      <c r="P707" s="1381"/>
      <c r="Q707" s="1381"/>
      <c r="R707" s="1381"/>
      <c r="S707" s="1381"/>
      <c r="T707" s="1381"/>
      <c r="U707" s="1381"/>
      <c r="V707" s="1381"/>
      <c r="W707" s="1381"/>
      <c r="X707" s="1381"/>
      <c r="Y707" s="1381"/>
      <c r="Z707" s="1381"/>
      <c r="AA707" s="1381"/>
      <c r="AB707" s="1381"/>
      <c r="AC707" s="1381"/>
      <c r="AD707" s="1381"/>
      <c r="AE707" s="1381"/>
      <c r="AF707" s="1381"/>
      <c r="AG707" s="1381"/>
      <c r="AH707" s="1381"/>
      <c r="AI707" s="1381"/>
      <c r="AJ707" s="1381"/>
      <c r="AK707" s="138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2"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2" customHeight="1">
      <c r="A709" s="1230" t="s">
        <v>1555</v>
      </c>
      <c r="B709" s="1230"/>
      <c r="C709" s="1230"/>
      <c r="D709" s="1230"/>
      <c r="E709" s="1230"/>
      <c r="F709" s="1230"/>
      <c r="G709" s="1230"/>
      <c r="H709" s="1230"/>
      <c r="I709" s="1230"/>
      <c r="J709" s="1230"/>
      <c r="K709" s="1230"/>
      <c r="L709" s="1230"/>
      <c r="M709" s="1230"/>
      <c r="N709" s="1230"/>
      <c r="O709" s="1230"/>
      <c r="P709" s="1230"/>
      <c r="Q709" s="1230"/>
      <c r="R709" s="1230"/>
      <c r="S709" s="1230"/>
      <c r="T709" s="1230"/>
      <c r="U709" s="1230"/>
      <c r="V709" s="1230"/>
      <c r="W709" s="1230"/>
      <c r="X709" s="1230"/>
      <c r="Y709" s="1230"/>
      <c r="Z709" s="1230"/>
      <c r="AA709" s="1230"/>
      <c r="AB709" s="1230"/>
      <c r="AC709" s="1230"/>
      <c r="AD709" s="1230"/>
      <c r="AE709" s="1230"/>
      <c r="AF709" s="1230"/>
      <c r="AG709" s="1230"/>
      <c r="AH709" s="1230"/>
      <c r="AI709" s="1230"/>
      <c r="AJ709" s="1230"/>
      <c r="AK709" s="1230"/>
      <c r="AL709" s="1230"/>
      <c r="AM709" s="1230"/>
      <c r="AN709" s="1230"/>
      <c r="AO709" s="1230"/>
      <c r="AP709" s="1230"/>
      <c r="AQ709" s="1230"/>
      <c r="AR709" s="1230"/>
      <c r="AS709" s="1230"/>
      <c r="AT709" s="123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2" customHeight="1">
      <c r="A710" s="1230"/>
      <c r="B710" s="1230"/>
      <c r="C710" s="1230"/>
      <c r="D710" s="1230"/>
      <c r="E710" s="1230"/>
      <c r="F710" s="1230"/>
      <c r="G710" s="1230"/>
      <c r="H710" s="1230"/>
      <c r="I710" s="1230"/>
      <c r="J710" s="1230"/>
      <c r="K710" s="1230"/>
      <c r="L710" s="1230"/>
      <c r="M710" s="1230"/>
      <c r="N710" s="1230"/>
      <c r="O710" s="1230"/>
      <c r="P710" s="1230"/>
      <c r="Q710" s="1230"/>
      <c r="R710" s="1230"/>
      <c r="S710" s="1230"/>
      <c r="T710" s="1230"/>
      <c r="U710" s="1230"/>
      <c r="V710" s="1230"/>
      <c r="W710" s="1230"/>
      <c r="X710" s="1230"/>
      <c r="Y710" s="1230"/>
      <c r="Z710" s="1230"/>
      <c r="AA710" s="1230"/>
      <c r="AB710" s="1230"/>
      <c r="AC710" s="1230"/>
      <c r="AD710" s="1230"/>
      <c r="AE710" s="1230"/>
      <c r="AF710" s="1230"/>
      <c r="AG710" s="1230"/>
      <c r="AH710" s="1230"/>
      <c r="AI710" s="1230"/>
      <c r="AJ710" s="1230"/>
      <c r="AK710" s="1230"/>
      <c r="AL710" s="1230"/>
      <c r="AM710" s="1230"/>
      <c r="AN710" s="1230"/>
      <c r="AO710" s="1230"/>
      <c r="AP710" s="1230"/>
      <c r="AQ710" s="1230"/>
      <c r="AR710" s="1230"/>
      <c r="AS710" s="1230"/>
      <c r="AT710" s="123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2" customHeight="1">
      <c r="A711" s="1230"/>
      <c r="B711" s="1230"/>
      <c r="C711" s="1230"/>
      <c r="D711" s="1230"/>
      <c r="E711" s="1230"/>
      <c r="F711" s="1230"/>
      <c r="G711" s="1230"/>
      <c r="H711" s="1230"/>
      <c r="I711" s="1230"/>
      <c r="J711" s="1230"/>
      <c r="K711" s="1230"/>
      <c r="L711" s="1230"/>
      <c r="M711" s="1230"/>
      <c r="N711" s="1230"/>
      <c r="O711" s="1230"/>
      <c r="P711" s="1230"/>
      <c r="Q711" s="1230"/>
      <c r="R711" s="1230"/>
      <c r="S711" s="1230"/>
      <c r="T711" s="1230"/>
      <c r="U711" s="1230"/>
      <c r="V711" s="1230"/>
      <c r="W711" s="1230"/>
      <c r="X711" s="1230"/>
      <c r="Y711" s="1230"/>
      <c r="Z711" s="1230"/>
      <c r="AA711" s="1230"/>
      <c r="AB711" s="1230"/>
      <c r="AC711" s="1230"/>
      <c r="AD711" s="1230"/>
      <c r="AE711" s="1230"/>
      <c r="AF711" s="1230"/>
      <c r="AG711" s="1230"/>
      <c r="AH711" s="1230"/>
      <c r="AI711" s="1230"/>
      <c r="AJ711" s="1230"/>
      <c r="AK711" s="1230"/>
      <c r="AL711" s="1230"/>
      <c r="AM711" s="1230"/>
      <c r="AN711" s="1230"/>
      <c r="AO711" s="1230"/>
      <c r="AP711" s="1230"/>
      <c r="AQ711" s="1230"/>
      <c r="AR711" s="1230"/>
      <c r="AS711" s="1230"/>
      <c r="AT711" s="123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2" customHeight="1">
      <c r="A712" s="2" t="s">
        <v>919</v>
      </c>
      <c r="B712" s="2"/>
      <c r="C712" s="2" t="s">
        <v>1556</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2" customHeight="1">
      <c r="A713" s="2"/>
      <c r="B713" s="43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2" customHeight="1">
      <c r="B714" s="1320" t="s">
        <v>1557</v>
      </c>
      <c r="C714" s="1321"/>
      <c r="D714" s="1321"/>
      <c r="E714" s="1321"/>
      <c r="F714" s="1322"/>
      <c r="G714" s="1320" t="s">
        <v>1558</v>
      </c>
      <c r="H714" s="1321"/>
      <c r="I714" s="1321"/>
      <c r="J714" s="1322"/>
      <c r="K714" s="1541" t="s">
        <v>1559</v>
      </c>
      <c r="L714" s="1542"/>
      <c r="M714" s="1542"/>
      <c r="N714" s="1543"/>
      <c r="O714" s="1320" t="s">
        <v>1560</v>
      </c>
      <c r="P714" s="1321"/>
      <c r="Q714" s="1321"/>
      <c r="R714" s="1321"/>
      <c r="S714" s="1322"/>
      <c r="T714" s="1320" t="s">
        <v>1561</v>
      </c>
      <c r="U714" s="1321"/>
      <c r="V714" s="1321"/>
      <c r="W714" s="1322"/>
      <c r="X714" s="1320" t="s">
        <v>1562</v>
      </c>
      <c r="Y714" s="1321"/>
      <c r="Z714" s="1321"/>
      <c r="AA714" s="1321"/>
      <c r="AB714" s="1322"/>
      <c r="AC714" s="1320" t="s">
        <v>1563</v>
      </c>
      <c r="AD714" s="1321"/>
      <c r="AE714" s="1321"/>
      <c r="AF714" s="1321"/>
      <c r="AG714" s="1322"/>
      <c r="AH714" s="1320" t="s">
        <v>1564</v>
      </c>
      <c r="AI714" s="1321"/>
      <c r="AJ714" s="1322"/>
      <c r="AK714" s="1320" t="s">
        <v>1565</v>
      </c>
      <c r="AL714" s="1321"/>
      <c r="AM714" s="1321"/>
      <c r="AN714" s="1321"/>
      <c r="AO714" s="132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2" customHeight="1">
      <c r="B715" s="1323"/>
      <c r="C715" s="1324"/>
      <c r="D715" s="1324"/>
      <c r="E715" s="1324"/>
      <c r="F715" s="1325"/>
      <c r="G715" s="1323"/>
      <c r="H715" s="1324"/>
      <c r="I715" s="1324"/>
      <c r="J715" s="1325"/>
      <c r="K715" s="1544"/>
      <c r="L715" s="1545"/>
      <c r="M715" s="1545"/>
      <c r="N715" s="1546"/>
      <c r="O715" s="1323"/>
      <c r="P715" s="1324"/>
      <c r="Q715" s="1324"/>
      <c r="R715" s="1324"/>
      <c r="S715" s="1325"/>
      <c r="T715" s="1323"/>
      <c r="U715" s="1324"/>
      <c r="V715" s="1324"/>
      <c r="W715" s="1325"/>
      <c r="X715" s="1323"/>
      <c r="Y715" s="1324"/>
      <c r="Z715" s="1324"/>
      <c r="AA715" s="1324"/>
      <c r="AB715" s="1325"/>
      <c r="AC715" s="1323"/>
      <c r="AD715" s="1324"/>
      <c r="AE715" s="1324"/>
      <c r="AF715" s="1324"/>
      <c r="AG715" s="1325"/>
      <c r="AH715" s="1323"/>
      <c r="AI715" s="1324"/>
      <c r="AJ715" s="1325"/>
      <c r="AK715" s="1323"/>
      <c r="AL715" s="1324"/>
      <c r="AM715" s="1324"/>
      <c r="AN715" s="1324"/>
      <c r="AO715" s="132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2" customHeight="1">
      <c r="A716" s="3"/>
      <c r="B716" s="1323"/>
      <c r="C716" s="1324"/>
      <c r="D716" s="1324"/>
      <c r="E716" s="1324"/>
      <c r="F716" s="1325"/>
      <c r="G716" s="1323"/>
      <c r="H716" s="1324"/>
      <c r="I716" s="1324"/>
      <c r="J716" s="1325"/>
      <c r="K716" s="1544"/>
      <c r="L716" s="1545"/>
      <c r="M716" s="1545"/>
      <c r="N716" s="1546"/>
      <c r="O716" s="1323"/>
      <c r="P716" s="1324"/>
      <c r="Q716" s="1324"/>
      <c r="R716" s="1324"/>
      <c r="S716" s="1325"/>
      <c r="T716" s="1323"/>
      <c r="U716" s="1324"/>
      <c r="V716" s="1324"/>
      <c r="W716" s="1325"/>
      <c r="X716" s="1323"/>
      <c r="Y716" s="1324"/>
      <c r="Z716" s="1324"/>
      <c r="AA716" s="1324"/>
      <c r="AB716" s="1325"/>
      <c r="AC716" s="1323"/>
      <c r="AD716" s="1324"/>
      <c r="AE716" s="1324"/>
      <c r="AF716" s="1324"/>
      <c r="AG716" s="1325"/>
      <c r="AH716" s="1323"/>
      <c r="AI716" s="1324"/>
      <c r="AJ716" s="1325"/>
      <c r="AK716" s="1323"/>
      <c r="AL716" s="1324"/>
      <c r="AM716" s="1324"/>
      <c r="AN716" s="1324"/>
      <c r="AO716" s="132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2" customHeight="1">
      <c r="A717" s="3"/>
      <c r="B717" s="1326"/>
      <c r="C717" s="1327"/>
      <c r="D717" s="1327"/>
      <c r="E717" s="1327"/>
      <c r="F717" s="1328"/>
      <c r="G717" s="1326"/>
      <c r="H717" s="1327"/>
      <c r="I717" s="1327"/>
      <c r="J717" s="1328"/>
      <c r="K717" s="1544"/>
      <c r="L717" s="1545"/>
      <c r="M717" s="1545"/>
      <c r="N717" s="1546"/>
      <c r="O717" s="1326"/>
      <c r="P717" s="1327"/>
      <c r="Q717" s="1327"/>
      <c r="R717" s="1327"/>
      <c r="S717" s="1328"/>
      <c r="T717" s="1326"/>
      <c r="U717" s="1327"/>
      <c r="V717" s="1327"/>
      <c r="W717" s="1328"/>
      <c r="X717" s="1326"/>
      <c r="Y717" s="1327"/>
      <c r="Z717" s="1327"/>
      <c r="AA717" s="1327"/>
      <c r="AB717" s="1328"/>
      <c r="AC717" s="1326"/>
      <c r="AD717" s="1327"/>
      <c r="AE717" s="1327"/>
      <c r="AF717" s="1327"/>
      <c r="AG717" s="1328"/>
      <c r="AH717" s="1326"/>
      <c r="AI717" s="1327"/>
      <c r="AJ717" s="1328"/>
      <c r="AK717" s="1326"/>
      <c r="AL717" s="1327"/>
      <c r="AM717" s="1327"/>
      <c r="AN717" s="1327"/>
      <c r="AO717" s="132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2" customHeight="1">
      <c r="A718" s="3"/>
      <c r="B718" s="1314" t="s">
        <v>1381</v>
      </c>
      <c r="C718" s="1315"/>
      <c r="D718" s="1315"/>
      <c r="E718" s="1315"/>
      <c r="F718" s="1316"/>
      <c r="G718" s="1336">
        <v>50</v>
      </c>
      <c r="H718" s="1337"/>
      <c r="I718" s="1337"/>
      <c r="J718" s="1338"/>
      <c r="K718" s="1330">
        <v>521</v>
      </c>
      <c r="L718" s="1331"/>
      <c r="M718" s="1331"/>
      <c r="N718" s="1332"/>
      <c r="O718" s="1311">
        <v>680</v>
      </c>
      <c r="P718" s="1312"/>
      <c r="Q718" s="1312"/>
      <c r="R718" s="1312"/>
      <c r="S718" s="1313"/>
      <c r="T718" s="1311">
        <f>Q832</f>
        <v>100</v>
      </c>
      <c r="U718" s="1312"/>
      <c r="V718" s="1312"/>
      <c r="W718" s="1313"/>
      <c r="X718" s="1512">
        <f t="shared" ref="X718:X741" si="59">O718+T718</f>
        <v>780</v>
      </c>
      <c r="Y718" s="1513"/>
      <c r="Z718" s="1513"/>
      <c r="AA718" s="1513"/>
      <c r="AB718" s="1514"/>
      <c r="AC718" s="1308">
        <v>0.3</v>
      </c>
      <c r="AD718" s="1309"/>
      <c r="AE718" s="1309"/>
      <c r="AF718" s="1309"/>
      <c r="AG718" s="1310"/>
      <c r="AH718" s="1333">
        <f t="shared" ref="AH718:AH751" si="60">IF($AC718&gt;0,($X718/$BA667), "")</f>
        <v>0.3</v>
      </c>
      <c r="AI718" s="1334"/>
      <c r="AJ718" s="1335"/>
      <c r="AK718" s="1314" t="s">
        <v>993</v>
      </c>
      <c r="AL718" s="1315"/>
      <c r="AM718" s="1315"/>
      <c r="AN718" s="1315"/>
      <c r="AO718" s="131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2" customHeight="1">
      <c r="A719" s="3"/>
      <c r="B719" s="1314" t="s">
        <v>1381</v>
      </c>
      <c r="C719" s="1315"/>
      <c r="D719" s="1315"/>
      <c r="E719" s="1315"/>
      <c r="F719" s="1316"/>
      <c r="G719" s="1336">
        <v>25</v>
      </c>
      <c r="H719" s="1337"/>
      <c r="I719" s="1337"/>
      <c r="J719" s="1338"/>
      <c r="K719" s="1330">
        <v>521</v>
      </c>
      <c r="L719" s="1331"/>
      <c r="M719" s="1331"/>
      <c r="N719" s="1332"/>
      <c r="O719" s="1311">
        <v>1460</v>
      </c>
      <c r="P719" s="1312"/>
      <c r="Q719" s="1312"/>
      <c r="R719" s="1312"/>
      <c r="S719" s="1313"/>
      <c r="T719" s="1311">
        <f>Q832</f>
        <v>100</v>
      </c>
      <c r="U719" s="1312"/>
      <c r="V719" s="1312"/>
      <c r="W719" s="1313"/>
      <c r="X719" s="1512">
        <f t="shared" si="59"/>
        <v>1560</v>
      </c>
      <c r="Y719" s="1513"/>
      <c r="Z719" s="1513"/>
      <c r="AA719" s="1513"/>
      <c r="AB719" s="1514"/>
      <c r="AC719" s="1308">
        <v>0.6</v>
      </c>
      <c r="AD719" s="1309"/>
      <c r="AE719" s="1309"/>
      <c r="AF719" s="1309"/>
      <c r="AG719" s="1310"/>
      <c r="AH719" s="1333">
        <f t="shared" si="60"/>
        <v>0.6</v>
      </c>
      <c r="AI719" s="1334"/>
      <c r="AJ719" s="1335"/>
      <c r="AK719" s="1314" t="s">
        <v>993</v>
      </c>
      <c r="AL719" s="1315"/>
      <c r="AM719" s="1315"/>
      <c r="AN719" s="1315"/>
      <c r="AO719" s="131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2" customHeight="1">
      <c r="A720" s="3"/>
      <c r="B720" s="1314" t="s">
        <v>1381</v>
      </c>
      <c r="C720" s="1315"/>
      <c r="D720" s="1315"/>
      <c r="E720" s="1315"/>
      <c r="F720" s="1316"/>
      <c r="G720" s="1336">
        <v>22</v>
      </c>
      <c r="H720" s="1337"/>
      <c r="I720" s="1337"/>
      <c r="J720" s="1338"/>
      <c r="K720" s="1330">
        <v>521</v>
      </c>
      <c r="L720" s="1331"/>
      <c r="M720" s="1331"/>
      <c r="N720" s="1332"/>
      <c r="O720" s="1311">
        <v>1980</v>
      </c>
      <c r="P720" s="1312"/>
      <c r="Q720" s="1312"/>
      <c r="R720" s="1312"/>
      <c r="S720" s="1313"/>
      <c r="T720" s="1311">
        <f>Q832</f>
        <v>100</v>
      </c>
      <c r="U720" s="1312"/>
      <c r="V720" s="1312"/>
      <c r="W720" s="1313"/>
      <c r="X720" s="1512">
        <f t="shared" si="59"/>
        <v>2080</v>
      </c>
      <c r="Y720" s="1513"/>
      <c r="Z720" s="1513"/>
      <c r="AA720" s="1513"/>
      <c r="AB720" s="1514"/>
      <c r="AC720" s="1308">
        <v>0.8</v>
      </c>
      <c r="AD720" s="1309"/>
      <c r="AE720" s="1309"/>
      <c r="AF720" s="1309"/>
      <c r="AG720" s="1310"/>
      <c r="AH720" s="1333">
        <f t="shared" si="60"/>
        <v>0.8</v>
      </c>
      <c r="AI720" s="1334"/>
      <c r="AJ720" s="1335"/>
      <c r="AK720" s="1314" t="s">
        <v>299</v>
      </c>
      <c r="AL720" s="1315"/>
      <c r="AM720" s="1315"/>
      <c r="AN720" s="1315"/>
      <c r="AO720" s="131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2" customHeight="1">
      <c r="B721" s="1314" t="s">
        <v>1382</v>
      </c>
      <c r="C721" s="1315"/>
      <c r="D721" s="1315"/>
      <c r="E721" s="1315"/>
      <c r="F721" s="1316"/>
      <c r="G721" s="1336">
        <v>3</v>
      </c>
      <c r="H721" s="1337"/>
      <c r="I721" s="1337"/>
      <c r="J721" s="1338"/>
      <c r="K721" s="1330">
        <v>828</v>
      </c>
      <c r="L721" s="1331"/>
      <c r="M721" s="1331"/>
      <c r="N721" s="1332"/>
      <c r="O721" s="1311">
        <v>2368</v>
      </c>
      <c r="P721" s="1312"/>
      <c r="Q721" s="1312"/>
      <c r="R721" s="1312"/>
      <c r="S721" s="1313"/>
      <c r="T721" s="1311">
        <f>U832</f>
        <v>128</v>
      </c>
      <c r="U721" s="1312"/>
      <c r="V721" s="1312"/>
      <c r="W721" s="1313"/>
      <c r="X721" s="1512">
        <f t="shared" si="59"/>
        <v>2496</v>
      </c>
      <c r="Y721" s="1513"/>
      <c r="Z721" s="1513"/>
      <c r="AA721" s="1513"/>
      <c r="AB721" s="1514"/>
      <c r="AC721" s="1308">
        <v>0.8</v>
      </c>
      <c r="AD721" s="1309"/>
      <c r="AE721" s="1309"/>
      <c r="AF721" s="1309"/>
      <c r="AG721" s="1310"/>
      <c r="AH721" s="1333">
        <f t="shared" si="60"/>
        <v>0.8</v>
      </c>
      <c r="AI721" s="1334"/>
      <c r="AJ721" s="1335"/>
      <c r="AK721" s="1314" t="s">
        <v>299</v>
      </c>
      <c r="AL721" s="1315"/>
      <c r="AM721" s="1315"/>
      <c r="AN721" s="1315"/>
      <c r="AO721" s="1316"/>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2" customHeight="1">
      <c r="B722" s="1314"/>
      <c r="C722" s="1315"/>
      <c r="D722" s="1315"/>
      <c r="E722" s="1315"/>
      <c r="F722" s="1316"/>
      <c r="G722" s="1336"/>
      <c r="H722" s="1337"/>
      <c r="I722" s="1337"/>
      <c r="J722" s="1338"/>
      <c r="K722" s="1330"/>
      <c r="L722" s="1331"/>
      <c r="M722" s="1331"/>
      <c r="N722" s="1332"/>
      <c r="O722" s="1311"/>
      <c r="P722" s="1312"/>
      <c r="Q722" s="1312"/>
      <c r="R722" s="1312"/>
      <c r="S722" s="1313"/>
      <c r="T722" s="1311"/>
      <c r="U722" s="1312"/>
      <c r="V722" s="1312"/>
      <c r="W722" s="1313"/>
      <c r="X722" s="1512">
        <f t="shared" si="59"/>
        <v>0</v>
      </c>
      <c r="Y722" s="1513"/>
      <c r="Z722" s="1513"/>
      <c r="AA722" s="1513"/>
      <c r="AB722" s="1514"/>
      <c r="AC722" s="1308"/>
      <c r="AD722" s="1309"/>
      <c r="AE722" s="1309"/>
      <c r="AF722" s="1309"/>
      <c r="AG722" s="1310"/>
      <c r="AH722" s="1333" t="str">
        <f t="shared" si="60"/>
        <v/>
      </c>
      <c r="AI722" s="1334"/>
      <c r="AJ722" s="1335"/>
      <c r="AK722" s="1314" t="s">
        <v>299</v>
      </c>
      <c r="AL722" s="1315"/>
      <c r="AM722" s="1315"/>
      <c r="AN722" s="1315"/>
      <c r="AO722" s="1316"/>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2" customHeight="1">
      <c r="B723" s="1314"/>
      <c r="C723" s="1315"/>
      <c r="D723" s="1315"/>
      <c r="E723" s="1315"/>
      <c r="F723" s="1316"/>
      <c r="G723" s="1336"/>
      <c r="H723" s="1337"/>
      <c r="I723" s="1337"/>
      <c r="J723" s="1338"/>
      <c r="K723" s="1330"/>
      <c r="L723" s="1331"/>
      <c r="M723" s="1331"/>
      <c r="N723" s="1332"/>
      <c r="O723" s="1311"/>
      <c r="P723" s="1312"/>
      <c r="Q723" s="1312"/>
      <c r="R723" s="1312"/>
      <c r="S723" s="1313"/>
      <c r="T723" s="1311"/>
      <c r="U723" s="1312"/>
      <c r="V723" s="1312"/>
      <c r="W723" s="1313"/>
      <c r="X723" s="1512">
        <f t="shared" si="59"/>
        <v>0</v>
      </c>
      <c r="Y723" s="1513"/>
      <c r="Z723" s="1513"/>
      <c r="AA723" s="1513"/>
      <c r="AB723" s="1514"/>
      <c r="AC723" s="1308"/>
      <c r="AD723" s="1309"/>
      <c r="AE723" s="1309"/>
      <c r="AF723" s="1309"/>
      <c r="AG723" s="1310"/>
      <c r="AH723" s="1333" t="str">
        <f t="shared" si="60"/>
        <v/>
      </c>
      <c r="AI723" s="1334"/>
      <c r="AJ723" s="1335"/>
      <c r="AK723" s="1314" t="s">
        <v>299</v>
      </c>
      <c r="AL723" s="1315"/>
      <c r="AM723" s="1315"/>
      <c r="AN723" s="1315"/>
      <c r="AO723" s="1316"/>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2" customHeight="1">
      <c r="B724" s="1314"/>
      <c r="C724" s="1315"/>
      <c r="D724" s="1315"/>
      <c r="E724" s="1315"/>
      <c r="F724" s="1316"/>
      <c r="G724" s="1336"/>
      <c r="H724" s="1337"/>
      <c r="I724" s="1337"/>
      <c r="J724" s="1338"/>
      <c r="K724" s="1330"/>
      <c r="L724" s="1331"/>
      <c r="M724" s="1331"/>
      <c r="N724" s="1332"/>
      <c r="O724" s="1311"/>
      <c r="P724" s="1312"/>
      <c r="Q724" s="1312"/>
      <c r="R724" s="1312"/>
      <c r="S724" s="1313"/>
      <c r="T724" s="1311"/>
      <c r="U724" s="1312"/>
      <c r="V724" s="1312"/>
      <c r="W724" s="1313"/>
      <c r="X724" s="1512">
        <f t="shared" si="59"/>
        <v>0</v>
      </c>
      <c r="Y724" s="1513"/>
      <c r="Z724" s="1513"/>
      <c r="AA724" s="1513"/>
      <c r="AB724" s="1514"/>
      <c r="AC724" s="1308"/>
      <c r="AD724" s="1309"/>
      <c r="AE724" s="1309"/>
      <c r="AF724" s="1309"/>
      <c r="AG724" s="1310"/>
      <c r="AH724" s="1333" t="str">
        <f t="shared" si="60"/>
        <v/>
      </c>
      <c r="AI724" s="1334"/>
      <c r="AJ724" s="1335"/>
      <c r="AK724" s="1314" t="s">
        <v>299</v>
      </c>
      <c r="AL724" s="1315"/>
      <c r="AM724" s="1315"/>
      <c r="AN724" s="1315"/>
      <c r="AO724" s="1316"/>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2" customHeight="1">
      <c r="B725" s="1314"/>
      <c r="C725" s="1315"/>
      <c r="D725" s="1315"/>
      <c r="E725" s="1315"/>
      <c r="F725" s="1316"/>
      <c r="G725" s="1336"/>
      <c r="H725" s="1337"/>
      <c r="I725" s="1337"/>
      <c r="J725" s="1338"/>
      <c r="K725" s="1330"/>
      <c r="L725" s="1331"/>
      <c r="M725" s="1331"/>
      <c r="N725" s="1332"/>
      <c r="O725" s="1311"/>
      <c r="P725" s="1312"/>
      <c r="Q725" s="1312"/>
      <c r="R725" s="1312"/>
      <c r="S725" s="1313"/>
      <c r="T725" s="1311"/>
      <c r="U725" s="1312"/>
      <c r="V725" s="1312"/>
      <c r="W725" s="1313"/>
      <c r="X725" s="1512">
        <f t="shared" si="59"/>
        <v>0</v>
      </c>
      <c r="Y725" s="1513"/>
      <c r="Z725" s="1513"/>
      <c r="AA725" s="1513"/>
      <c r="AB725" s="1514"/>
      <c r="AC725" s="1308"/>
      <c r="AD725" s="1309"/>
      <c r="AE725" s="1309"/>
      <c r="AF725" s="1309"/>
      <c r="AG725" s="1310"/>
      <c r="AH725" s="1333" t="str">
        <f t="shared" si="60"/>
        <v/>
      </c>
      <c r="AI725" s="1334"/>
      <c r="AJ725" s="1335"/>
      <c r="AK725" s="1314" t="s">
        <v>299</v>
      </c>
      <c r="AL725" s="1315"/>
      <c r="AM725" s="1315"/>
      <c r="AN725" s="1315"/>
      <c r="AO725" s="1316"/>
      <c r="AP725" s="3"/>
      <c r="AQ725" s="3"/>
      <c r="AR725" s="3"/>
      <c r="AS725" s="3"/>
      <c r="AY725" s="881"/>
      <c r="AZ725" s="881"/>
      <c r="BA725" s="881"/>
      <c r="BB725" s="881"/>
      <c r="BC725" s="881"/>
      <c r="BD725" s="3"/>
      <c r="BE725" s="3"/>
      <c r="BF725" s="3"/>
      <c r="BK725" s="3"/>
      <c r="BL725" s="3"/>
      <c r="BM725" s="3"/>
      <c r="BN725" s="3"/>
      <c r="BO725" s="3"/>
      <c r="BP725" s="208"/>
      <c r="BQ725" s="139"/>
      <c r="BR725" s="1168"/>
      <c r="BS725" s="1168"/>
      <c r="BT725" s="1168"/>
      <c r="BU725" s="1168"/>
      <c r="BV725" s="1168"/>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2" customHeight="1">
      <c r="B726" s="1314"/>
      <c r="C726" s="1315"/>
      <c r="D726" s="1315"/>
      <c r="E726" s="1315"/>
      <c r="F726" s="1316"/>
      <c r="G726" s="1336"/>
      <c r="H726" s="1337"/>
      <c r="I726" s="1337"/>
      <c r="J726" s="1338"/>
      <c r="K726" s="1330"/>
      <c r="L726" s="1331"/>
      <c r="M726" s="1331"/>
      <c r="N726" s="1332"/>
      <c r="O726" s="1311"/>
      <c r="P726" s="1312"/>
      <c r="Q726" s="1312"/>
      <c r="R726" s="1312"/>
      <c r="S726" s="1313"/>
      <c r="T726" s="1311"/>
      <c r="U726" s="1312"/>
      <c r="V726" s="1312"/>
      <c r="W726" s="1313"/>
      <c r="X726" s="1512">
        <f t="shared" si="59"/>
        <v>0</v>
      </c>
      <c r="Y726" s="1513"/>
      <c r="Z726" s="1513"/>
      <c r="AA726" s="1513"/>
      <c r="AB726" s="1514"/>
      <c r="AC726" s="1308"/>
      <c r="AD726" s="1309"/>
      <c r="AE726" s="1309"/>
      <c r="AF726" s="1309"/>
      <c r="AG726" s="1310"/>
      <c r="AH726" s="1333" t="str">
        <f t="shared" si="60"/>
        <v/>
      </c>
      <c r="AI726" s="1334"/>
      <c r="AJ726" s="1335"/>
      <c r="AK726" s="1314" t="s">
        <v>299</v>
      </c>
      <c r="AL726" s="1315"/>
      <c r="AM726" s="1315"/>
      <c r="AN726" s="1315"/>
      <c r="AO726" s="1316"/>
      <c r="AP726" s="3"/>
      <c r="AQ726" s="3"/>
      <c r="AR726" s="3"/>
      <c r="AS726" s="3"/>
      <c r="AY726" s="881"/>
      <c r="AZ726" s="881"/>
      <c r="BA726" s="881"/>
      <c r="BB726" s="881"/>
      <c r="BC726" s="881"/>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2" customHeight="1">
      <c r="A727" s="3"/>
      <c r="B727" s="1314"/>
      <c r="C727" s="1315"/>
      <c r="D727" s="1315"/>
      <c r="E727" s="1315"/>
      <c r="F727" s="1316"/>
      <c r="G727" s="1336"/>
      <c r="H727" s="1337"/>
      <c r="I727" s="1337"/>
      <c r="J727" s="1338"/>
      <c r="K727" s="1330"/>
      <c r="L727" s="1331"/>
      <c r="M727" s="1331"/>
      <c r="N727" s="1332"/>
      <c r="O727" s="1311"/>
      <c r="P727" s="1312"/>
      <c r="Q727" s="1312"/>
      <c r="R727" s="1312"/>
      <c r="S727" s="1313"/>
      <c r="T727" s="1311"/>
      <c r="U727" s="1312"/>
      <c r="V727" s="1312"/>
      <c r="W727" s="1313"/>
      <c r="X727" s="1512">
        <f t="shared" si="59"/>
        <v>0</v>
      </c>
      <c r="Y727" s="1513"/>
      <c r="Z727" s="1513"/>
      <c r="AA727" s="1513"/>
      <c r="AB727" s="1514"/>
      <c r="AC727" s="1308"/>
      <c r="AD727" s="1309"/>
      <c r="AE727" s="1309"/>
      <c r="AF727" s="1309"/>
      <c r="AG727" s="1310"/>
      <c r="AH727" s="1333" t="str">
        <f t="shared" si="60"/>
        <v/>
      </c>
      <c r="AI727" s="1334"/>
      <c r="AJ727" s="1335"/>
      <c r="AK727" s="1314" t="s">
        <v>299</v>
      </c>
      <c r="AL727" s="1315"/>
      <c r="AM727" s="1315"/>
      <c r="AN727" s="1315"/>
      <c r="AO727" s="1316"/>
      <c r="AP727" s="3"/>
      <c r="AQ727" s="3"/>
      <c r="AR727" s="3"/>
      <c r="AS727" s="3"/>
      <c r="AY727" s="881"/>
      <c r="AZ727" s="881"/>
      <c r="BA727" s="881"/>
      <c r="BB727" s="881"/>
      <c r="BC727" s="881"/>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2" customHeight="1">
      <c r="A728" s="3"/>
      <c r="B728" s="1314"/>
      <c r="C728" s="1315"/>
      <c r="D728" s="1315"/>
      <c r="E728" s="1315"/>
      <c r="F728" s="1316"/>
      <c r="G728" s="1336"/>
      <c r="H728" s="1337"/>
      <c r="I728" s="1337"/>
      <c r="J728" s="1338"/>
      <c r="K728" s="1330"/>
      <c r="L728" s="1331"/>
      <c r="M728" s="1331"/>
      <c r="N728" s="1332"/>
      <c r="O728" s="1311"/>
      <c r="P728" s="1312"/>
      <c r="Q728" s="1312"/>
      <c r="R728" s="1312"/>
      <c r="S728" s="1313"/>
      <c r="T728" s="1311"/>
      <c r="U728" s="1312"/>
      <c r="V728" s="1312"/>
      <c r="W728" s="1313"/>
      <c r="X728" s="1512">
        <f t="shared" si="59"/>
        <v>0</v>
      </c>
      <c r="Y728" s="1513"/>
      <c r="Z728" s="1513"/>
      <c r="AA728" s="1513"/>
      <c r="AB728" s="1514"/>
      <c r="AC728" s="1308"/>
      <c r="AD728" s="1309"/>
      <c r="AE728" s="1309"/>
      <c r="AF728" s="1309"/>
      <c r="AG728" s="1310"/>
      <c r="AH728" s="1333" t="str">
        <f t="shared" si="60"/>
        <v/>
      </c>
      <c r="AI728" s="1334"/>
      <c r="AJ728" s="1335"/>
      <c r="AK728" s="1314" t="s">
        <v>299</v>
      </c>
      <c r="AL728" s="1315"/>
      <c r="AM728" s="1315"/>
      <c r="AN728" s="1315"/>
      <c r="AO728" s="1316"/>
      <c r="AP728" s="3"/>
      <c r="AQ728" s="3"/>
      <c r="AR728" s="3"/>
      <c r="AS728" s="3"/>
      <c r="AY728" s="881"/>
      <c r="AZ728" s="881"/>
      <c r="BA728" s="881"/>
      <c r="BB728" s="881"/>
      <c r="BC728" s="881"/>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2" customHeight="1">
      <c r="A729" s="3"/>
      <c r="B729" s="1314"/>
      <c r="C729" s="1315"/>
      <c r="D729" s="1315"/>
      <c r="E729" s="1315"/>
      <c r="F729" s="1316"/>
      <c r="G729" s="1336"/>
      <c r="H729" s="1337"/>
      <c r="I729" s="1337"/>
      <c r="J729" s="1338"/>
      <c r="K729" s="1330"/>
      <c r="L729" s="1331"/>
      <c r="M729" s="1331"/>
      <c r="N729" s="1332"/>
      <c r="O729" s="1311"/>
      <c r="P729" s="1312"/>
      <c r="Q729" s="1312"/>
      <c r="R729" s="1312"/>
      <c r="S729" s="1313"/>
      <c r="T729" s="1311"/>
      <c r="U729" s="1312"/>
      <c r="V729" s="1312"/>
      <c r="W729" s="1313"/>
      <c r="X729" s="1512">
        <f t="shared" si="59"/>
        <v>0</v>
      </c>
      <c r="Y729" s="1513"/>
      <c r="Z729" s="1513"/>
      <c r="AA729" s="1513"/>
      <c r="AB729" s="1514"/>
      <c r="AC729" s="1308"/>
      <c r="AD729" s="1309"/>
      <c r="AE729" s="1309"/>
      <c r="AF729" s="1309"/>
      <c r="AG729" s="1310"/>
      <c r="AH729" s="1333" t="str">
        <f t="shared" si="60"/>
        <v/>
      </c>
      <c r="AI729" s="1334"/>
      <c r="AJ729" s="1335"/>
      <c r="AK729" s="1314" t="s">
        <v>299</v>
      </c>
      <c r="AL729" s="1315"/>
      <c r="AM729" s="1315"/>
      <c r="AN729" s="1315"/>
      <c r="AO729" s="1316"/>
      <c r="AP729" s="3"/>
      <c r="AQ729" s="3"/>
      <c r="AR729" s="3"/>
      <c r="AS729" s="3"/>
      <c r="AY729" s="881"/>
      <c r="AZ729" s="881"/>
      <c r="BA729" s="881"/>
      <c r="BB729" s="881"/>
      <c r="BC729" s="881"/>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2" customHeight="1">
      <c r="B730" s="1314"/>
      <c r="C730" s="1315"/>
      <c r="D730" s="1315"/>
      <c r="E730" s="1315"/>
      <c r="F730" s="1316"/>
      <c r="G730" s="1336"/>
      <c r="H730" s="1337"/>
      <c r="I730" s="1337"/>
      <c r="J730" s="1338"/>
      <c r="K730" s="1330"/>
      <c r="L730" s="1331"/>
      <c r="M730" s="1331"/>
      <c r="N730" s="1332"/>
      <c r="O730" s="1311"/>
      <c r="P730" s="1312"/>
      <c r="Q730" s="1312"/>
      <c r="R730" s="1312"/>
      <c r="S730" s="1313"/>
      <c r="T730" s="1311"/>
      <c r="U730" s="1312"/>
      <c r="V730" s="1312"/>
      <c r="W730" s="1313"/>
      <c r="X730" s="1512">
        <f t="shared" si="59"/>
        <v>0</v>
      </c>
      <c r="Y730" s="1513"/>
      <c r="Z730" s="1513"/>
      <c r="AA730" s="1513"/>
      <c r="AB730" s="1514"/>
      <c r="AC730" s="1308"/>
      <c r="AD730" s="1309"/>
      <c r="AE730" s="1309"/>
      <c r="AF730" s="1309"/>
      <c r="AG730" s="1310"/>
      <c r="AH730" s="1333" t="str">
        <f t="shared" si="60"/>
        <v/>
      </c>
      <c r="AI730" s="1334"/>
      <c r="AJ730" s="1335"/>
      <c r="AK730" s="1314" t="s">
        <v>299</v>
      </c>
      <c r="AL730" s="1315"/>
      <c r="AM730" s="1315"/>
      <c r="AN730" s="1315"/>
      <c r="AO730" s="1316"/>
      <c r="AP730" s="3"/>
      <c r="AQ730" s="3"/>
      <c r="AR730" s="3"/>
      <c r="AS730" s="3"/>
      <c r="AY730" s="881"/>
      <c r="AZ730" s="881"/>
      <c r="BA730" s="881"/>
      <c r="BB730" s="881"/>
      <c r="BC730" s="881"/>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2" customHeight="1">
      <c r="B731" s="1314"/>
      <c r="C731" s="1315"/>
      <c r="D731" s="1315"/>
      <c r="E731" s="1315"/>
      <c r="F731" s="1316"/>
      <c r="G731" s="1336"/>
      <c r="H731" s="1337"/>
      <c r="I731" s="1337"/>
      <c r="J731" s="1338"/>
      <c r="K731" s="1330"/>
      <c r="L731" s="1331"/>
      <c r="M731" s="1331"/>
      <c r="N731" s="1332"/>
      <c r="O731" s="1311"/>
      <c r="P731" s="1312"/>
      <c r="Q731" s="1312"/>
      <c r="R731" s="1312"/>
      <c r="S731" s="1313"/>
      <c r="T731" s="1311"/>
      <c r="U731" s="1312"/>
      <c r="V731" s="1312"/>
      <c r="W731" s="1313"/>
      <c r="X731" s="1512">
        <f t="shared" si="59"/>
        <v>0</v>
      </c>
      <c r="Y731" s="1513"/>
      <c r="Z731" s="1513"/>
      <c r="AA731" s="1513"/>
      <c r="AB731" s="1514"/>
      <c r="AC731" s="1308"/>
      <c r="AD731" s="1309"/>
      <c r="AE731" s="1309"/>
      <c r="AF731" s="1309"/>
      <c r="AG731" s="1310"/>
      <c r="AH731" s="1333" t="str">
        <f t="shared" si="60"/>
        <v/>
      </c>
      <c r="AI731" s="1334"/>
      <c r="AJ731" s="1335"/>
      <c r="AK731" s="1314" t="s">
        <v>299</v>
      </c>
      <c r="AL731" s="1315"/>
      <c r="AM731" s="1315"/>
      <c r="AN731" s="1315"/>
      <c r="AO731" s="1316"/>
      <c r="AP731" s="3"/>
      <c r="AQ731" s="3"/>
      <c r="AR731" s="3"/>
      <c r="AS731" s="3"/>
      <c r="AY731" s="881"/>
      <c r="AZ731" s="881"/>
      <c r="BA731" s="881"/>
      <c r="BB731" s="881"/>
      <c r="BC731" s="881"/>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2" customHeight="1">
      <c r="B732" s="1314"/>
      <c r="C732" s="1315"/>
      <c r="D732" s="1315"/>
      <c r="E732" s="1315"/>
      <c r="F732" s="1316"/>
      <c r="G732" s="1336"/>
      <c r="H732" s="1337"/>
      <c r="I732" s="1337"/>
      <c r="J732" s="1338"/>
      <c r="K732" s="1330"/>
      <c r="L732" s="1331"/>
      <c r="M732" s="1331"/>
      <c r="N732" s="1332"/>
      <c r="O732" s="1311"/>
      <c r="P732" s="1312"/>
      <c r="Q732" s="1312"/>
      <c r="R732" s="1312"/>
      <c r="S732" s="1313"/>
      <c r="T732" s="1311"/>
      <c r="U732" s="1312"/>
      <c r="V732" s="1312"/>
      <c r="W732" s="1313"/>
      <c r="X732" s="1512">
        <f t="shared" si="59"/>
        <v>0</v>
      </c>
      <c r="Y732" s="1513"/>
      <c r="Z732" s="1513"/>
      <c r="AA732" s="1513"/>
      <c r="AB732" s="1514"/>
      <c r="AC732" s="1308"/>
      <c r="AD732" s="1309"/>
      <c r="AE732" s="1309"/>
      <c r="AF732" s="1309"/>
      <c r="AG732" s="1310"/>
      <c r="AH732" s="1333" t="str">
        <f t="shared" si="60"/>
        <v/>
      </c>
      <c r="AI732" s="1334"/>
      <c r="AJ732" s="1335"/>
      <c r="AK732" s="1314" t="s">
        <v>299</v>
      </c>
      <c r="AL732" s="1315"/>
      <c r="AM732" s="1315"/>
      <c r="AN732" s="1315"/>
      <c r="AO732" s="1316"/>
      <c r="AP732" s="3"/>
      <c r="AQ732" s="3"/>
      <c r="AR732" s="3"/>
      <c r="AS732" s="3"/>
      <c r="AY732" s="881"/>
      <c r="AZ732" s="881"/>
      <c r="BA732" s="881"/>
      <c r="BB732" s="881"/>
      <c r="BC732" s="881"/>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2" customHeight="1">
      <c r="B733" s="1314"/>
      <c r="C733" s="1315"/>
      <c r="D733" s="1315"/>
      <c r="E733" s="1315"/>
      <c r="F733" s="1316"/>
      <c r="G733" s="1336"/>
      <c r="H733" s="1337"/>
      <c r="I733" s="1337"/>
      <c r="J733" s="1338"/>
      <c r="K733" s="1330"/>
      <c r="L733" s="1331"/>
      <c r="M733" s="1331"/>
      <c r="N733" s="1332"/>
      <c r="O733" s="1311"/>
      <c r="P733" s="1312"/>
      <c r="Q733" s="1312"/>
      <c r="R733" s="1312"/>
      <c r="S733" s="1313"/>
      <c r="T733" s="1311"/>
      <c r="U733" s="1312"/>
      <c r="V733" s="1312"/>
      <c r="W733" s="1313"/>
      <c r="X733" s="1512">
        <f t="shared" si="59"/>
        <v>0</v>
      </c>
      <c r="Y733" s="1513"/>
      <c r="Z733" s="1513"/>
      <c r="AA733" s="1513"/>
      <c r="AB733" s="1514"/>
      <c r="AC733" s="1308"/>
      <c r="AD733" s="1309"/>
      <c r="AE733" s="1309"/>
      <c r="AF733" s="1309"/>
      <c r="AG733" s="1310"/>
      <c r="AH733" s="1333" t="str">
        <f t="shared" si="60"/>
        <v/>
      </c>
      <c r="AI733" s="1334"/>
      <c r="AJ733" s="1335"/>
      <c r="AK733" s="1314" t="s">
        <v>299</v>
      </c>
      <c r="AL733" s="1315"/>
      <c r="AM733" s="1315"/>
      <c r="AN733" s="1315"/>
      <c r="AO733" s="1316"/>
      <c r="AP733" s="3"/>
      <c r="AQ733" s="3"/>
      <c r="AR733" s="3"/>
      <c r="AS733" s="3"/>
      <c r="AY733" s="881"/>
      <c r="AZ733" s="881"/>
      <c r="BA733" s="881"/>
      <c r="BB733" s="881"/>
      <c r="BC733" s="881"/>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2" customHeight="1">
      <c r="B734" s="1314"/>
      <c r="C734" s="1315"/>
      <c r="D734" s="1315"/>
      <c r="E734" s="1315"/>
      <c r="F734" s="1316"/>
      <c r="G734" s="1336"/>
      <c r="H734" s="1337"/>
      <c r="I734" s="1337"/>
      <c r="J734" s="1338"/>
      <c r="K734" s="1330"/>
      <c r="L734" s="1331"/>
      <c r="M734" s="1331"/>
      <c r="N734" s="1332"/>
      <c r="O734" s="1311"/>
      <c r="P734" s="1312"/>
      <c r="Q734" s="1312"/>
      <c r="R734" s="1312"/>
      <c r="S734" s="1313"/>
      <c r="T734" s="1311"/>
      <c r="U734" s="1312"/>
      <c r="V734" s="1312"/>
      <c r="W734" s="1313"/>
      <c r="X734" s="1512">
        <f t="shared" si="59"/>
        <v>0</v>
      </c>
      <c r="Y734" s="1513"/>
      <c r="Z734" s="1513"/>
      <c r="AA734" s="1513"/>
      <c r="AB734" s="1514"/>
      <c r="AC734" s="1308"/>
      <c r="AD734" s="1309"/>
      <c r="AE734" s="1309"/>
      <c r="AF734" s="1309"/>
      <c r="AG734" s="1310"/>
      <c r="AH734" s="1333" t="str">
        <f t="shared" si="60"/>
        <v/>
      </c>
      <c r="AI734" s="1334"/>
      <c r="AJ734" s="1335"/>
      <c r="AK734" s="1314" t="s">
        <v>299</v>
      </c>
      <c r="AL734" s="1315"/>
      <c r="AM734" s="1315"/>
      <c r="AN734" s="1315"/>
      <c r="AO734" s="1316"/>
      <c r="AP734" s="3"/>
      <c r="AQ734" s="3"/>
      <c r="AR734" s="3"/>
      <c r="AS734" s="3"/>
      <c r="AY734" s="881"/>
      <c r="AZ734" s="881"/>
      <c r="BA734" s="881"/>
      <c r="BB734" s="881"/>
      <c r="BC734" s="881"/>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2" customHeight="1">
      <c r="B735" s="1314"/>
      <c r="C735" s="1315"/>
      <c r="D735" s="1315"/>
      <c r="E735" s="1315"/>
      <c r="F735" s="1316"/>
      <c r="G735" s="1336"/>
      <c r="H735" s="1337"/>
      <c r="I735" s="1337"/>
      <c r="J735" s="1338"/>
      <c r="K735" s="1330"/>
      <c r="L735" s="1331"/>
      <c r="M735" s="1331"/>
      <c r="N735" s="1332"/>
      <c r="O735" s="1311"/>
      <c r="P735" s="1312"/>
      <c r="Q735" s="1312"/>
      <c r="R735" s="1312"/>
      <c r="S735" s="1313"/>
      <c r="T735" s="1311"/>
      <c r="U735" s="1312"/>
      <c r="V735" s="1312"/>
      <c r="W735" s="1313"/>
      <c r="X735" s="1512">
        <f t="shared" si="59"/>
        <v>0</v>
      </c>
      <c r="Y735" s="1513"/>
      <c r="Z735" s="1513"/>
      <c r="AA735" s="1513"/>
      <c r="AB735" s="1514"/>
      <c r="AC735" s="1308"/>
      <c r="AD735" s="1309"/>
      <c r="AE735" s="1309"/>
      <c r="AF735" s="1309"/>
      <c r="AG735" s="1310"/>
      <c r="AH735" s="1333" t="str">
        <f t="shared" si="60"/>
        <v/>
      </c>
      <c r="AI735" s="1334"/>
      <c r="AJ735" s="1335"/>
      <c r="AK735" s="1314" t="s">
        <v>299</v>
      </c>
      <c r="AL735" s="1315"/>
      <c r="AM735" s="1315"/>
      <c r="AN735" s="1315"/>
      <c r="AO735" s="1316"/>
      <c r="AP735" s="3"/>
      <c r="AQ735" s="3"/>
      <c r="AR735" s="3"/>
      <c r="AS735" s="3"/>
      <c r="AY735" s="881"/>
      <c r="AZ735" s="881"/>
      <c r="BA735" s="881"/>
      <c r="BB735" s="881"/>
      <c r="BC735" s="881"/>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2" customHeight="1">
      <c r="B736" s="1314"/>
      <c r="C736" s="1315"/>
      <c r="D736" s="1315"/>
      <c r="E736" s="1315"/>
      <c r="F736" s="1316"/>
      <c r="G736" s="1336"/>
      <c r="H736" s="1337"/>
      <c r="I736" s="1337"/>
      <c r="J736" s="1338"/>
      <c r="K736" s="1330"/>
      <c r="L736" s="1331"/>
      <c r="M736" s="1331"/>
      <c r="N736" s="1332"/>
      <c r="O736" s="1311"/>
      <c r="P736" s="1312"/>
      <c r="Q736" s="1312"/>
      <c r="R736" s="1312"/>
      <c r="S736" s="1313"/>
      <c r="T736" s="1311"/>
      <c r="U736" s="1312"/>
      <c r="V736" s="1312"/>
      <c r="W736" s="1313"/>
      <c r="X736" s="1512">
        <f t="shared" si="59"/>
        <v>0</v>
      </c>
      <c r="Y736" s="1513"/>
      <c r="Z736" s="1513"/>
      <c r="AA736" s="1513"/>
      <c r="AB736" s="1514"/>
      <c r="AC736" s="1308"/>
      <c r="AD736" s="1309"/>
      <c r="AE736" s="1309"/>
      <c r="AF736" s="1309"/>
      <c r="AG736" s="1310"/>
      <c r="AH736" s="1333" t="str">
        <f t="shared" si="60"/>
        <v/>
      </c>
      <c r="AI736" s="1334"/>
      <c r="AJ736" s="1335"/>
      <c r="AK736" s="1314" t="s">
        <v>299</v>
      </c>
      <c r="AL736" s="1315"/>
      <c r="AM736" s="1315"/>
      <c r="AN736" s="1315"/>
      <c r="AO736" s="1316"/>
      <c r="AP736" s="3"/>
      <c r="AQ736" s="3"/>
      <c r="AR736" s="3"/>
      <c r="AS736" s="3"/>
      <c r="AY736" s="881"/>
      <c r="AZ736" s="881"/>
      <c r="BA736" s="881"/>
      <c r="BB736" s="881"/>
      <c r="BC736" s="881"/>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2" customHeight="1">
      <c r="B737" s="1314"/>
      <c r="C737" s="1315"/>
      <c r="D737" s="1315"/>
      <c r="E737" s="1315"/>
      <c r="F737" s="1316"/>
      <c r="G737" s="1336"/>
      <c r="H737" s="1337"/>
      <c r="I737" s="1337"/>
      <c r="J737" s="1338"/>
      <c r="K737" s="1330"/>
      <c r="L737" s="1331"/>
      <c r="M737" s="1331"/>
      <c r="N737" s="1332"/>
      <c r="O737" s="1311"/>
      <c r="P737" s="1312"/>
      <c r="Q737" s="1312"/>
      <c r="R737" s="1312"/>
      <c r="S737" s="1313"/>
      <c r="T737" s="1311"/>
      <c r="U737" s="1312"/>
      <c r="V737" s="1312"/>
      <c r="W737" s="1313"/>
      <c r="X737" s="1512">
        <f t="shared" si="59"/>
        <v>0</v>
      </c>
      <c r="Y737" s="1513"/>
      <c r="Z737" s="1513"/>
      <c r="AA737" s="1513"/>
      <c r="AB737" s="1514"/>
      <c r="AC737" s="1308"/>
      <c r="AD737" s="1309"/>
      <c r="AE737" s="1309"/>
      <c r="AF737" s="1309"/>
      <c r="AG737" s="1310"/>
      <c r="AH737" s="1333" t="str">
        <f t="shared" si="60"/>
        <v/>
      </c>
      <c r="AI737" s="1334"/>
      <c r="AJ737" s="1335"/>
      <c r="AK737" s="1314" t="s">
        <v>299</v>
      </c>
      <c r="AL737" s="1315"/>
      <c r="AM737" s="1315"/>
      <c r="AN737" s="1315"/>
      <c r="AO737" s="1316"/>
      <c r="AP737" s="3"/>
      <c r="AQ737" s="3"/>
      <c r="AR737" s="3"/>
      <c r="AS737" s="3"/>
      <c r="AY737" s="881"/>
      <c r="AZ737" s="881"/>
      <c r="BA737" s="881"/>
      <c r="BB737" s="881"/>
      <c r="BC737" s="881"/>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2" customHeight="1">
      <c r="B738" s="1314"/>
      <c r="C738" s="1315"/>
      <c r="D738" s="1315"/>
      <c r="E738" s="1315"/>
      <c r="F738" s="1316"/>
      <c r="G738" s="1336"/>
      <c r="H738" s="1337"/>
      <c r="I738" s="1337"/>
      <c r="J738" s="1338"/>
      <c r="K738" s="1330"/>
      <c r="L738" s="1331"/>
      <c r="M738" s="1331"/>
      <c r="N738" s="1332"/>
      <c r="O738" s="1311"/>
      <c r="P738" s="1312"/>
      <c r="Q738" s="1312"/>
      <c r="R738" s="1312"/>
      <c r="S738" s="1313"/>
      <c r="T738" s="1311"/>
      <c r="U738" s="1312"/>
      <c r="V738" s="1312"/>
      <c r="W738" s="1313"/>
      <c r="X738" s="1512">
        <f t="shared" si="59"/>
        <v>0</v>
      </c>
      <c r="Y738" s="1513"/>
      <c r="Z738" s="1513"/>
      <c r="AA738" s="1513"/>
      <c r="AB738" s="1514"/>
      <c r="AC738" s="1308"/>
      <c r="AD738" s="1309"/>
      <c r="AE738" s="1309"/>
      <c r="AF738" s="1309"/>
      <c r="AG738" s="1310"/>
      <c r="AH738" s="1333" t="str">
        <f t="shared" si="60"/>
        <v/>
      </c>
      <c r="AI738" s="1334"/>
      <c r="AJ738" s="1335"/>
      <c r="AK738" s="1314" t="s">
        <v>299</v>
      </c>
      <c r="AL738" s="1315"/>
      <c r="AM738" s="1315"/>
      <c r="AN738" s="1315"/>
      <c r="AO738" s="1316"/>
      <c r="AP738" s="3"/>
      <c r="AQ738" s="3"/>
      <c r="AR738" s="3"/>
      <c r="AS738" s="3"/>
      <c r="AY738" s="881"/>
      <c r="AZ738" s="881"/>
      <c r="BA738" s="881"/>
      <c r="BB738" s="881"/>
      <c r="BC738" s="881"/>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2" customHeight="1">
      <c r="B739" s="1314"/>
      <c r="C739" s="1315"/>
      <c r="D739" s="1315"/>
      <c r="E739" s="1315"/>
      <c r="F739" s="1316"/>
      <c r="G739" s="1336"/>
      <c r="H739" s="1337"/>
      <c r="I739" s="1337"/>
      <c r="J739" s="1338"/>
      <c r="K739" s="1330"/>
      <c r="L739" s="1331"/>
      <c r="M739" s="1331"/>
      <c r="N739" s="1332"/>
      <c r="O739" s="1311"/>
      <c r="P739" s="1312"/>
      <c r="Q739" s="1312"/>
      <c r="R739" s="1312"/>
      <c r="S739" s="1313"/>
      <c r="T739" s="1311"/>
      <c r="U739" s="1312"/>
      <c r="V739" s="1312"/>
      <c r="W739" s="1313"/>
      <c r="X739" s="1512">
        <f t="shared" si="59"/>
        <v>0</v>
      </c>
      <c r="Y739" s="1513"/>
      <c r="Z739" s="1513"/>
      <c r="AA739" s="1513"/>
      <c r="AB739" s="1514"/>
      <c r="AC739" s="1308"/>
      <c r="AD739" s="1309"/>
      <c r="AE739" s="1309"/>
      <c r="AF739" s="1309"/>
      <c r="AG739" s="1310"/>
      <c r="AH739" s="1333" t="str">
        <f t="shared" si="60"/>
        <v/>
      </c>
      <c r="AI739" s="1334"/>
      <c r="AJ739" s="1335"/>
      <c r="AK739" s="1314" t="s">
        <v>299</v>
      </c>
      <c r="AL739" s="1315"/>
      <c r="AM739" s="1315"/>
      <c r="AN739" s="1315"/>
      <c r="AO739" s="1316"/>
      <c r="AP739" s="3"/>
      <c r="AQ739" s="3"/>
      <c r="AR739" s="3"/>
      <c r="AS739" s="3"/>
      <c r="AY739" s="881"/>
      <c r="AZ739" s="881"/>
      <c r="BA739" s="881"/>
      <c r="BB739" s="881"/>
      <c r="BC739" s="881"/>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2" customHeight="1">
      <c r="B740" s="1314"/>
      <c r="C740" s="1315"/>
      <c r="D740" s="1315"/>
      <c r="E740" s="1315"/>
      <c r="F740" s="1316"/>
      <c r="G740" s="1336"/>
      <c r="H740" s="1337"/>
      <c r="I740" s="1337"/>
      <c r="J740" s="1338"/>
      <c r="K740" s="1330"/>
      <c r="L740" s="1331"/>
      <c r="M740" s="1331"/>
      <c r="N740" s="1332"/>
      <c r="O740" s="1311"/>
      <c r="P740" s="1312"/>
      <c r="Q740" s="1312"/>
      <c r="R740" s="1312"/>
      <c r="S740" s="1313"/>
      <c r="T740" s="1311"/>
      <c r="U740" s="1312"/>
      <c r="V740" s="1312"/>
      <c r="W740" s="1313"/>
      <c r="X740" s="1512">
        <f t="shared" si="59"/>
        <v>0</v>
      </c>
      <c r="Y740" s="1513"/>
      <c r="Z740" s="1513"/>
      <c r="AA740" s="1513"/>
      <c r="AB740" s="1514"/>
      <c r="AC740" s="1308"/>
      <c r="AD740" s="1309"/>
      <c r="AE740" s="1309"/>
      <c r="AF740" s="1309"/>
      <c r="AG740" s="1310"/>
      <c r="AH740" s="1333" t="str">
        <f t="shared" si="60"/>
        <v/>
      </c>
      <c r="AI740" s="1334"/>
      <c r="AJ740" s="1335"/>
      <c r="AK740" s="1314" t="s">
        <v>299</v>
      </c>
      <c r="AL740" s="1315"/>
      <c r="AM740" s="1315"/>
      <c r="AN740" s="1315"/>
      <c r="AO740" s="1316"/>
      <c r="AP740" s="3"/>
      <c r="AQ740" s="3"/>
      <c r="AR740" s="3"/>
      <c r="AS740" s="3"/>
      <c r="AY740" s="881"/>
      <c r="AZ740" s="881"/>
      <c r="BA740" s="881"/>
      <c r="BB740" s="881"/>
      <c r="BC740" s="881"/>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2" customHeight="1">
      <c r="B741" s="1314"/>
      <c r="C741" s="1315"/>
      <c r="D741" s="1315"/>
      <c r="E741" s="1315"/>
      <c r="F741" s="1316"/>
      <c r="G741" s="1336"/>
      <c r="H741" s="1337"/>
      <c r="I741" s="1337"/>
      <c r="J741" s="1338"/>
      <c r="K741" s="1330"/>
      <c r="L741" s="1331"/>
      <c r="M741" s="1331"/>
      <c r="N741" s="1332"/>
      <c r="O741" s="1311"/>
      <c r="P741" s="1312"/>
      <c r="Q741" s="1312"/>
      <c r="R741" s="1312"/>
      <c r="S741" s="1313"/>
      <c r="T741" s="1311"/>
      <c r="U741" s="1312"/>
      <c r="V741" s="1312"/>
      <c r="W741" s="1313"/>
      <c r="X741" s="1512">
        <f t="shared" si="59"/>
        <v>0</v>
      </c>
      <c r="Y741" s="1513"/>
      <c r="Z741" s="1513"/>
      <c r="AA741" s="1513"/>
      <c r="AB741" s="1514"/>
      <c r="AC741" s="1308"/>
      <c r="AD741" s="1309"/>
      <c r="AE741" s="1309"/>
      <c r="AF741" s="1309"/>
      <c r="AG741" s="1310"/>
      <c r="AH741" s="1333" t="str">
        <f t="shared" si="60"/>
        <v/>
      </c>
      <c r="AI741" s="1334"/>
      <c r="AJ741" s="1335"/>
      <c r="AK741" s="1314" t="s">
        <v>299</v>
      </c>
      <c r="AL741" s="1315"/>
      <c r="AM741" s="1315"/>
      <c r="AN741" s="1315"/>
      <c r="AO741" s="1316"/>
      <c r="AP741" s="3"/>
      <c r="AQ741" s="3"/>
      <c r="AR741" s="3"/>
      <c r="AS741" s="3"/>
      <c r="AY741" s="881"/>
      <c r="AZ741" s="881"/>
      <c r="BA741" s="881"/>
      <c r="BB741" s="881"/>
      <c r="BC741" s="881"/>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2" customHeight="1">
      <c r="B742" s="1314"/>
      <c r="C742" s="1315"/>
      <c r="D742" s="1315"/>
      <c r="E742" s="1315"/>
      <c r="F742" s="1316"/>
      <c r="G742" s="1336"/>
      <c r="H742" s="1337"/>
      <c r="I742" s="1337"/>
      <c r="J742" s="1338"/>
      <c r="K742" s="1330"/>
      <c r="L742" s="1331"/>
      <c r="M742" s="1331"/>
      <c r="N742" s="1332"/>
      <c r="O742" s="1311"/>
      <c r="P742" s="1312"/>
      <c r="Q742" s="1312"/>
      <c r="R742" s="1312"/>
      <c r="S742" s="1313"/>
      <c r="T742" s="1311"/>
      <c r="U742" s="1312"/>
      <c r="V742" s="1312"/>
      <c r="W742" s="1313"/>
      <c r="X742" s="1512">
        <f t="shared" ref="X742:X751" si="61">O742+T742</f>
        <v>0</v>
      </c>
      <c r="Y742" s="1513"/>
      <c r="Z742" s="1513"/>
      <c r="AA742" s="1513"/>
      <c r="AB742" s="1514"/>
      <c r="AC742" s="1308"/>
      <c r="AD742" s="1309"/>
      <c r="AE742" s="1309"/>
      <c r="AF742" s="1309"/>
      <c r="AG742" s="1310"/>
      <c r="AH742" s="1333" t="str">
        <f t="shared" si="60"/>
        <v/>
      </c>
      <c r="AI742" s="1334"/>
      <c r="AJ742" s="1335"/>
      <c r="AK742" s="1314" t="s">
        <v>299</v>
      </c>
      <c r="AL742" s="1315"/>
      <c r="AM742" s="1315"/>
      <c r="AN742" s="1315"/>
      <c r="AO742" s="1316"/>
      <c r="AP742" s="3"/>
      <c r="AQ742" s="3"/>
      <c r="AR742" s="3"/>
      <c r="AS742" s="3"/>
      <c r="AY742" s="881"/>
      <c r="AZ742" s="881"/>
      <c r="BA742" s="881"/>
      <c r="BB742" s="881"/>
      <c r="BC742" s="881"/>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2" customHeight="1">
      <c r="A743"/>
      <c r="B743" s="1314"/>
      <c r="C743" s="1315"/>
      <c r="D743" s="1315"/>
      <c r="E743" s="1315"/>
      <c r="F743" s="1316"/>
      <c r="G743" s="1336"/>
      <c r="H743" s="1337"/>
      <c r="I743" s="1337"/>
      <c r="J743" s="1338"/>
      <c r="K743" s="1330"/>
      <c r="L743" s="1331"/>
      <c r="M743" s="1331"/>
      <c r="N743" s="1332"/>
      <c r="O743" s="1311"/>
      <c r="P743" s="1312"/>
      <c r="Q743" s="1312"/>
      <c r="R743" s="1312"/>
      <c r="S743" s="1313"/>
      <c r="T743" s="1311"/>
      <c r="U743" s="1312"/>
      <c r="V743" s="1312"/>
      <c r="W743" s="1313"/>
      <c r="X743" s="1512">
        <f t="shared" si="61"/>
        <v>0</v>
      </c>
      <c r="Y743" s="1513"/>
      <c r="Z743" s="1513"/>
      <c r="AA743" s="1513"/>
      <c r="AB743" s="1514"/>
      <c r="AC743" s="1308"/>
      <c r="AD743" s="1309"/>
      <c r="AE743" s="1309"/>
      <c r="AF743" s="1309"/>
      <c r="AG743" s="1310"/>
      <c r="AH743" s="1333" t="str">
        <f t="shared" si="60"/>
        <v/>
      </c>
      <c r="AI743" s="1334"/>
      <c r="AJ743" s="1335"/>
      <c r="AK743" s="1314" t="s">
        <v>299</v>
      </c>
      <c r="AL743" s="1315"/>
      <c r="AM743" s="1315"/>
      <c r="AN743" s="1315"/>
      <c r="AO743" s="1316"/>
      <c r="AT743"/>
      <c r="AU743"/>
      <c r="AV743"/>
      <c r="AW743"/>
      <c r="AX743"/>
      <c r="AY743" s="881"/>
      <c r="AZ743" s="881"/>
      <c r="BA743" s="881"/>
      <c r="BB743" s="881"/>
      <c r="BC743" s="881"/>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2" customHeight="1">
      <c r="B744" s="1314"/>
      <c r="C744" s="1315"/>
      <c r="D744" s="1315"/>
      <c r="E744" s="1315"/>
      <c r="F744" s="1316"/>
      <c r="G744" s="1336"/>
      <c r="H744" s="1337"/>
      <c r="I744" s="1337"/>
      <c r="J744" s="1338"/>
      <c r="K744" s="1330"/>
      <c r="L744" s="1331"/>
      <c r="M744" s="1331"/>
      <c r="N744" s="1332"/>
      <c r="O744" s="1311"/>
      <c r="P744" s="1312"/>
      <c r="Q744" s="1312"/>
      <c r="R744" s="1312"/>
      <c r="S744" s="1313"/>
      <c r="T744" s="1311"/>
      <c r="U744" s="1312"/>
      <c r="V744" s="1312"/>
      <c r="W744" s="1313"/>
      <c r="X744" s="1512">
        <f t="shared" si="61"/>
        <v>0</v>
      </c>
      <c r="Y744" s="1513"/>
      <c r="Z744" s="1513"/>
      <c r="AA744" s="1513"/>
      <c r="AB744" s="1514"/>
      <c r="AC744" s="1308"/>
      <c r="AD744" s="1309"/>
      <c r="AE744" s="1309"/>
      <c r="AF744" s="1309"/>
      <c r="AG744" s="1310"/>
      <c r="AH744" s="1333" t="str">
        <f t="shared" si="60"/>
        <v/>
      </c>
      <c r="AI744" s="1334"/>
      <c r="AJ744" s="1335"/>
      <c r="AK744" s="1314" t="s">
        <v>299</v>
      </c>
      <c r="AL744" s="1315"/>
      <c r="AM744" s="1315"/>
      <c r="AN744" s="1315"/>
      <c r="AO744" s="1316"/>
      <c r="AP744" s="3"/>
      <c r="AQ744" s="3"/>
      <c r="AR744" s="3"/>
      <c r="AS744" s="3"/>
      <c r="AY744" s="881"/>
      <c r="AZ744" s="881"/>
      <c r="BA744" s="881"/>
      <c r="BB744" s="881"/>
      <c r="BC744" s="881"/>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2" customHeight="1">
      <c r="B745" s="1314"/>
      <c r="C745" s="1315"/>
      <c r="D745" s="1315"/>
      <c r="E745" s="1315"/>
      <c r="F745" s="1316"/>
      <c r="G745" s="1336"/>
      <c r="H745" s="1337"/>
      <c r="I745" s="1337"/>
      <c r="J745" s="1338"/>
      <c r="K745" s="1330"/>
      <c r="L745" s="1331"/>
      <c r="M745" s="1331"/>
      <c r="N745" s="1332"/>
      <c r="O745" s="1311"/>
      <c r="P745" s="1312"/>
      <c r="Q745" s="1312"/>
      <c r="R745" s="1312"/>
      <c r="S745" s="1313"/>
      <c r="T745" s="1311"/>
      <c r="U745" s="1312"/>
      <c r="V745" s="1312"/>
      <c r="W745" s="1313"/>
      <c r="X745" s="1512">
        <f t="shared" si="61"/>
        <v>0</v>
      </c>
      <c r="Y745" s="1513"/>
      <c r="Z745" s="1513"/>
      <c r="AA745" s="1513"/>
      <c r="AB745" s="1514"/>
      <c r="AC745" s="1308"/>
      <c r="AD745" s="1309"/>
      <c r="AE745" s="1309"/>
      <c r="AF745" s="1309"/>
      <c r="AG745" s="1310"/>
      <c r="AH745" s="1333" t="str">
        <f t="shared" si="60"/>
        <v/>
      </c>
      <c r="AI745" s="1334"/>
      <c r="AJ745" s="1335"/>
      <c r="AK745" s="1314" t="s">
        <v>299</v>
      </c>
      <c r="AL745" s="1315"/>
      <c r="AM745" s="1315"/>
      <c r="AN745" s="1315"/>
      <c r="AO745" s="1316"/>
      <c r="AP745" s="3"/>
      <c r="AQ745" s="3"/>
      <c r="AR745" s="3"/>
      <c r="AS745" s="3"/>
      <c r="AY745" s="881"/>
      <c r="AZ745" s="881"/>
      <c r="BA745" s="881"/>
      <c r="BB745" s="881"/>
      <c r="BC745" s="881"/>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2" customHeight="1">
      <c r="B746" s="1314"/>
      <c r="C746" s="1315"/>
      <c r="D746" s="1315"/>
      <c r="E746" s="1315"/>
      <c r="F746" s="1316"/>
      <c r="G746" s="1336"/>
      <c r="H746" s="1337"/>
      <c r="I746" s="1337"/>
      <c r="J746" s="1338"/>
      <c r="K746" s="1330"/>
      <c r="L746" s="1331"/>
      <c r="M746" s="1331"/>
      <c r="N746" s="1332"/>
      <c r="O746" s="1311"/>
      <c r="P746" s="1312"/>
      <c r="Q746" s="1312"/>
      <c r="R746" s="1312"/>
      <c r="S746" s="1313"/>
      <c r="T746" s="1311"/>
      <c r="U746" s="1312"/>
      <c r="V746" s="1312"/>
      <c r="W746" s="1313"/>
      <c r="X746" s="1512">
        <f t="shared" si="61"/>
        <v>0</v>
      </c>
      <c r="Y746" s="1513"/>
      <c r="Z746" s="1513"/>
      <c r="AA746" s="1513"/>
      <c r="AB746" s="1514"/>
      <c r="AC746" s="1308"/>
      <c r="AD746" s="1309"/>
      <c r="AE746" s="1309"/>
      <c r="AF746" s="1309"/>
      <c r="AG746" s="1310"/>
      <c r="AH746" s="1333" t="str">
        <f t="shared" si="60"/>
        <v/>
      </c>
      <c r="AI746" s="1334"/>
      <c r="AJ746" s="1335"/>
      <c r="AK746" s="1314" t="s">
        <v>299</v>
      </c>
      <c r="AL746" s="1315"/>
      <c r="AM746" s="1315"/>
      <c r="AN746" s="1315"/>
      <c r="AO746" s="1316"/>
      <c r="AP746" s="3"/>
      <c r="AQ746" s="3"/>
      <c r="AR746" s="3"/>
      <c r="AS746" s="3"/>
      <c r="AY746" s="881"/>
      <c r="AZ746" s="881"/>
      <c r="BA746" s="881"/>
      <c r="BB746" s="881"/>
      <c r="BC746" s="881"/>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3"/>
      <c r="FE746" s="213"/>
      <c r="FF746" s="213"/>
      <c r="FG746" s="213"/>
      <c r="FH746" s="213"/>
      <c r="FI746" s="213"/>
      <c r="FJ746" s="213"/>
      <c r="FK746" s="213"/>
      <c r="FL746" s="213"/>
      <c r="FM746" s="213"/>
      <c r="FN746" s="213"/>
      <c r="FO746" s="213"/>
      <c r="FP746" s="213"/>
      <c r="FQ746" s="213"/>
      <c r="FR746" s="213"/>
      <c r="FS746" s="213"/>
      <c r="FT746" s="213"/>
      <c r="FU746" s="213"/>
      <c r="FV746" s="213"/>
      <c r="FW746" s="213"/>
      <c r="FX746" s="213"/>
      <c r="FY746" s="213"/>
      <c r="FZ746" s="213"/>
      <c r="GA746" s="213"/>
      <c r="GB746" s="213"/>
      <c r="GC746" s="213"/>
      <c r="GD746" s="213"/>
      <c r="GE746" s="213"/>
      <c r="GF746" s="213"/>
      <c r="GG746" s="213"/>
      <c r="GH746" s="213"/>
      <c r="GI746" s="213"/>
      <c r="GJ746" s="213"/>
      <c r="GK746" s="213"/>
      <c r="GL746" s="213"/>
      <c r="GM746" s="213"/>
      <c r="GN746" s="213"/>
      <c r="GO746" s="213"/>
      <c r="GP746" s="213"/>
      <c r="GQ746" s="213"/>
      <c r="GR746" s="213"/>
      <c r="GS746" s="213"/>
      <c r="GT746" s="213"/>
      <c r="GU746" s="213"/>
      <c r="GV746" s="213"/>
      <c r="GW746" s="213"/>
      <c r="GX746" s="213"/>
      <c r="GY746" s="213"/>
      <c r="GZ746" s="213"/>
      <c r="HA746" s="213"/>
      <c r="HB746" s="213"/>
      <c r="HC746" s="213"/>
      <c r="HD746" s="213"/>
      <c r="HE746" s="213"/>
      <c r="HF746" s="213"/>
      <c r="HG746" s="213"/>
      <c r="HH746" s="213"/>
      <c r="HI746" s="213"/>
      <c r="HJ746" s="213"/>
      <c r="HK746" s="213"/>
      <c r="HL746" s="213"/>
      <c r="HM746" s="213"/>
      <c r="HN746" s="213"/>
      <c r="HO746" s="213"/>
      <c r="HP746" s="213"/>
      <c r="HQ746" s="213"/>
      <c r="HR746" s="213"/>
      <c r="HS746" s="213"/>
      <c r="HT746" s="213"/>
      <c r="HU746" s="213"/>
      <c r="HV746" s="213"/>
      <c r="HW746" s="213"/>
      <c r="HX746" s="213"/>
      <c r="HY746" s="213"/>
      <c r="HZ746" s="213"/>
      <c r="IA746" s="213"/>
      <c r="IB746" s="213"/>
      <c r="IC746" s="213"/>
      <c r="ID746" s="213"/>
      <c r="IE746" s="213"/>
      <c r="IF746" s="213"/>
      <c r="IG746" s="213"/>
      <c r="IH746" s="213"/>
      <c r="II746" s="213"/>
      <c r="IJ746" s="213"/>
      <c r="IK746" s="213"/>
      <c r="IL746" s="213"/>
      <c r="IM746" s="213"/>
      <c r="IN746" s="213"/>
      <c r="IO746" s="213"/>
      <c r="IP746" s="213"/>
      <c r="IQ746" s="213"/>
      <c r="IR746" s="213"/>
      <c r="IS746" s="213"/>
      <c r="IT746" s="213"/>
      <c r="IU746" s="213"/>
      <c r="IV746" s="213"/>
      <c r="IW746" s="213"/>
      <c r="IX746" s="213"/>
      <c r="IY746" s="213"/>
      <c r="IZ746" s="213"/>
      <c r="JA746" s="213"/>
      <c r="JB746" s="213"/>
      <c r="JC746" s="213"/>
      <c r="JD746" s="213"/>
      <c r="JE746" s="213"/>
      <c r="JF746" s="213"/>
      <c r="JG746" s="213"/>
      <c r="JH746" s="213"/>
      <c r="JI746" s="213"/>
      <c r="JJ746" s="213"/>
      <c r="JK746" s="213"/>
      <c r="JL746" s="213"/>
      <c r="JM746" s="213"/>
      <c r="JN746" s="213"/>
      <c r="JO746" s="213"/>
      <c r="JP746" s="213"/>
      <c r="JQ746" s="213"/>
      <c r="JR746" s="213"/>
      <c r="JS746" s="213"/>
      <c r="JT746" s="213"/>
      <c r="JU746" s="213"/>
      <c r="JV746" s="213"/>
      <c r="JW746" s="213"/>
      <c r="JX746" s="213"/>
      <c r="JY746" s="213"/>
      <c r="JZ746" s="213"/>
      <c r="KA746" s="213"/>
      <c r="KB746" s="213"/>
      <c r="KC746" s="213"/>
      <c r="KD746" s="213"/>
      <c r="KE746" s="213"/>
      <c r="KF746" s="213"/>
      <c r="KG746" s="213"/>
      <c r="KH746" s="213"/>
      <c r="KI746" s="213"/>
      <c r="KJ746" s="213"/>
      <c r="KK746" s="213"/>
      <c r="KL746" s="213"/>
      <c r="KM746" s="213"/>
      <c r="KN746" s="213"/>
      <c r="KO746" s="213"/>
      <c r="KP746" s="213"/>
      <c r="KQ746" s="213"/>
      <c r="KR746" s="213"/>
      <c r="KS746" s="213"/>
      <c r="KT746" s="213"/>
      <c r="KU746" s="213"/>
      <c r="KV746" s="213"/>
      <c r="KW746" s="213"/>
      <c r="KX746" s="213"/>
      <c r="KY746" s="213"/>
      <c r="KZ746" s="213"/>
      <c r="LA746" s="213"/>
      <c r="LB746" s="213"/>
      <c r="LC746" s="213"/>
      <c r="LD746" s="213"/>
      <c r="LE746" s="213"/>
      <c r="LF746" s="213"/>
      <c r="LG746" s="213"/>
      <c r="LH746" s="213"/>
      <c r="LI746" s="213"/>
      <c r="LJ746" s="213"/>
      <c r="LK746" s="213"/>
      <c r="LL746" s="213"/>
      <c r="LM746" s="213"/>
      <c r="LN746" s="213"/>
      <c r="LO746" s="213"/>
      <c r="LP746" s="213"/>
      <c r="LQ746" s="213"/>
      <c r="LR746" s="213"/>
      <c r="LS746" s="213"/>
      <c r="LT746" s="213"/>
      <c r="LU746" s="213"/>
      <c r="LV746" s="213"/>
      <c r="LW746" s="213"/>
      <c r="LX746" s="213"/>
      <c r="LY746" s="213"/>
      <c r="LZ746" s="213"/>
      <c r="MA746" s="213"/>
      <c r="MB746" s="213"/>
      <c r="MC746" s="213"/>
      <c r="MD746" s="213"/>
      <c r="ME746" s="213"/>
      <c r="MF746" s="213"/>
      <c r="MG746" s="213"/>
      <c r="MH746" s="213"/>
      <c r="MI746" s="213"/>
      <c r="MJ746" s="213"/>
      <c r="MK746" s="213"/>
      <c r="ML746" s="213"/>
      <c r="MM746" s="213"/>
      <c r="MN746" s="213"/>
      <c r="MO746" s="213"/>
      <c r="MP746" s="213"/>
      <c r="MQ746" s="213"/>
      <c r="MR746" s="213"/>
      <c r="MS746" s="213"/>
      <c r="MT746" s="213"/>
      <c r="MU746" s="213"/>
      <c r="MV746" s="213"/>
      <c r="MW746" s="213"/>
      <c r="MX746" s="213"/>
      <c r="MY746" s="213"/>
      <c r="MZ746" s="213"/>
      <c r="NA746" s="213"/>
      <c r="NB746" s="213"/>
      <c r="NC746" s="213"/>
      <c r="ND746" s="213"/>
      <c r="NE746" s="213"/>
      <c r="NF746" s="213"/>
      <c r="NG746" s="213"/>
      <c r="NH746" s="213"/>
      <c r="NI746" s="213"/>
      <c r="NJ746" s="213"/>
      <c r="NK746" s="213"/>
      <c r="NL746" s="213"/>
      <c r="NM746" s="213"/>
      <c r="NN746" s="213"/>
      <c r="NO746" s="213"/>
      <c r="NP746" s="213"/>
      <c r="NQ746" s="213"/>
      <c r="NR746" s="213"/>
      <c r="NS746" s="213"/>
      <c r="NT746" s="213"/>
      <c r="NU746" s="213"/>
      <c r="NV746" s="213"/>
      <c r="NW746" s="213"/>
      <c r="NX746" s="213"/>
      <c r="NY746" s="213"/>
      <c r="NZ746" s="213"/>
      <c r="OA746" s="213"/>
      <c r="OB746" s="213"/>
      <c r="OC746" s="213"/>
      <c r="OD746" s="213"/>
      <c r="OE746" s="213"/>
      <c r="OF746" s="213"/>
      <c r="OG746" s="213"/>
      <c r="OH746" s="213"/>
      <c r="OI746" s="213"/>
      <c r="OJ746" s="213"/>
      <c r="OK746" s="213"/>
      <c r="OL746" s="213"/>
      <c r="OM746" s="213"/>
      <c r="ON746" s="213"/>
      <c r="OO746" s="213"/>
      <c r="OP746" s="213"/>
      <c r="OQ746" s="213"/>
      <c r="OR746" s="213"/>
      <c r="OS746" s="213"/>
      <c r="OT746" s="213"/>
      <c r="OU746" s="213"/>
      <c r="OV746" s="213"/>
      <c r="OW746" s="213"/>
      <c r="OX746" s="213"/>
      <c r="OY746" s="213"/>
      <c r="OZ746" s="213"/>
      <c r="PA746" s="213"/>
      <c r="PB746" s="213"/>
      <c r="PC746" s="213"/>
      <c r="PD746" s="213"/>
      <c r="PE746" s="213"/>
      <c r="PF746" s="213"/>
      <c r="PG746" s="213"/>
      <c r="PH746" s="213"/>
      <c r="PI746" s="213"/>
      <c r="PJ746" s="213"/>
      <c r="PK746" s="213"/>
      <c r="PL746" s="213"/>
      <c r="PM746" s="213"/>
      <c r="PN746" s="213"/>
      <c r="PO746" s="213"/>
      <c r="PP746" s="213"/>
      <c r="PQ746" s="213"/>
      <c r="PR746" s="213"/>
      <c r="PS746" s="213"/>
      <c r="PT746" s="213"/>
      <c r="PU746" s="213"/>
      <c r="PV746" s="213"/>
      <c r="PW746" s="213"/>
      <c r="PX746" s="213"/>
      <c r="PY746" s="213"/>
      <c r="PZ746" s="213"/>
      <c r="QA746" s="213"/>
      <c r="QB746" s="213"/>
      <c r="QC746" s="213"/>
      <c r="QD746" s="213"/>
      <c r="QE746" s="213"/>
      <c r="QF746" s="213"/>
      <c r="QG746" s="213"/>
      <c r="QH746" s="213"/>
      <c r="QI746" s="213"/>
      <c r="QJ746" s="213"/>
      <c r="QK746" s="213"/>
      <c r="QL746" s="213"/>
      <c r="QM746" s="213"/>
      <c r="QN746" s="213"/>
      <c r="QO746" s="213"/>
      <c r="QP746" s="213"/>
      <c r="QQ746" s="213"/>
      <c r="QR746" s="213"/>
      <c r="QS746" s="213"/>
      <c r="QT746" s="213"/>
      <c r="QU746" s="213"/>
      <c r="QV746" s="213"/>
      <c r="QW746" s="213"/>
      <c r="QX746" s="213"/>
      <c r="QY746" s="213"/>
      <c r="QZ746" s="213"/>
      <c r="RA746" s="213"/>
      <c r="RB746" s="213"/>
      <c r="RC746" s="213"/>
      <c r="RD746" s="213"/>
      <c r="RE746" s="213"/>
      <c r="RF746" s="213"/>
      <c r="RG746" s="213"/>
      <c r="RH746" s="213"/>
      <c r="RI746" s="213"/>
      <c r="RJ746" s="213"/>
      <c r="RK746" s="213"/>
      <c r="RL746" s="213"/>
      <c r="RM746" s="213"/>
      <c r="RN746" s="213"/>
      <c r="RO746" s="213"/>
      <c r="RP746" s="213"/>
      <c r="RQ746" s="213"/>
      <c r="RR746" s="213"/>
      <c r="RS746" s="213"/>
      <c r="RT746" s="213"/>
      <c r="RU746" s="213"/>
      <c r="RV746" s="213"/>
      <c r="RW746" s="213"/>
      <c r="RX746" s="213"/>
      <c r="RY746" s="213"/>
      <c r="RZ746" s="213"/>
      <c r="SA746" s="213"/>
      <c r="SB746" s="213"/>
      <c r="SC746" s="213"/>
      <c r="SD746" s="213"/>
      <c r="SE746" s="213"/>
      <c r="SF746" s="213"/>
      <c r="SG746" s="213"/>
      <c r="SH746" s="213"/>
      <c r="SI746" s="213"/>
      <c r="SJ746" s="213"/>
      <c r="SK746" s="213"/>
      <c r="SL746" s="213"/>
      <c r="SM746" s="213"/>
      <c r="SN746" s="213"/>
      <c r="SO746" s="213"/>
      <c r="SP746" s="213"/>
      <c r="SQ746" s="213"/>
      <c r="SR746" s="213"/>
      <c r="SS746" s="213"/>
      <c r="ST746" s="213"/>
      <c r="SU746" s="213"/>
      <c r="SV746" s="213"/>
      <c r="SW746" s="213"/>
      <c r="SX746" s="213"/>
      <c r="SY746" s="213"/>
      <c r="SZ746" s="213"/>
      <c r="TA746" s="213"/>
      <c r="TB746" s="213"/>
      <c r="TC746" s="213"/>
      <c r="TD746" s="213"/>
      <c r="TE746" s="213"/>
      <c r="TF746" s="213"/>
      <c r="TG746" s="213"/>
      <c r="TH746" s="213"/>
      <c r="TI746" s="213"/>
      <c r="TJ746" s="213"/>
      <c r="TK746" s="213"/>
      <c r="TL746" s="213"/>
      <c r="TM746" s="213"/>
      <c r="TN746" s="213"/>
      <c r="TO746" s="213"/>
      <c r="TP746" s="213"/>
      <c r="TQ746" s="213"/>
      <c r="TR746" s="213"/>
      <c r="TS746" s="213"/>
      <c r="TT746" s="213"/>
      <c r="TU746" s="213"/>
      <c r="TV746" s="213"/>
      <c r="TW746" s="213"/>
      <c r="TX746" s="213"/>
      <c r="TY746" s="213"/>
      <c r="TZ746" s="213"/>
      <c r="UA746" s="213"/>
      <c r="UB746" s="213"/>
      <c r="UC746" s="213"/>
      <c r="UD746" s="213"/>
      <c r="UE746" s="213"/>
      <c r="UF746" s="213"/>
      <c r="UG746" s="213"/>
      <c r="UH746" s="213"/>
      <c r="UI746" s="213"/>
      <c r="UJ746" s="213"/>
      <c r="UK746" s="213"/>
      <c r="UL746" s="213"/>
      <c r="UM746" s="213"/>
      <c r="UN746" s="213"/>
      <c r="UO746" s="213"/>
      <c r="UP746" s="213"/>
      <c r="UQ746" s="213"/>
      <c r="UR746" s="213"/>
      <c r="US746" s="213"/>
      <c r="UT746" s="213"/>
      <c r="UU746" s="213"/>
      <c r="UV746" s="213"/>
      <c r="UW746" s="213"/>
      <c r="UX746" s="213"/>
      <c r="UY746" s="213"/>
      <c r="UZ746" s="213"/>
      <c r="VA746" s="213"/>
      <c r="VB746" s="213"/>
      <c r="VC746" s="213"/>
      <c r="VD746" s="213"/>
      <c r="VE746" s="213"/>
      <c r="VF746" s="213"/>
      <c r="VG746" s="213"/>
      <c r="VH746" s="213"/>
      <c r="VI746" s="213"/>
      <c r="VJ746" s="213"/>
      <c r="VK746" s="213"/>
      <c r="VL746" s="213"/>
      <c r="VM746" s="213"/>
      <c r="VN746" s="213"/>
      <c r="VO746" s="213"/>
      <c r="VP746" s="213"/>
      <c r="VQ746" s="213"/>
      <c r="VR746" s="213"/>
      <c r="VS746" s="213"/>
      <c r="VT746" s="213"/>
      <c r="VU746" s="213"/>
      <c r="VV746" s="213"/>
      <c r="VW746" s="213"/>
      <c r="VX746" s="213"/>
      <c r="VY746" s="213"/>
      <c r="VZ746" s="213"/>
      <c r="WA746" s="213"/>
      <c r="WB746" s="213"/>
      <c r="WC746" s="213"/>
      <c r="WD746" s="213"/>
      <c r="WE746" s="213"/>
      <c r="WF746" s="213"/>
      <c r="WG746" s="213"/>
      <c r="WH746" s="213"/>
      <c r="WI746" s="213"/>
      <c r="WJ746" s="213"/>
      <c r="WK746" s="213"/>
      <c r="WL746" s="213"/>
      <c r="WM746" s="213"/>
      <c r="WN746" s="213"/>
      <c r="WO746" s="213"/>
      <c r="WP746" s="213"/>
      <c r="WQ746" s="213"/>
      <c r="WR746" s="213"/>
      <c r="WS746" s="213"/>
      <c r="WT746" s="213"/>
      <c r="WU746" s="213"/>
      <c r="WV746" s="213"/>
      <c r="WW746" s="213"/>
      <c r="WX746" s="213"/>
      <c r="WY746" s="213"/>
      <c r="WZ746" s="213"/>
      <c r="XA746" s="213"/>
      <c r="XB746" s="213"/>
      <c r="XC746" s="213"/>
      <c r="XD746" s="213"/>
      <c r="XE746" s="213"/>
      <c r="XF746" s="213"/>
      <c r="XG746" s="213"/>
      <c r="XH746" s="213"/>
      <c r="XI746" s="213"/>
      <c r="XJ746" s="213"/>
      <c r="XK746" s="213"/>
      <c r="XL746" s="213"/>
      <c r="XM746" s="213"/>
      <c r="XN746" s="213"/>
      <c r="XO746" s="213"/>
      <c r="XP746" s="213"/>
      <c r="XQ746" s="213"/>
      <c r="XR746" s="213"/>
      <c r="XS746" s="213"/>
      <c r="XT746" s="213"/>
      <c r="XU746" s="213"/>
      <c r="XV746" s="213"/>
      <c r="XW746" s="213"/>
      <c r="XX746" s="213"/>
      <c r="XY746" s="213"/>
      <c r="XZ746" s="213"/>
      <c r="YA746" s="213"/>
      <c r="YB746" s="213"/>
      <c r="YC746" s="213"/>
      <c r="YD746" s="213"/>
      <c r="YE746" s="213"/>
      <c r="YF746" s="213"/>
      <c r="YG746" s="213"/>
      <c r="YH746" s="213"/>
      <c r="YI746" s="213"/>
      <c r="YJ746" s="213"/>
      <c r="YK746" s="213"/>
      <c r="YL746" s="213"/>
      <c r="YM746" s="213"/>
      <c r="YN746" s="213"/>
      <c r="YO746" s="213"/>
      <c r="YP746" s="213"/>
      <c r="YQ746" s="213"/>
      <c r="YR746" s="213"/>
      <c r="YS746" s="213"/>
      <c r="YT746" s="213"/>
      <c r="YU746" s="213"/>
      <c r="YV746" s="213"/>
      <c r="YW746" s="213"/>
      <c r="YX746" s="213"/>
      <c r="YY746" s="213"/>
      <c r="YZ746" s="213"/>
      <c r="ZA746" s="213"/>
      <c r="ZB746" s="213"/>
      <c r="ZC746" s="213"/>
      <c r="ZD746" s="213"/>
      <c r="ZE746" s="213"/>
      <c r="ZF746" s="213"/>
      <c r="ZG746" s="213"/>
      <c r="ZH746" s="213"/>
      <c r="ZI746" s="213"/>
      <c r="ZJ746" s="213"/>
      <c r="ZK746" s="213"/>
      <c r="ZL746" s="213"/>
      <c r="ZM746" s="213"/>
      <c r="ZN746" s="213"/>
      <c r="ZO746" s="213"/>
      <c r="ZP746" s="213"/>
      <c r="ZQ746" s="213"/>
      <c r="ZR746" s="213"/>
      <c r="ZS746" s="213"/>
      <c r="ZT746" s="213"/>
      <c r="ZU746" s="213"/>
      <c r="ZV746" s="213"/>
      <c r="ZW746" s="213"/>
      <c r="ZX746" s="213"/>
      <c r="ZY746" s="213"/>
      <c r="ZZ746" s="213"/>
      <c r="AAA746" s="213"/>
      <c r="AAB746" s="213"/>
      <c r="AAC746" s="213"/>
      <c r="AAD746" s="213"/>
      <c r="AAE746" s="213"/>
      <c r="AAF746" s="213"/>
      <c r="AAG746" s="213"/>
      <c r="AAH746" s="213"/>
      <c r="AAI746" s="213"/>
      <c r="AAJ746" s="213"/>
      <c r="AAK746" s="213"/>
      <c r="AAL746" s="213"/>
      <c r="AAM746" s="213"/>
      <c r="AAN746" s="213"/>
      <c r="AAO746" s="213"/>
      <c r="AAP746" s="213"/>
      <c r="AAQ746" s="213"/>
      <c r="AAR746" s="213"/>
      <c r="AAS746" s="213"/>
      <c r="AAT746" s="213"/>
      <c r="AAU746" s="213"/>
      <c r="AAV746" s="213"/>
      <c r="AAW746" s="213"/>
      <c r="AAX746" s="213"/>
      <c r="AAY746" s="213"/>
      <c r="AAZ746" s="213"/>
      <c r="ABA746" s="213"/>
      <c r="ABB746" s="213"/>
      <c r="ABC746" s="213"/>
      <c r="ABD746" s="213"/>
      <c r="ABE746" s="213"/>
      <c r="ABF746" s="213"/>
      <c r="ABG746" s="213"/>
      <c r="ABH746" s="213"/>
      <c r="ABI746" s="213"/>
      <c r="ABJ746" s="213"/>
      <c r="ABK746" s="213"/>
      <c r="ABL746" s="213"/>
      <c r="ABM746" s="213"/>
      <c r="ABN746" s="213"/>
      <c r="ABO746" s="213"/>
      <c r="ABP746" s="213"/>
      <c r="ABQ746" s="213"/>
      <c r="ABR746" s="213"/>
      <c r="ABS746" s="213"/>
      <c r="ABT746" s="213"/>
      <c r="ABU746" s="213"/>
      <c r="ABV746" s="213"/>
      <c r="ABW746" s="213"/>
      <c r="ABX746" s="213"/>
      <c r="ABY746" s="213"/>
      <c r="ABZ746" s="213"/>
      <c r="ACA746" s="213"/>
      <c r="ACB746" s="213"/>
      <c r="ACC746" s="213"/>
      <c r="ACD746" s="213"/>
      <c r="ACE746" s="213"/>
      <c r="ACF746" s="213"/>
      <c r="ACG746" s="213"/>
      <c r="ACH746" s="213"/>
      <c r="ACI746" s="213"/>
      <c r="ACJ746" s="213"/>
      <c r="ACK746" s="213"/>
      <c r="ACL746" s="213"/>
      <c r="ACM746" s="213"/>
      <c r="ACN746" s="213"/>
      <c r="ACO746" s="213"/>
      <c r="ACP746" s="213"/>
      <c r="ACQ746" s="213"/>
      <c r="ACR746" s="213"/>
      <c r="ACS746" s="213"/>
      <c r="ACT746" s="213"/>
      <c r="ACU746" s="213"/>
      <c r="ACV746" s="213"/>
      <c r="ACW746" s="213"/>
      <c r="ACX746" s="213"/>
      <c r="ACY746" s="213"/>
      <c r="ACZ746" s="213"/>
      <c r="ADA746" s="213"/>
      <c r="ADB746" s="213"/>
      <c r="ADC746" s="213"/>
      <c r="ADD746" s="213"/>
      <c r="ADE746" s="213"/>
      <c r="ADF746" s="213"/>
      <c r="ADG746" s="213"/>
      <c r="ADH746" s="213"/>
      <c r="ADI746" s="213"/>
      <c r="ADJ746" s="213"/>
      <c r="ADK746" s="213"/>
      <c r="ADL746" s="213"/>
      <c r="ADM746" s="213"/>
      <c r="ADN746" s="213"/>
      <c r="ADO746" s="213"/>
      <c r="ADP746" s="213"/>
      <c r="ADQ746" s="213"/>
      <c r="ADR746" s="213"/>
      <c r="ADS746" s="213"/>
      <c r="ADT746" s="213"/>
      <c r="ADU746" s="213"/>
      <c r="ADV746" s="213"/>
      <c r="ADW746" s="213"/>
      <c r="ADX746" s="213"/>
      <c r="ADY746" s="213"/>
      <c r="ADZ746" s="213"/>
      <c r="AEA746" s="213"/>
      <c r="AEB746" s="213"/>
      <c r="AEC746" s="213"/>
      <c r="AED746" s="213"/>
      <c r="AEE746" s="213"/>
      <c r="AEF746" s="213"/>
      <c r="AEG746" s="213"/>
      <c r="AEH746" s="213"/>
      <c r="AEI746" s="213"/>
      <c r="AEJ746" s="213"/>
      <c r="AEK746" s="213"/>
      <c r="AEL746" s="213"/>
      <c r="AEM746" s="213"/>
      <c r="AEN746" s="213"/>
      <c r="AEO746" s="213"/>
      <c r="AEP746" s="213"/>
      <c r="AEQ746" s="213"/>
      <c r="AER746" s="213"/>
      <c r="AES746" s="213"/>
      <c r="AET746" s="213"/>
      <c r="AEU746" s="213"/>
      <c r="AEV746" s="213"/>
      <c r="AEW746" s="213"/>
      <c r="AEX746" s="213"/>
      <c r="AEY746" s="213"/>
      <c r="AEZ746" s="213"/>
      <c r="AFA746" s="213"/>
      <c r="AFB746" s="213"/>
      <c r="AFC746" s="213"/>
      <c r="AFD746" s="213"/>
      <c r="AFE746" s="213"/>
      <c r="AFF746" s="213"/>
      <c r="AFG746" s="213"/>
      <c r="AFH746" s="213"/>
      <c r="AFI746" s="213"/>
      <c r="AFJ746" s="213"/>
      <c r="AFK746" s="213"/>
      <c r="AFL746" s="213"/>
      <c r="AFM746" s="213"/>
      <c r="AFN746" s="213"/>
      <c r="AFO746" s="213"/>
      <c r="AFP746" s="213"/>
      <c r="AFQ746" s="213"/>
      <c r="AFR746" s="213"/>
      <c r="AFS746" s="213"/>
      <c r="AFT746" s="213"/>
      <c r="AFU746" s="213"/>
      <c r="AFV746" s="213"/>
      <c r="AFW746" s="213"/>
      <c r="AFX746" s="213"/>
      <c r="AFY746" s="213"/>
      <c r="AFZ746" s="213"/>
      <c r="AGA746" s="213"/>
      <c r="AGB746" s="213"/>
      <c r="AGC746" s="213"/>
      <c r="AGD746" s="213"/>
      <c r="AGE746" s="213"/>
      <c r="AGF746" s="213"/>
      <c r="AGG746" s="213"/>
      <c r="AGH746" s="213"/>
      <c r="AGI746" s="213"/>
      <c r="AGJ746" s="213"/>
      <c r="AGK746" s="213"/>
      <c r="AGL746" s="213"/>
      <c r="AGM746" s="213"/>
      <c r="AGN746" s="213"/>
      <c r="AGO746" s="213"/>
      <c r="AGP746" s="213"/>
      <c r="AGQ746" s="213"/>
      <c r="AGR746" s="213"/>
      <c r="AGS746" s="213"/>
      <c r="AGT746" s="213"/>
      <c r="AGU746" s="213"/>
      <c r="AGV746" s="213"/>
      <c r="AGW746" s="213"/>
      <c r="AGX746" s="213"/>
      <c r="AGY746" s="213"/>
      <c r="AGZ746" s="213"/>
      <c r="AHA746" s="213"/>
      <c r="AHB746" s="213"/>
      <c r="AHC746" s="213"/>
      <c r="AHD746" s="213"/>
      <c r="AHE746" s="213"/>
      <c r="AHF746" s="213"/>
      <c r="AHG746" s="213"/>
      <c r="AHH746" s="213"/>
      <c r="AHI746" s="213"/>
      <c r="AHJ746" s="213"/>
      <c r="AHK746" s="213"/>
      <c r="AHL746" s="213"/>
      <c r="AHM746" s="213"/>
      <c r="AHN746" s="213"/>
      <c r="AHO746" s="213"/>
      <c r="AHP746" s="213"/>
      <c r="AHQ746" s="213"/>
      <c r="AHR746" s="213"/>
      <c r="AHS746" s="213"/>
      <c r="AHT746" s="213"/>
      <c r="AHU746" s="213"/>
      <c r="AHV746" s="213"/>
      <c r="AHW746" s="213"/>
      <c r="AHX746" s="213"/>
      <c r="AHY746" s="213"/>
      <c r="AHZ746" s="213"/>
      <c r="AIA746" s="213"/>
      <c r="AIB746" s="213"/>
      <c r="AIC746" s="213"/>
      <c r="AID746" s="213"/>
      <c r="AIE746" s="213"/>
      <c r="AIF746" s="213"/>
      <c r="AIG746" s="213"/>
      <c r="AIH746" s="213"/>
      <c r="AII746" s="213"/>
      <c r="AIJ746" s="213"/>
      <c r="AIK746" s="213"/>
      <c r="AIL746" s="213"/>
      <c r="AIM746" s="213"/>
      <c r="AIN746" s="213"/>
      <c r="AIO746" s="213"/>
      <c r="AIP746" s="213"/>
      <c r="AIQ746" s="213"/>
      <c r="AIR746" s="213"/>
      <c r="AIS746" s="213"/>
      <c r="AIT746" s="213"/>
      <c r="AIU746" s="213"/>
      <c r="AIV746" s="213"/>
      <c r="AIW746" s="213"/>
      <c r="AIX746" s="213"/>
      <c r="AIY746" s="213"/>
      <c r="AIZ746" s="213"/>
      <c r="AJA746" s="213"/>
      <c r="AJB746" s="213"/>
      <c r="AJC746" s="213"/>
      <c r="AJD746" s="213"/>
      <c r="AJE746" s="213"/>
      <c r="AJF746" s="213"/>
      <c r="AJG746" s="213"/>
      <c r="AJH746" s="213"/>
      <c r="AJI746" s="213"/>
      <c r="AJJ746" s="213"/>
      <c r="AJK746" s="213"/>
      <c r="AJL746" s="213"/>
      <c r="AJM746" s="213"/>
      <c r="AJN746" s="213"/>
      <c r="AJO746" s="213"/>
      <c r="AJP746" s="213"/>
      <c r="AJQ746" s="213"/>
      <c r="AJR746" s="213"/>
      <c r="AJS746" s="213"/>
      <c r="AJT746" s="213"/>
      <c r="AJU746" s="213"/>
      <c r="AJV746" s="213"/>
      <c r="AJW746" s="213"/>
      <c r="AJX746" s="213"/>
      <c r="AJY746" s="213"/>
      <c r="AJZ746" s="213"/>
      <c r="AKA746" s="213"/>
      <c r="AKB746" s="213"/>
      <c r="AKC746" s="213"/>
      <c r="AKD746" s="213"/>
      <c r="AKE746" s="213"/>
      <c r="AKF746" s="213"/>
      <c r="AKG746" s="213"/>
      <c r="AKH746" s="213"/>
      <c r="AKI746" s="213"/>
      <c r="AKJ746" s="213"/>
      <c r="AKK746" s="213"/>
      <c r="AKL746" s="213"/>
      <c r="AKM746" s="213"/>
      <c r="AKN746" s="213"/>
      <c r="AKO746" s="213"/>
      <c r="AKP746" s="213"/>
      <c r="AKQ746" s="213"/>
      <c r="AKR746" s="213"/>
      <c r="AKS746" s="213"/>
      <c r="AKT746" s="213"/>
      <c r="AKU746" s="213"/>
      <c r="AKV746" s="213"/>
      <c r="AKW746" s="213"/>
      <c r="AKX746" s="213"/>
      <c r="AKY746" s="213"/>
      <c r="AKZ746" s="213"/>
      <c r="ALA746" s="213"/>
      <c r="ALB746" s="213"/>
      <c r="ALC746" s="213"/>
      <c r="ALD746" s="213"/>
      <c r="ALE746" s="213"/>
      <c r="ALF746" s="213"/>
      <c r="ALG746" s="213"/>
      <c r="ALH746" s="213"/>
      <c r="ALI746" s="213"/>
      <c r="ALJ746" s="213"/>
      <c r="ALK746" s="213"/>
      <c r="ALL746" s="213"/>
      <c r="ALM746" s="213"/>
      <c r="ALN746" s="213"/>
      <c r="ALO746" s="213"/>
      <c r="ALP746" s="213"/>
      <c r="ALQ746" s="213"/>
      <c r="ALR746" s="213"/>
      <c r="ALS746" s="213"/>
      <c r="ALT746" s="213"/>
      <c r="ALU746" s="213"/>
      <c r="ALV746" s="213"/>
      <c r="ALW746" s="213"/>
      <c r="ALX746" s="213"/>
      <c r="ALY746" s="213"/>
      <c r="ALZ746" s="213"/>
      <c r="AMA746" s="213"/>
      <c r="AMB746" s="213"/>
      <c r="AMC746" s="213"/>
      <c r="AMD746" s="213"/>
      <c r="AME746" s="213"/>
      <c r="AMF746" s="213"/>
      <c r="AMG746" s="213"/>
      <c r="AMH746" s="213"/>
      <c r="AMI746" s="213"/>
      <c r="AMJ746" s="213"/>
      <c r="AMK746" s="213"/>
      <c r="AML746" s="213"/>
      <c r="AMM746" s="213"/>
      <c r="AMN746" s="213"/>
      <c r="AMO746" s="213"/>
      <c r="AMP746" s="213"/>
      <c r="AMQ746" s="213"/>
      <c r="AMR746" s="213"/>
      <c r="AMS746" s="213"/>
      <c r="AMT746" s="213"/>
      <c r="AMU746" s="213"/>
      <c r="AMV746" s="213"/>
      <c r="AMW746" s="213"/>
      <c r="AMX746" s="213"/>
      <c r="AMY746" s="213"/>
      <c r="AMZ746" s="213"/>
      <c r="ANA746" s="213"/>
      <c r="ANB746" s="213"/>
      <c r="ANC746" s="213"/>
      <c r="AND746" s="213"/>
      <c r="ANE746" s="213"/>
      <c r="ANF746" s="213"/>
      <c r="ANG746" s="213"/>
      <c r="ANH746" s="213"/>
      <c r="ANI746" s="213"/>
      <c r="ANJ746" s="213"/>
      <c r="ANK746" s="213"/>
      <c r="ANL746" s="213"/>
      <c r="ANM746" s="213"/>
      <c r="ANN746" s="213"/>
      <c r="ANO746" s="213"/>
      <c r="ANP746" s="213"/>
      <c r="ANQ746" s="213"/>
      <c r="ANR746" s="213"/>
      <c r="ANS746" s="213"/>
      <c r="ANT746" s="213"/>
      <c r="ANU746" s="213"/>
      <c r="ANV746" s="213"/>
      <c r="ANW746" s="213"/>
      <c r="ANX746" s="213"/>
      <c r="ANY746" s="213"/>
      <c r="ANZ746" s="213"/>
      <c r="AOA746" s="213"/>
      <c r="AOB746" s="213"/>
      <c r="AOC746" s="213"/>
      <c r="AOD746" s="213"/>
      <c r="AOE746" s="213"/>
      <c r="AOF746" s="213"/>
      <c r="AOG746" s="213"/>
      <c r="AOH746" s="213"/>
      <c r="AOI746" s="213"/>
      <c r="AOJ746" s="213"/>
      <c r="AOK746" s="213"/>
      <c r="AOL746" s="213"/>
      <c r="AOM746" s="213"/>
      <c r="AON746" s="213"/>
      <c r="AOO746" s="213"/>
      <c r="AOP746" s="213"/>
      <c r="AOQ746" s="213"/>
      <c r="AOR746" s="213"/>
      <c r="AOS746" s="213"/>
      <c r="AOT746" s="213"/>
      <c r="AOU746" s="213"/>
      <c r="AOV746" s="213"/>
      <c r="AOW746" s="213"/>
      <c r="AOX746" s="213"/>
      <c r="AOY746" s="213"/>
      <c r="AOZ746" s="213"/>
      <c r="APA746" s="213"/>
      <c r="APB746" s="213"/>
      <c r="APC746" s="213"/>
      <c r="APD746" s="213"/>
      <c r="APE746" s="213"/>
      <c r="APF746" s="213"/>
      <c r="APG746" s="213"/>
      <c r="APH746" s="213"/>
      <c r="API746" s="213"/>
      <c r="APJ746" s="213"/>
      <c r="APK746" s="213"/>
      <c r="APL746" s="213"/>
      <c r="APM746" s="213"/>
      <c r="APN746" s="213"/>
      <c r="APO746" s="213"/>
      <c r="APP746" s="213"/>
      <c r="APQ746" s="213"/>
      <c r="APR746" s="213"/>
      <c r="APS746" s="213"/>
      <c r="APT746" s="213"/>
      <c r="APU746" s="213"/>
      <c r="APV746" s="213"/>
      <c r="APW746" s="213"/>
      <c r="APX746" s="213"/>
      <c r="APY746" s="213"/>
      <c r="APZ746" s="213"/>
      <c r="AQA746" s="213"/>
      <c r="AQB746" s="213"/>
      <c r="AQC746" s="213"/>
      <c r="AQD746" s="213"/>
      <c r="AQE746" s="213"/>
      <c r="AQF746" s="213"/>
      <c r="AQG746" s="213"/>
      <c r="AQH746" s="213"/>
      <c r="AQI746" s="213"/>
      <c r="AQJ746" s="213"/>
      <c r="AQK746" s="213"/>
      <c r="AQL746" s="213"/>
      <c r="AQM746" s="213"/>
      <c r="AQN746" s="213"/>
      <c r="AQO746" s="213"/>
      <c r="AQP746" s="213"/>
      <c r="AQQ746" s="213"/>
      <c r="AQR746" s="213"/>
      <c r="AQS746" s="213"/>
      <c r="AQT746" s="213"/>
      <c r="AQU746" s="213"/>
      <c r="AQV746" s="213"/>
      <c r="AQW746" s="213"/>
      <c r="AQX746" s="213"/>
      <c r="AQY746" s="213"/>
      <c r="AQZ746" s="213"/>
      <c r="ARA746" s="213"/>
      <c r="ARB746" s="213"/>
      <c r="ARC746" s="213"/>
      <c r="ARD746" s="213"/>
      <c r="ARE746" s="213"/>
      <c r="ARF746" s="213"/>
      <c r="ARG746" s="213"/>
      <c r="ARH746" s="213"/>
      <c r="ARI746" s="213"/>
      <c r="ARJ746" s="213"/>
      <c r="ARK746" s="213"/>
      <c r="ARL746" s="213"/>
      <c r="ARM746" s="213"/>
      <c r="ARN746" s="213"/>
      <c r="ARO746" s="213"/>
      <c r="ARP746" s="213"/>
      <c r="ARQ746" s="213"/>
      <c r="ARR746" s="213"/>
      <c r="ARS746" s="213"/>
      <c r="ART746" s="213"/>
      <c r="ARU746" s="213"/>
      <c r="ARV746" s="213"/>
      <c r="ARW746" s="213"/>
      <c r="ARX746" s="213"/>
      <c r="ARY746" s="213"/>
      <c r="ARZ746" s="213"/>
      <c r="ASA746" s="213"/>
      <c r="ASB746" s="213"/>
      <c r="ASC746" s="213"/>
      <c r="ASD746" s="213"/>
      <c r="ASE746" s="213"/>
      <c r="ASF746" s="213"/>
      <c r="ASG746" s="213"/>
      <c r="ASH746" s="213"/>
      <c r="ASI746" s="213"/>
      <c r="ASJ746" s="213"/>
      <c r="ASK746" s="213"/>
      <c r="ASL746" s="213"/>
      <c r="ASM746" s="213"/>
      <c r="ASN746" s="213"/>
      <c r="ASO746" s="213"/>
      <c r="ASP746" s="213"/>
      <c r="ASQ746" s="213"/>
      <c r="ASR746" s="213"/>
      <c r="ASS746" s="213"/>
      <c r="AST746" s="213"/>
      <c r="ASU746" s="213"/>
      <c r="ASV746" s="213"/>
      <c r="ASW746" s="213"/>
      <c r="ASX746" s="213"/>
      <c r="ASY746" s="213"/>
      <c r="ASZ746" s="213"/>
      <c r="ATA746" s="213"/>
      <c r="ATB746" s="213"/>
      <c r="ATC746" s="213"/>
      <c r="ATD746" s="213"/>
      <c r="ATE746" s="213"/>
      <c r="ATF746" s="213"/>
      <c r="ATG746" s="213"/>
      <c r="ATH746" s="213"/>
      <c r="ATI746" s="213"/>
      <c r="ATJ746" s="213"/>
      <c r="ATK746" s="213"/>
      <c r="ATL746" s="213"/>
      <c r="ATM746" s="213"/>
      <c r="ATN746" s="213"/>
      <c r="ATO746" s="213"/>
      <c r="ATP746" s="213"/>
      <c r="ATQ746" s="213"/>
      <c r="ATR746" s="213"/>
      <c r="ATS746" s="213"/>
      <c r="ATT746" s="213"/>
      <c r="ATU746" s="213"/>
      <c r="ATV746" s="213"/>
      <c r="ATW746" s="213"/>
      <c r="ATX746" s="213"/>
      <c r="ATY746" s="213"/>
      <c r="ATZ746" s="213"/>
      <c r="AUA746" s="213"/>
      <c r="AUB746" s="213"/>
      <c r="AUC746" s="213"/>
      <c r="AUD746" s="213"/>
      <c r="AUE746" s="213"/>
      <c r="AUF746" s="213"/>
      <c r="AUG746" s="213"/>
      <c r="AUH746" s="213"/>
      <c r="AUI746" s="213"/>
      <c r="AUJ746" s="213"/>
      <c r="AUK746" s="213"/>
      <c r="AUL746" s="213"/>
      <c r="AUM746" s="213"/>
      <c r="AUN746" s="213"/>
      <c r="AUO746" s="213"/>
      <c r="AUP746" s="213"/>
      <c r="AUQ746" s="213"/>
      <c r="AUR746" s="213"/>
      <c r="AUS746" s="213"/>
      <c r="AUT746" s="213"/>
      <c r="AUU746" s="213"/>
      <c r="AUV746" s="213"/>
      <c r="AUW746" s="213"/>
      <c r="AUX746" s="213"/>
      <c r="AUY746" s="213"/>
      <c r="AUZ746" s="213"/>
      <c r="AVA746" s="213"/>
      <c r="AVB746" s="213"/>
      <c r="AVC746" s="213"/>
      <c r="AVD746" s="213"/>
      <c r="AVE746" s="213"/>
      <c r="AVF746" s="213"/>
      <c r="AVG746" s="213"/>
      <c r="AVH746" s="213"/>
      <c r="AVI746" s="213"/>
      <c r="AVJ746" s="213"/>
      <c r="AVK746" s="213"/>
      <c r="AVL746" s="213"/>
      <c r="AVM746" s="213"/>
      <c r="AVN746" s="213"/>
      <c r="AVO746" s="213"/>
      <c r="AVP746" s="213"/>
      <c r="AVQ746" s="213"/>
      <c r="AVR746" s="213"/>
      <c r="AVS746" s="213"/>
      <c r="AVT746" s="213"/>
      <c r="AVU746" s="213"/>
      <c r="AVV746" s="213"/>
      <c r="AVW746" s="213"/>
      <c r="AVX746" s="213"/>
      <c r="AVY746" s="213"/>
      <c r="AVZ746" s="213"/>
      <c r="AWA746" s="213"/>
      <c r="AWB746" s="213"/>
      <c r="AWC746" s="213"/>
      <c r="AWD746" s="213"/>
      <c r="AWE746" s="213"/>
      <c r="AWF746" s="213"/>
      <c r="AWG746" s="213"/>
      <c r="AWH746" s="213"/>
      <c r="AWI746" s="213"/>
      <c r="AWJ746" s="213"/>
      <c r="AWK746" s="213"/>
      <c r="AWL746" s="213"/>
      <c r="AWM746" s="213"/>
      <c r="AWN746" s="213"/>
      <c r="AWO746" s="213"/>
      <c r="AWP746" s="213"/>
      <c r="AWQ746" s="213"/>
      <c r="AWR746" s="213"/>
      <c r="AWS746" s="213"/>
      <c r="AWT746" s="213"/>
      <c r="AWU746" s="213"/>
      <c r="AWV746" s="213"/>
      <c r="AWW746" s="213"/>
      <c r="AWX746" s="213"/>
      <c r="AWY746" s="213"/>
      <c r="AWZ746" s="213"/>
      <c r="AXA746" s="213"/>
      <c r="AXB746" s="213"/>
      <c r="AXC746" s="213"/>
      <c r="AXD746" s="213"/>
      <c r="AXE746" s="213"/>
      <c r="AXF746" s="213"/>
      <c r="AXG746" s="213"/>
      <c r="AXH746" s="213"/>
      <c r="AXI746" s="213"/>
      <c r="AXJ746" s="213"/>
      <c r="AXK746" s="213"/>
      <c r="AXL746" s="213"/>
      <c r="AXM746" s="213"/>
      <c r="AXN746" s="213"/>
      <c r="AXO746" s="213"/>
      <c r="AXP746" s="213"/>
      <c r="AXQ746" s="213"/>
      <c r="AXR746" s="213"/>
      <c r="AXS746" s="213"/>
      <c r="AXT746" s="213"/>
      <c r="AXU746" s="213"/>
      <c r="AXV746" s="213"/>
      <c r="AXW746" s="213"/>
      <c r="AXX746" s="213"/>
      <c r="AXY746" s="213"/>
      <c r="AXZ746" s="213"/>
      <c r="AYA746" s="213"/>
      <c r="AYB746" s="213"/>
      <c r="AYC746" s="213"/>
      <c r="AYD746" s="213"/>
      <c r="AYE746" s="213"/>
      <c r="AYF746" s="213"/>
      <c r="AYG746" s="213"/>
      <c r="AYH746" s="213"/>
      <c r="AYI746" s="213"/>
      <c r="AYJ746" s="213"/>
      <c r="AYK746" s="213"/>
      <c r="AYL746" s="213"/>
      <c r="AYM746" s="213"/>
      <c r="AYN746" s="213"/>
      <c r="AYO746" s="213"/>
      <c r="AYP746" s="213"/>
      <c r="AYQ746" s="213"/>
      <c r="AYR746" s="213"/>
      <c r="AYS746" s="213"/>
      <c r="AYT746" s="213"/>
      <c r="AYU746" s="213"/>
      <c r="AYV746" s="213"/>
      <c r="AYW746" s="213"/>
      <c r="AYX746" s="213"/>
      <c r="AYY746" s="213"/>
      <c r="AYZ746" s="213"/>
      <c r="AZA746" s="213"/>
      <c r="AZB746" s="213"/>
      <c r="AZC746" s="213"/>
      <c r="AZD746" s="213"/>
      <c r="AZE746" s="213"/>
      <c r="AZF746" s="213"/>
      <c r="AZG746" s="213"/>
      <c r="AZH746" s="213"/>
      <c r="AZI746" s="213"/>
      <c r="AZJ746" s="213"/>
      <c r="AZK746" s="213"/>
      <c r="AZL746" s="213"/>
      <c r="AZM746" s="213"/>
      <c r="AZN746" s="213"/>
      <c r="AZO746" s="213"/>
      <c r="AZP746" s="213"/>
      <c r="AZQ746" s="213"/>
      <c r="AZR746" s="213"/>
      <c r="AZS746" s="213"/>
      <c r="AZT746" s="213"/>
      <c r="AZU746" s="213"/>
      <c r="AZV746" s="213"/>
      <c r="AZW746" s="213"/>
      <c r="AZX746" s="213"/>
      <c r="AZY746" s="213"/>
      <c r="AZZ746" s="213"/>
      <c r="BAA746" s="213"/>
      <c r="BAB746" s="213"/>
      <c r="BAC746" s="213"/>
      <c r="BAD746" s="213"/>
      <c r="BAE746" s="213"/>
      <c r="BAF746" s="213"/>
      <c r="BAG746" s="213"/>
      <c r="BAH746" s="213"/>
      <c r="BAI746" s="213"/>
      <c r="BAJ746" s="213"/>
      <c r="BAK746" s="213"/>
      <c r="BAL746" s="213"/>
      <c r="BAM746" s="213"/>
      <c r="BAN746" s="213"/>
      <c r="BAO746" s="213"/>
      <c r="BAP746" s="213"/>
      <c r="BAQ746" s="213"/>
      <c r="BAR746" s="213"/>
      <c r="BAS746" s="213"/>
      <c r="BAT746" s="213"/>
      <c r="BAU746" s="213"/>
      <c r="BAV746" s="213"/>
      <c r="BAW746" s="213"/>
      <c r="BAX746" s="213"/>
      <c r="BAY746" s="213"/>
      <c r="BAZ746" s="213"/>
      <c r="BBA746" s="213"/>
      <c r="BBB746" s="213"/>
      <c r="BBC746" s="213"/>
      <c r="BBD746" s="213"/>
      <c r="BBE746" s="213"/>
      <c r="BBF746" s="213"/>
      <c r="BBG746" s="213"/>
      <c r="BBH746" s="213"/>
      <c r="BBI746" s="213"/>
      <c r="BBJ746" s="213"/>
      <c r="BBK746" s="213"/>
      <c r="BBL746" s="213"/>
      <c r="BBM746" s="213"/>
      <c r="BBN746" s="213"/>
      <c r="BBO746" s="213"/>
      <c r="BBP746" s="213"/>
      <c r="BBQ746" s="213"/>
      <c r="BBR746" s="213"/>
      <c r="BBS746" s="213"/>
      <c r="BBT746" s="213"/>
      <c r="BBU746" s="213"/>
      <c r="BBV746" s="213"/>
      <c r="BBW746" s="213"/>
      <c r="BBX746" s="213"/>
      <c r="BBY746" s="213"/>
      <c r="BBZ746" s="213"/>
      <c r="BCA746" s="213"/>
      <c r="BCB746" s="213"/>
      <c r="BCC746" s="213"/>
      <c r="BCD746" s="213"/>
      <c r="BCE746" s="213"/>
      <c r="BCF746" s="213"/>
      <c r="BCG746" s="213"/>
      <c r="BCH746" s="213"/>
      <c r="BCI746" s="213"/>
      <c r="BCJ746" s="213"/>
      <c r="BCK746" s="213"/>
      <c r="BCL746" s="213"/>
      <c r="BCM746" s="213"/>
      <c r="BCN746" s="213"/>
      <c r="BCO746" s="213"/>
      <c r="BCP746" s="213"/>
      <c r="BCQ746" s="213"/>
      <c r="BCR746" s="213"/>
      <c r="BCS746" s="213"/>
      <c r="BCT746" s="213"/>
      <c r="BCU746" s="213"/>
      <c r="BCV746" s="213"/>
      <c r="BCW746" s="213"/>
      <c r="BCX746" s="213"/>
      <c r="BCY746" s="213"/>
      <c r="BCZ746" s="213"/>
      <c r="BDA746" s="213"/>
      <c r="BDB746" s="213"/>
      <c r="BDC746" s="213"/>
      <c r="BDD746" s="213"/>
      <c r="BDE746" s="213"/>
      <c r="BDF746" s="213"/>
      <c r="BDG746" s="213"/>
      <c r="BDH746" s="213"/>
      <c r="BDI746" s="213"/>
      <c r="BDJ746" s="213"/>
      <c r="BDK746" s="213"/>
      <c r="BDL746" s="213"/>
      <c r="BDM746" s="213"/>
      <c r="BDN746" s="213"/>
      <c r="BDO746" s="213"/>
      <c r="BDP746" s="213"/>
      <c r="BDQ746" s="213"/>
      <c r="BDR746" s="213"/>
      <c r="BDS746" s="213"/>
      <c r="BDT746" s="213"/>
      <c r="BDU746" s="213"/>
      <c r="BDV746" s="213"/>
      <c r="BDW746" s="213"/>
      <c r="BDX746" s="213"/>
      <c r="BDY746" s="213"/>
      <c r="BDZ746" s="213"/>
      <c r="BEA746" s="213"/>
      <c r="BEB746" s="213"/>
      <c r="BEC746" s="213"/>
      <c r="BED746" s="213"/>
      <c r="BEE746" s="213"/>
      <c r="BEF746" s="213"/>
      <c r="BEG746" s="213"/>
      <c r="BEH746" s="213"/>
      <c r="BEI746" s="213"/>
      <c r="BEJ746" s="213"/>
      <c r="BEK746" s="213"/>
      <c r="BEL746" s="213"/>
      <c r="BEM746" s="213"/>
      <c r="BEN746" s="213"/>
      <c r="BEO746" s="213"/>
      <c r="BEP746" s="213"/>
      <c r="BEQ746" s="213"/>
      <c r="BER746" s="213"/>
      <c r="BES746" s="213"/>
      <c r="BET746" s="213"/>
      <c r="BEU746" s="213"/>
      <c r="BEV746" s="213"/>
      <c r="BEW746" s="213"/>
      <c r="BEX746" s="213"/>
      <c r="BEY746" s="213"/>
      <c r="BEZ746" s="213"/>
      <c r="BFA746" s="213"/>
      <c r="BFB746" s="213"/>
      <c r="BFC746" s="213"/>
      <c r="BFD746" s="213"/>
      <c r="BFE746" s="213"/>
      <c r="BFF746" s="213"/>
      <c r="BFG746" s="213"/>
      <c r="BFH746" s="213"/>
      <c r="BFI746" s="213"/>
      <c r="BFJ746" s="213"/>
      <c r="BFK746" s="213"/>
      <c r="BFL746" s="213"/>
      <c r="BFM746" s="213"/>
      <c r="BFN746" s="213"/>
      <c r="BFO746" s="213"/>
      <c r="BFP746" s="213"/>
      <c r="BFQ746" s="213"/>
      <c r="BFR746" s="213"/>
      <c r="BFS746" s="213"/>
      <c r="BFT746" s="213"/>
      <c r="BFU746" s="213"/>
      <c r="BFV746" s="213"/>
      <c r="BFW746" s="213"/>
      <c r="BFX746" s="213"/>
      <c r="BFY746" s="213"/>
      <c r="BFZ746" s="213"/>
      <c r="BGA746" s="213"/>
      <c r="BGB746" s="213"/>
      <c r="BGC746" s="213"/>
      <c r="BGD746" s="213"/>
      <c r="BGE746" s="213"/>
      <c r="BGF746" s="213"/>
      <c r="BGG746" s="213"/>
      <c r="BGH746" s="213"/>
      <c r="BGI746" s="213"/>
      <c r="BGJ746" s="213"/>
      <c r="BGK746" s="213"/>
      <c r="BGL746" s="213"/>
      <c r="BGM746" s="213"/>
      <c r="BGN746" s="213"/>
      <c r="BGO746" s="213"/>
      <c r="BGP746" s="213"/>
      <c r="BGQ746" s="213"/>
      <c r="BGR746" s="213"/>
      <c r="BGS746" s="213"/>
      <c r="BGT746" s="213"/>
      <c r="BGU746" s="213"/>
      <c r="BGV746" s="213"/>
      <c r="BGW746" s="213"/>
      <c r="BGX746" s="213"/>
      <c r="BGY746" s="213"/>
      <c r="BGZ746" s="213"/>
      <c r="BHA746" s="213"/>
      <c r="BHB746" s="213"/>
      <c r="BHC746" s="213"/>
      <c r="BHD746" s="213"/>
      <c r="BHE746" s="213"/>
      <c r="BHF746" s="213"/>
      <c r="BHG746" s="213"/>
      <c r="BHH746" s="213"/>
      <c r="BHI746" s="213"/>
      <c r="BHJ746" s="213"/>
      <c r="BHK746" s="213"/>
      <c r="BHL746" s="213"/>
      <c r="BHM746" s="213"/>
      <c r="BHN746" s="213"/>
      <c r="BHO746" s="213"/>
      <c r="BHP746" s="213"/>
      <c r="BHQ746" s="213"/>
      <c r="BHR746" s="213"/>
      <c r="BHS746" s="213"/>
      <c r="BHT746" s="213"/>
      <c r="BHU746" s="213"/>
      <c r="BHV746" s="213"/>
      <c r="BHW746" s="213"/>
      <c r="BHX746" s="213"/>
      <c r="BHY746" s="213"/>
      <c r="BHZ746" s="213"/>
      <c r="BIA746" s="213"/>
      <c r="BIB746" s="213"/>
      <c r="BIC746" s="213"/>
      <c r="BID746" s="213"/>
      <c r="BIE746" s="213"/>
      <c r="BIF746" s="213"/>
      <c r="BIG746" s="213"/>
      <c r="BIH746" s="213"/>
      <c r="BII746" s="213"/>
      <c r="BIJ746" s="213"/>
      <c r="BIK746" s="213"/>
      <c r="BIL746" s="213"/>
      <c r="BIM746" s="213"/>
      <c r="BIN746" s="213"/>
      <c r="BIO746" s="213"/>
      <c r="BIP746" s="213"/>
      <c r="BIQ746" s="213"/>
      <c r="BIR746" s="213"/>
      <c r="BIS746" s="213"/>
      <c r="BIT746" s="213"/>
      <c r="BIU746" s="213"/>
      <c r="BIV746" s="213"/>
      <c r="BIW746" s="213"/>
      <c r="BIX746" s="213"/>
      <c r="BIY746" s="213"/>
      <c r="BIZ746" s="213"/>
      <c r="BJA746" s="213"/>
      <c r="BJB746" s="213"/>
      <c r="BJC746" s="213"/>
      <c r="BJD746" s="213"/>
      <c r="BJE746" s="213"/>
      <c r="BJF746" s="213"/>
      <c r="BJG746" s="213"/>
      <c r="BJH746" s="213"/>
      <c r="BJI746" s="213"/>
      <c r="BJJ746" s="213"/>
      <c r="BJK746" s="213"/>
      <c r="BJL746" s="213"/>
      <c r="BJM746" s="213"/>
      <c r="BJN746" s="213"/>
      <c r="BJO746" s="213"/>
      <c r="BJP746" s="213"/>
      <c r="BJQ746" s="213"/>
      <c r="BJR746" s="213"/>
      <c r="BJS746" s="213"/>
      <c r="BJT746" s="213"/>
      <c r="BJU746" s="213"/>
      <c r="BJV746" s="213"/>
      <c r="BJW746" s="213"/>
      <c r="BJX746" s="213"/>
      <c r="BJY746" s="213"/>
      <c r="BJZ746" s="213"/>
      <c r="BKA746" s="213"/>
      <c r="BKB746" s="213"/>
      <c r="BKC746" s="213"/>
      <c r="BKD746" s="213"/>
      <c r="BKE746" s="213"/>
      <c r="BKF746" s="213"/>
      <c r="BKG746" s="213"/>
      <c r="BKH746" s="213"/>
      <c r="BKI746" s="213"/>
      <c r="BKJ746" s="213"/>
      <c r="BKK746" s="213"/>
      <c r="BKL746" s="213"/>
      <c r="BKM746" s="213"/>
      <c r="BKN746" s="213"/>
      <c r="BKO746" s="213"/>
      <c r="BKP746" s="213"/>
      <c r="BKQ746" s="213"/>
      <c r="BKR746" s="213"/>
      <c r="BKS746" s="213"/>
      <c r="BKT746" s="213"/>
      <c r="BKU746" s="213"/>
      <c r="BKV746" s="213"/>
      <c r="BKW746" s="213"/>
      <c r="BKX746" s="213"/>
      <c r="BKY746" s="213"/>
      <c r="BKZ746" s="213"/>
      <c r="BLA746" s="213"/>
      <c r="BLB746" s="213"/>
      <c r="BLC746" s="213"/>
      <c r="BLD746" s="213"/>
      <c r="BLE746" s="213"/>
      <c r="BLF746" s="213"/>
      <c r="BLG746" s="213"/>
      <c r="BLH746" s="213"/>
      <c r="BLI746" s="213"/>
      <c r="BLJ746" s="213"/>
      <c r="BLK746" s="213"/>
      <c r="BLL746" s="213"/>
      <c r="BLM746" s="213"/>
      <c r="BLN746" s="213"/>
      <c r="BLO746" s="213"/>
      <c r="BLP746" s="213"/>
      <c r="BLQ746" s="213"/>
      <c r="BLR746" s="213"/>
      <c r="BLS746" s="213"/>
      <c r="BLT746" s="213"/>
      <c r="BLU746" s="213"/>
      <c r="BLV746" s="213"/>
      <c r="BLW746" s="213"/>
      <c r="BLX746" s="213"/>
      <c r="BLY746" s="213"/>
      <c r="BLZ746" s="213"/>
      <c r="BMA746" s="213"/>
      <c r="BMB746" s="213"/>
      <c r="BMC746" s="213"/>
      <c r="BMD746" s="213"/>
      <c r="BME746" s="213"/>
      <c r="BMF746" s="213"/>
      <c r="BMG746" s="213"/>
      <c r="BMH746" s="213"/>
      <c r="BMI746" s="213"/>
      <c r="BMJ746" s="213"/>
      <c r="BMK746" s="213"/>
      <c r="BML746" s="213"/>
      <c r="BMM746" s="213"/>
      <c r="BMN746" s="213"/>
      <c r="BMO746" s="213"/>
      <c r="BMP746" s="213"/>
      <c r="BMQ746" s="213"/>
      <c r="BMR746" s="213"/>
      <c r="BMS746" s="213"/>
      <c r="BMT746" s="213"/>
      <c r="BMU746" s="213"/>
      <c r="BMV746" s="213"/>
      <c r="BMW746" s="213"/>
      <c r="BMX746" s="213"/>
      <c r="BMY746" s="213"/>
      <c r="BMZ746" s="213"/>
      <c r="BNA746" s="213"/>
      <c r="BNB746" s="213"/>
      <c r="BNC746" s="213"/>
      <c r="BND746" s="213"/>
      <c r="BNE746" s="213"/>
      <c r="BNF746" s="213"/>
      <c r="BNG746" s="213"/>
      <c r="BNH746" s="213"/>
      <c r="BNI746" s="213"/>
      <c r="BNJ746" s="213"/>
      <c r="BNK746" s="213"/>
      <c r="BNL746" s="213"/>
      <c r="BNM746" s="213"/>
      <c r="BNN746" s="213"/>
      <c r="BNO746" s="213"/>
      <c r="BNP746" s="213"/>
      <c r="BNQ746" s="213"/>
      <c r="BNR746" s="213"/>
      <c r="BNS746" s="213"/>
      <c r="BNT746" s="213"/>
      <c r="BNU746" s="213"/>
      <c r="BNV746" s="213"/>
      <c r="BNW746" s="213"/>
      <c r="BNX746" s="213"/>
      <c r="BNY746" s="213"/>
      <c r="BNZ746" s="213"/>
      <c r="BOA746" s="213"/>
      <c r="BOB746" s="213"/>
      <c r="BOC746" s="213"/>
      <c r="BOD746" s="213"/>
      <c r="BOE746" s="213"/>
      <c r="BOF746" s="213"/>
      <c r="BOG746" s="213"/>
      <c r="BOH746" s="213"/>
      <c r="BOI746" s="213"/>
      <c r="BOJ746" s="213"/>
      <c r="BOK746" s="213"/>
      <c r="BOL746" s="213"/>
      <c r="BOM746" s="213"/>
      <c r="BON746" s="213"/>
      <c r="BOO746" s="213"/>
      <c r="BOP746" s="213"/>
      <c r="BOQ746" s="213"/>
      <c r="BOR746" s="213"/>
      <c r="BOS746" s="213"/>
      <c r="BOT746" s="213"/>
      <c r="BOU746" s="213"/>
      <c r="BOV746" s="213"/>
      <c r="BOW746" s="213"/>
      <c r="BOX746" s="213"/>
      <c r="BOY746" s="213"/>
      <c r="BOZ746" s="213"/>
      <c r="BPA746" s="213"/>
      <c r="BPB746" s="213"/>
      <c r="BPC746" s="213"/>
      <c r="BPD746" s="213"/>
      <c r="BPE746" s="213"/>
      <c r="BPF746" s="213"/>
      <c r="BPG746" s="213"/>
      <c r="BPH746" s="213"/>
      <c r="BPI746" s="213"/>
      <c r="BPJ746" s="213"/>
      <c r="BPK746" s="213"/>
      <c r="BPL746" s="213"/>
      <c r="BPM746" s="213"/>
      <c r="BPN746" s="213"/>
      <c r="BPO746" s="213"/>
      <c r="BPP746" s="213"/>
      <c r="BPQ746" s="213"/>
      <c r="BPR746" s="213"/>
      <c r="BPS746" s="213"/>
      <c r="BPT746" s="213"/>
      <c r="BPU746" s="213"/>
      <c r="BPV746" s="213"/>
      <c r="BPW746" s="213"/>
      <c r="BPX746" s="213"/>
      <c r="BPY746" s="213"/>
      <c r="BPZ746" s="213"/>
      <c r="BQA746" s="213"/>
      <c r="BQB746" s="213"/>
      <c r="BQC746" s="213"/>
      <c r="BQD746" s="213"/>
      <c r="BQE746" s="213"/>
      <c r="BQF746" s="213"/>
      <c r="BQG746" s="213"/>
      <c r="BQH746" s="213"/>
      <c r="BQI746" s="213"/>
      <c r="BQJ746" s="213"/>
      <c r="BQK746" s="213"/>
      <c r="BQL746" s="213"/>
      <c r="BQM746" s="213"/>
      <c r="BQN746" s="213"/>
      <c r="BQO746" s="213"/>
      <c r="BQP746" s="213"/>
      <c r="BQQ746" s="213"/>
      <c r="BQR746" s="213"/>
      <c r="BQS746" s="213"/>
      <c r="BQT746" s="213"/>
      <c r="BQU746" s="213"/>
      <c r="BQV746" s="213"/>
      <c r="BQW746" s="213"/>
      <c r="BQX746" s="213"/>
      <c r="BQY746" s="213"/>
      <c r="BQZ746" s="213"/>
      <c r="BRA746" s="213"/>
      <c r="BRB746" s="213"/>
      <c r="BRC746" s="213"/>
      <c r="BRD746" s="213"/>
      <c r="BRE746" s="213"/>
      <c r="BRF746" s="213"/>
      <c r="BRG746" s="213"/>
      <c r="BRH746" s="213"/>
      <c r="BRI746" s="213"/>
      <c r="BRJ746" s="213"/>
      <c r="BRK746" s="213"/>
      <c r="BRL746" s="213"/>
      <c r="BRM746" s="213"/>
      <c r="BRN746" s="213"/>
      <c r="BRO746" s="213"/>
      <c r="BRP746" s="213"/>
      <c r="BRQ746" s="213"/>
      <c r="BRR746" s="213"/>
      <c r="BRS746" s="213"/>
      <c r="BRT746" s="213"/>
      <c r="BRU746" s="213"/>
      <c r="BRV746" s="213"/>
      <c r="BRW746" s="213"/>
      <c r="BRX746" s="213"/>
      <c r="BRY746" s="213"/>
      <c r="BRZ746" s="213"/>
      <c r="BSA746" s="213"/>
      <c r="BSB746" s="213"/>
      <c r="BSC746" s="213"/>
      <c r="BSD746" s="213"/>
      <c r="BSE746" s="213"/>
      <c r="BSF746" s="213"/>
      <c r="BSG746" s="213"/>
      <c r="BSH746" s="213"/>
      <c r="BSI746" s="213"/>
      <c r="BSJ746" s="213"/>
      <c r="BSK746" s="213"/>
      <c r="BSL746" s="213"/>
      <c r="BSM746" s="213"/>
      <c r="BSN746" s="213"/>
      <c r="BSO746" s="213"/>
      <c r="BSP746" s="213"/>
      <c r="BSQ746" s="213"/>
      <c r="BSR746" s="213"/>
      <c r="BSS746" s="213"/>
      <c r="BST746" s="213"/>
      <c r="BSU746" s="213"/>
      <c r="BSV746" s="213"/>
      <c r="BSW746" s="213"/>
      <c r="BSX746" s="213"/>
      <c r="BSY746" s="213"/>
      <c r="BSZ746" s="213"/>
      <c r="BTA746" s="213"/>
      <c r="BTB746" s="213"/>
      <c r="BTC746" s="213"/>
      <c r="BTD746" s="213"/>
      <c r="BTE746" s="213"/>
      <c r="BTF746" s="213"/>
      <c r="BTG746" s="213"/>
      <c r="BTH746" s="213"/>
      <c r="BTI746" s="213"/>
      <c r="BTJ746" s="213"/>
      <c r="BTK746" s="213"/>
      <c r="BTL746" s="213"/>
      <c r="BTM746" s="213"/>
      <c r="BTN746" s="213"/>
      <c r="BTO746" s="213"/>
      <c r="BTP746" s="213"/>
      <c r="BTQ746" s="213"/>
      <c r="BTR746" s="213"/>
      <c r="BTS746" s="213"/>
      <c r="BTT746" s="213"/>
      <c r="BTU746" s="213"/>
      <c r="BTV746" s="213"/>
      <c r="BTW746" s="213"/>
      <c r="BTX746" s="213"/>
      <c r="BTY746" s="213"/>
      <c r="BTZ746" s="213"/>
      <c r="BUA746" s="213"/>
      <c r="BUB746" s="213"/>
      <c r="BUC746" s="213"/>
      <c r="BUD746" s="213"/>
      <c r="BUE746" s="213"/>
      <c r="BUF746" s="213"/>
      <c r="BUG746" s="213"/>
      <c r="BUH746" s="213"/>
      <c r="BUI746" s="213"/>
      <c r="BUJ746" s="213"/>
      <c r="BUK746" s="213"/>
      <c r="BUL746" s="213"/>
      <c r="BUM746" s="213"/>
      <c r="BUN746" s="213"/>
      <c r="BUO746" s="213"/>
      <c r="BUP746" s="213"/>
      <c r="BUQ746" s="213"/>
      <c r="BUR746" s="213"/>
      <c r="BUS746" s="213"/>
      <c r="BUT746" s="213"/>
      <c r="BUU746" s="213"/>
      <c r="BUV746" s="213"/>
      <c r="BUW746" s="213"/>
      <c r="BUX746" s="213"/>
      <c r="BUY746" s="213"/>
      <c r="BUZ746" s="213"/>
      <c r="BVA746" s="213"/>
      <c r="BVB746" s="213"/>
      <c r="BVC746" s="213"/>
      <c r="BVD746" s="213"/>
      <c r="BVE746" s="213"/>
      <c r="BVF746" s="213"/>
      <c r="BVG746" s="213"/>
      <c r="BVH746" s="213"/>
      <c r="BVI746" s="213"/>
      <c r="BVJ746" s="213"/>
      <c r="BVK746" s="213"/>
      <c r="BVL746" s="213"/>
      <c r="BVM746" s="213"/>
      <c r="BVN746" s="213"/>
      <c r="BVO746" s="213"/>
      <c r="BVP746" s="213"/>
      <c r="BVQ746" s="213"/>
      <c r="BVR746" s="213"/>
      <c r="BVS746" s="213"/>
      <c r="BVT746" s="213"/>
      <c r="BVU746" s="213"/>
      <c r="BVV746" s="213"/>
      <c r="BVW746" s="213"/>
      <c r="BVX746" s="213"/>
      <c r="BVY746" s="213"/>
      <c r="BVZ746" s="213"/>
      <c r="BWA746" s="213"/>
      <c r="BWB746" s="213"/>
      <c r="BWC746" s="213"/>
      <c r="BWD746" s="213"/>
      <c r="BWE746" s="213"/>
      <c r="BWF746" s="213"/>
      <c r="BWG746" s="213"/>
      <c r="BWH746" s="213"/>
      <c r="BWI746" s="213"/>
      <c r="BWJ746" s="213"/>
      <c r="BWK746" s="213"/>
      <c r="BWL746" s="213"/>
      <c r="BWM746" s="213"/>
      <c r="BWN746" s="213"/>
      <c r="BWO746" s="213"/>
      <c r="BWP746" s="213"/>
      <c r="BWQ746" s="213"/>
      <c r="BWR746" s="213"/>
      <c r="BWS746" s="213"/>
      <c r="BWT746" s="213"/>
      <c r="BWU746" s="213"/>
      <c r="BWV746" s="213"/>
      <c r="BWW746" s="213"/>
      <c r="BWX746" s="213"/>
      <c r="BWY746" s="213"/>
      <c r="BWZ746" s="213"/>
      <c r="BXA746" s="213"/>
      <c r="BXB746" s="213"/>
      <c r="BXC746" s="213"/>
      <c r="BXD746" s="213"/>
      <c r="BXE746" s="213"/>
      <c r="BXF746" s="213"/>
      <c r="BXG746" s="213"/>
      <c r="BXH746" s="213"/>
      <c r="BXI746" s="213"/>
      <c r="BXJ746" s="213"/>
      <c r="BXK746" s="213"/>
      <c r="BXL746" s="213"/>
      <c r="BXM746" s="213"/>
      <c r="BXN746" s="213"/>
      <c r="BXO746" s="213"/>
      <c r="BXP746" s="213"/>
      <c r="BXQ746" s="213"/>
      <c r="BXR746" s="213"/>
      <c r="BXS746" s="213"/>
      <c r="BXT746" s="213"/>
      <c r="BXU746" s="213"/>
      <c r="BXV746" s="213"/>
      <c r="BXW746" s="213"/>
      <c r="BXX746" s="213"/>
      <c r="BXY746" s="213"/>
      <c r="BXZ746" s="213"/>
      <c r="BYA746" s="213"/>
      <c r="BYB746" s="213"/>
      <c r="BYC746" s="213"/>
      <c r="BYD746" s="213"/>
      <c r="BYE746" s="213"/>
      <c r="BYF746" s="213"/>
      <c r="BYG746" s="213"/>
      <c r="BYH746" s="213"/>
      <c r="BYI746" s="213"/>
      <c r="BYJ746" s="213"/>
      <c r="BYK746" s="213"/>
      <c r="BYL746" s="213"/>
      <c r="BYM746" s="213"/>
      <c r="BYN746" s="213"/>
      <c r="BYO746" s="213"/>
      <c r="BYP746" s="213"/>
      <c r="BYQ746" s="213"/>
      <c r="BYR746" s="213"/>
      <c r="BYS746" s="213"/>
      <c r="BYT746" s="213"/>
      <c r="BYU746" s="213"/>
      <c r="BYV746" s="213"/>
      <c r="BYW746" s="213"/>
      <c r="BYX746" s="213"/>
      <c r="BYY746" s="213"/>
      <c r="BYZ746" s="213"/>
      <c r="BZA746" s="213"/>
      <c r="BZB746" s="213"/>
      <c r="BZC746" s="213"/>
      <c r="BZD746" s="213"/>
      <c r="BZE746" s="213"/>
      <c r="BZF746" s="213"/>
      <c r="BZG746" s="213"/>
      <c r="BZH746" s="213"/>
      <c r="BZI746" s="213"/>
      <c r="BZJ746" s="213"/>
      <c r="BZK746" s="213"/>
      <c r="BZL746" s="213"/>
      <c r="BZM746" s="213"/>
      <c r="BZN746" s="213"/>
      <c r="BZO746" s="213"/>
      <c r="BZP746" s="213"/>
      <c r="BZQ746" s="213"/>
      <c r="BZR746" s="213"/>
      <c r="BZS746" s="213"/>
      <c r="BZT746" s="213"/>
      <c r="BZU746" s="213"/>
      <c r="BZV746" s="213"/>
      <c r="BZW746" s="213"/>
      <c r="BZX746" s="213"/>
      <c r="BZY746" s="213"/>
      <c r="BZZ746" s="213"/>
      <c r="CAA746" s="213"/>
      <c r="CAB746" s="213"/>
      <c r="CAC746" s="213"/>
      <c r="CAD746" s="213"/>
      <c r="CAE746" s="213"/>
      <c r="CAF746" s="213"/>
      <c r="CAG746" s="213"/>
      <c r="CAH746" s="213"/>
      <c r="CAI746" s="213"/>
      <c r="CAJ746" s="213"/>
      <c r="CAK746" s="213"/>
      <c r="CAL746" s="213"/>
      <c r="CAM746" s="213"/>
      <c r="CAN746" s="213"/>
      <c r="CAO746" s="213"/>
      <c r="CAP746" s="213"/>
      <c r="CAQ746" s="213"/>
      <c r="CAR746" s="213"/>
      <c r="CAS746" s="213"/>
      <c r="CAT746" s="213"/>
      <c r="CAU746" s="213"/>
      <c r="CAV746" s="213"/>
      <c r="CAW746" s="213"/>
      <c r="CAX746" s="213"/>
      <c r="CAY746" s="213"/>
      <c r="CAZ746" s="213"/>
      <c r="CBA746" s="213"/>
      <c r="CBB746" s="213"/>
      <c r="CBC746" s="213"/>
      <c r="CBD746" s="213"/>
      <c r="CBE746" s="213"/>
      <c r="CBF746" s="213"/>
      <c r="CBG746" s="213"/>
      <c r="CBH746" s="213"/>
      <c r="CBI746" s="213"/>
      <c r="CBJ746" s="213"/>
      <c r="CBK746" s="213"/>
      <c r="CBL746" s="213"/>
      <c r="CBM746" s="213"/>
      <c r="CBN746" s="213"/>
      <c r="CBO746" s="213"/>
      <c r="CBP746" s="213"/>
      <c r="CBQ746" s="213"/>
      <c r="CBR746" s="213"/>
      <c r="CBS746" s="213"/>
      <c r="CBT746" s="213"/>
      <c r="CBU746" s="213"/>
      <c r="CBV746" s="213"/>
      <c r="CBW746" s="213"/>
      <c r="CBX746" s="213"/>
      <c r="CBY746" s="213"/>
      <c r="CBZ746" s="213"/>
      <c r="CCA746" s="213"/>
      <c r="CCB746" s="213"/>
      <c r="CCC746" s="213"/>
      <c r="CCD746" s="213"/>
      <c r="CCE746" s="213"/>
      <c r="CCF746" s="213"/>
      <c r="CCG746" s="213"/>
      <c r="CCH746" s="213"/>
      <c r="CCI746" s="213"/>
      <c r="CCJ746" s="213"/>
      <c r="CCK746" s="213"/>
      <c r="CCL746" s="213"/>
      <c r="CCM746" s="213"/>
      <c r="CCN746" s="213"/>
      <c r="CCO746" s="213"/>
      <c r="CCP746" s="213"/>
      <c r="CCQ746" s="213"/>
      <c r="CCR746" s="213"/>
      <c r="CCS746" s="213"/>
      <c r="CCT746" s="213"/>
      <c r="CCU746" s="213"/>
      <c r="CCV746" s="213"/>
      <c r="CCW746" s="213"/>
      <c r="CCX746" s="213"/>
      <c r="CCY746" s="213"/>
      <c r="CCZ746" s="213"/>
      <c r="CDA746" s="213"/>
      <c r="CDB746" s="213"/>
      <c r="CDC746" s="213"/>
      <c r="CDD746" s="213"/>
      <c r="CDE746" s="213"/>
      <c r="CDF746" s="213"/>
      <c r="CDG746" s="213"/>
      <c r="CDH746" s="213"/>
      <c r="CDI746" s="213"/>
      <c r="CDJ746" s="213"/>
      <c r="CDK746" s="213"/>
      <c r="CDL746" s="213"/>
      <c r="CDM746" s="213"/>
      <c r="CDN746" s="213"/>
      <c r="CDO746" s="213"/>
      <c r="CDP746" s="213"/>
      <c r="CDQ746" s="213"/>
      <c r="CDR746" s="213"/>
      <c r="CDS746" s="213"/>
      <c r="CDT746" s="213"/>
      <c r="CDU746" s="213"/>
      <c r="CDV746" s="213"/>
      <c r="CDW746" s="213"/>
      <c r="CDX746" s="213"/>
      <c r="CDY746" s="213"/>
      <c r="CDZ746" s="213"/>
      <c r="CEA746" s="213"/>
      <c r="CEB746" s="213"/>
      <c r="CEC746" s="213"/>
      <c r="CED746" s="213"/>
      <c r="CEE746" s="213"/>
      <c r="CEF746" s="213"/>
      <c r="CEG746" s="213"/>
      <c r="CEH746" s="213"/>
      <c r="CEI746" s="213"/>
      <c r="CEJ746" s="213"/>
      <c r="CEK746" s="213"/>
      <c r="CEL746" s="213"/>
      <c r="CEM746" s="213"/>
      <c r="CEN746" s="213"/>
      <c r="CEO746" s="213"/>
      <c r="CEP746" s="213"/>
      <c r="CEQ746" s="213"/>
      <c r="CER746" s="213"/>
      <c r="CES746" s="213"/>
      <c r="CET746" s="213"/>
      <c r="CEU746" s="213"/>
      <c r="CEV746" s="213"/>
      <c r="CEW746" s="213"/>
      <c r="CEX746" s="213"/>
      <c r="CEY746" s="213"/>
      <c r="CEZ746" s="213"/>
      <c r="CFA746" s="213"/>
      <c r="CFB746" s="213"/>
      <c r="CFC746" s="213"/>
      <c r="CFD746" s="213"/>
      <c r="CFE746" s="213"/>
      <c r="CFF746" s="213"/>
      <c r="CFG746" s="213"/>
      <c r="CFH746" s="213"/>
      <c r="CFI746" s="213"/>
      <c r="CFJ746" s="213"/>
      <c r="CFK746" s="213"/>
      <c r="CFL746" s="213"/>
      <c r="CFM746" s="213"/>
      <c r="CFN746" s="213"/>
      <c r="CFO746" s="213"/>
      <c r="CFP746" s="213"/>
      <c r="CFQ746" s="213"/>
      <c r="CFR746" s="213"/>
      <c r="CFS746" s="213"/>
      <c r="CFT746" s="213"/>
      <c r="CFU746" s="213"/>
      <c r="CFV746" s="213"/>
      <c r="CFW746" s="213"/>
      <c r="CFX746" s="213"/>
      <c r="CFY746" s="213"/>
      <c r="CFZ746" s="213"/>
      <c r="CGA746" s="213"/>
      <c r="CGB746" s="213"/>
      <c r="CGC746" s="213"/>
      <c r="CGD746" s="213"/>
      <c r="CGE746" s="213"/>
      <c r="CGF746" s="213"/>
      <c r="CGG746" s="213"/>
      <c r="CGH746" s="213"/>
      <c r="CGI746" s="213"/>
      <c r="CGJ746" s="213"/>
      <c r="CGK746" s="213"/>
      <c r="CGL746" s="213"/>
      <c r="CGM746" s="213"/>
      <c r="CGN746" s="213"/>
      <c r="CGO746" s="213"/>
      <c r="CGP746" s="213"/>
      <c r="CGQ746" s="213"/>
      <c r="CGR746" s="213"/>
      <c r="CGS746" s="213"/>
      <c r="CGT746" s="213"/>
      <c r="CGU746" s="213"/>
      <c r="CGV746" s="213"/>
      <c r="CGW746" s="213"/>
      <c r="CGX746" s="213"/>
      <c r="CGY746" s="213"/>
      <c r="CGZ746" s="213"/>
      <c r="CHA746" s="213"/>
      <c r="CHB746" s="213"/>
      <c r="CHC746" s="213"/>
      <c r="CHD746" s="213"/>
      <c r="CHE746" s="213"/>
      <c r="CHF746" s="213"/>
      <c r="CHG746" s="213"/>
      <c r="CHH746" s="213"/>
      <c r="CHI746" s="213"/>
      <c r="CHJ746" s="213"/>
      <c r="CHK746" s="213"/>
      <c r="CHL746" s="213"/>
      <c r="CHM746" s="213"/>
      <c r="CHN746" s="213"/>
      <c r="CHO746" s="213"/>
      <c r="CHP746" s="213"/>
      <c r="CHQ746" s="213"/>
      <c r="CHR746" s="213"/>
      <c r="CHS746" s="213"/>
      <c r="CHT746" s="213"/>
      <c r="CHU746" s="213"/>
      <c r="CHV746" s="213"/>
      <c r="CHW746" s="213"/>
      <c r="CHX746" s="213"/>
      <c r="CHY746" s="213"/>
      <c r="CHZ746" s="213"/>
      <c r="CIA746" s="213"/>
      <c r="CIB746" s="213"/>
      <c r="CIC746" s="213"/>
      <c r="CID746" s="213"/>
      <c r="CIE746" s="213"/>
      <c r="CIF746" s="213"/>
      <c r="CIG746" s="213"/>
      <c r="CIH746" s="213"/>
      <c r="CII746" s="213"/>
      <c r="CIJ746" s="213"/>
      <c r="CIK746" s="213"/>
      <c r="CIL746" s="213"/>
      <c r="CIM746" s="213"/>
      <c r="CIN746" s="213"/>
      <c r="CIO746" s="213"/>
      <c r="CIP746" s="213"/>
      <c r="CIQ746" s="213"/>
      <c r="CIR746" s="213"/>
      <c r="CIS746" s="213"/>
      <c r="CIT746" s="213"/>
      <c r="CIU746" s="213"/>
      <c r="CIV746" s="213"/>
      <c r="CIW746" s="213"/>
      <c r="CIX746" s="213"/>
      <c r="CIY746" s="213"/>
      <c r="CIZ746" s="213"/>
      <c r="CJA746" s="213"/>
      <c r="CJB746" s="213"/>
      <c r="CJC746" s="213"/>
      <c r="CJD746" s="213"/>
      <c r="CJE746" s="213"/>
      <c r="CJF746" s="213"/>
      <c r="CJG746" s="213"/>
      <c r="CJH746" s="213"/>
      <c r="CJI746" s="213"/>
      <c r="CJJ746" s="213"/>
      <c r="CJK746" s="213"/>
      <c r="CJL746" s="213"/>
      <c r="CJM746" s="213"/>
      <c r="CJN746" s="213"/>
      <c r="CJO746" s="213"/>
      <c r="CJP746" s="213"/>
      <c r="CJQ746" s="213"/>
      <c r="CJR746" s="213"/>
      <c r="CJS746" s="213"/>
      <c r="CJT746" s="213"/>
      <c r="CJU746" s="213"/>
      <c r="CJV746" s="213"/>
      <c r="CJW746" s="213"/>
      <c r="CJX746" s="213"/>
      <c r="CJY746" s="213"/>
      <c r="CJZ746" s="213"/>
      <c r="CKA746" s="213"/>
      <c r="CKB746" s="213"/>
      <c r="CKC746" s="213"/>
      <c r="CKD746" s="213"/>
      <c r="CKE746" s="213"/>
      <c r="CKF746" s="213"/>
      <c r="CKG746" s="213"/>
      <c r="CKH746" s="213"/>
      <c r="CKI746" s="213"/>
      <c r="CKJ746" s="213"/>
      <c r="CKK746" s="213"/>
      <c r="CKL746" s="213"/>
      <c r="CKM746" s="213"/>
      <c r="CKN746" s="213"/>
      <c r="CKO746" s="213"/>
      <c r="CKP746" s="213"/>
      <c r="CKQ746" s="213"/>
      <c r="CKR746" s="213"/>
      <c r="CKS746" s="213"/>
      <c r="CKT746" s="213"/>
      <c r="CKU746" s="213"/>
      <c r="CKV746" s="213"/>
      <c r="CKW746" s="213"/>
      <c r="CKX746" s="213"/>
      <c r="CKY746" s="213"/>
      <c r="CKZ746" s="213"/>
      <c r="CLA746" s="213"/>
      <c r="CLB746" s="213"/>
      <c r="CLC746" s="213"/>
      <c r="CLD746" s="213"/>
      <c r="CLE746" s="213"/>
      <c r="CLF746" s="213"/>
      <c r="CLG746" s="213"/>
      <c r="CLH746" s="213"/>
      <c r="CLI746" s="213"/>
      <c r="CLJ746" s="213"/>
      <c r="CLK746" s="213"/>
      <c r="CLL746" s="213"/>
      <c r="CLM746" s="213"/>
      <c r="CLN746" s="213"/>
      <c r="CLO746" s="213"/>
      <c r="CLP746" s="213"/>
      <c r="CLQ746" s="213"/>
      <c r="CLR746" s="213"/>
      <c r="CLS746" s="213"/>
      <c r="CLT746" s="213"/>
      <c r="CLU746" s="213"/>
      <c r="CLV746" s="213"/>
      <c r="CLW746" s="213"/>
      <c r="CLX746" s="213"/>
      <c r="CLY746" s="213"/>
      <c r="CLZ746" s="213"/>
      <c r="CMA746" s="213"/>
      <c r="CMB746" s="213"/>
      <c r="CMC746" s="213"/>
      <c r="CMD746" s="213"/>
      <c r="CME746" s="213"/>
      <c r="CMF746" s="213"/>
      <c r="CMG746" s="213"/>
      <c r="CMH746" s="213"/>
      <c r="CMI746" s="213"/>
      <c r="CMJ746" s="213"/>
      <c r="CMK746" s="213"/>
      <c r="CML746" s="213"/>
      <c r="CMM746" s="213"/>
      <c r="CMN746" s="213"/>
      <c r="CMO746" s="213"/>
      <c r="CMP746" s="213"/>
      <c r="CMQ746" s="213"/>
      <c r="CMR746" s="213"/>
      <c r="CMS746" s="213"/>
      <c r="CMT746" s="213"/>
      <c r="CMU746" s="213"/>
      <c r="CMV746" s="213"/>
      <c r="CMW746" s="213"/>
      <c r="CMX746" s="213"/>
      <c r="CMY746" s="213"/>
      <c r="CMZ746" s="213"/>
      <c r="CNA746" s="213"/>
      <c r="CNB746" s="213"/>
      <c r="CNC746" s="213"/>
      <c r="CND746" s="213"/>
      <c r="CNE746" s="213"/>
      <c r="CNF746" s="213"/>
      <c r="CNG746" s="213"/>
      <c r="CNH746" s="213"/>
      <c r="CNI746" s="213"/>
      <c r="CNJ746" s="213"/>
      <c r="CNK746" s="213"/>
      <c r="CNL746" s="213"/>
      <c r="CNM746" s="213"/>
      <c r="CNN746" s="213"/>
      <c r="CNO746" s="213"/>
      <c r="CNP746" s="213"/>
      <c r="CNQ746" s="213"/>
      <c r="CNR746" s="213"/>
      <c r="CNS746" s="213"/>
      <c r="CNT746" s="213"/>
      <c r="CNU746" s="213"/>
      <c r="CNV746" s="213"/>
      <c r="CNW746" s="213"/>
      <c r="CNX746" s="213"/>
      <c r="CNY746" s="213"/>
      <c r="CNZ746" s="213"/>
      <c r="COA746" s="213"/>
      <c r="COB746" s="213"/>
      <c r="COC746" s="213"/>
      <c r="COD746" s="213"/>
      <c r="COE746" s="213"/>
      <c r="COF746" s="213"/>
      <c r="COG746" s="213"/>
      <c r="COH746" s="213"/>
      <c r="COI746" s="213"/>
      <c r="COJ746" s="213"/>
      <c r="COK746" s="213"/>
      <c r="COL746" s="213"/>
      <c r="COM746" s="213"/>
      <c r="CON746" s="213"/>
      <c r="COO746" s="213"/>
      <c r="COP746" s="213"/>
      <c r="COQ746" s="213"/>
      <c r="COR746" s="213"/>
      <c r="COS746" s="213"/>
      <c r="COT746" s="213"/>
      <c r="COU746" s="213"/>
      <c r="COV746" s="213"/>
      <c r="COW746" s="213"/>
      <c r="COX746" s="213"/>
      <c r="COY746" s="213"/>
      <c r="COZ746" s="213"/>
      <c r="CPA746" s="213"/>
      <c r="CPB746" s="213"/>
      <c r="CPC746" s="213"/>
      <c r="CPD746" s="213"/>
      <c r="CPE746" s="213"/>
      <c r="CPF746" s="213"/>
      <c r="CPG746" s="213"/>
      <c r="CPH746" s="213"/>
      <c r="CPI746" s="213"/>
      <c r="CPJ746" s="213"/>
      <c r="CPK746" s="213"/>
      <c r="CPL746" s="213"/>
      <c r="CPM746" s="213"/>
      <c r="CPN746" s="213"/>
      <c r="CPO746" s="213"/>
      <c r="CPP746" s="213"/>
      <c r="CPQ746" s="213"/>
      <c r="CPR746" s="213"/>
      <c r="CPS746" s="213"/>
      <c r="CPT746" s="213"/>
      <c r="CPU746" s="213"/>
      <c r="CPV746" s="213"/>
      <c r="CPW746" s="213"/>
      <c r="CPX746" s="213"/>
      <c r="CPY746" s="213"/>
      <c r="CPZ746" s="213"/>
      <c r="CQA746" s="213"/>
      <c r="CQB746" s="213"/>
      <c r="CQC746" s="213"/>
      <c r="CQD746" s="213"/>
      <c r="CQE746" s="213"/>
      <c r="CQF746" s="213"/>
      <c r="CQG746" s="213"/>
      <c r="CQH746" s="213"/>
      <c r="CQI746" s="213"/>
      <c r="CQJ746" s="213"/>
      <c r="CQK746" s="213"/>
      <c r="CQL746" s="213"/>
      <c r="CQM746" s="213"/>
      <c r="CQN746" s="213"/>
      <c r="CQO746" s="213"/>
      <c r="CQP746" s="213"/>
      <c r="CQQ746" s="213"/>
      <c r="CQR746" s="213"/>
      <c r="CQS746" s="213"/>
      <c r="CQT746" s="213"/>
      <c r="CQU746" s="213"/>
      <c r="CQV746" s="213"/>
      <c r="CQW746" s="213"/>
      <c r="CQX746" s="213"/>
      <c r="CQY746" s="213"/>
      <c r="CQZ746" s="213"/>
      <c r="CRA746" s="213"/>
      <c r="CRB746" s="213"/>
      <c r="CRC746" s="213"/>
      <c r="CRD746" s="213"/>
      <c r="CRE746" s="213"/>
      <c r="CRF746" s="213"/>
      <c r="CRG746" s="213"/>
      <c r="CRH746" s="213"/>
      <c r="CRI746" s="213"/>
      <c r="CRJ746" s="213"/>
      <c r="CRK746" s="213"/>
      <c r="CRL746" s="213"/>
      <c r="CRM746" s="213"/>
      <c r="CRN746" s="213"/>
      <c r="CRO746" s="213"/>
      <c r="CRP746" s="213"/>
      <c r="CRQ746" s="213"/>
      <c r="CRR746" s="213"/>
      <c r="CRS746" s="213"/>
      <c r="CRT746" s="213"/>
      <c r="CRU746" s="213"/>
      <c r="CRV746" s="213"/>
      <c r="CRW746" s="213"/>
      <c r="CRX746" s="213"/>
      <c r="CRY746" s="213"/>
      <c r="CRZ746" s="213"/>
      <c r="CSA746" s="213"/>
      <c r="CSB746" s="213"/>
      <c r="CSC746" s="213"/>
      <c r="CSD746" s="213"/>
      <c r="CSE746" s="213"/>
      <c r="CSF746" s="213"/>
      <c r="CSG746" s="213"/>
      <c r="CSH746" s="213"/>
      <c r="CSI746" s="213"/>
      <c r="CSJ746" s="213"/>
      <c r="CSK746" s="213"/>
      <c r="CSL746" s="213"/>
      <c r="CSM746" s="213"/>
      <c r="CSN746" s="213"/>
      <c r="CSO746" s="213"/>
      <c r="CSP746" s="213"/>
      <c r="CSQ746" s="213"/>
      <c r="CSR746" s="213"/>
      <c r="CSS746" s="213"/>
      <c r="CST746" s="213"/>
      <c r="CSU746" s="213"/>
      <c r="CSV746" s="213"/>
      <c r="CSW746" s="213"/>
      <c r="CSX746" s="213"/>
      <c r="CSY746" s="213"/>
      <c r="CSZ746" s="213"/>
      <c r="CTA746" s="213"/>
      <c r="CTB746" s="213"/>
      <c r="CTC746" s="213"/>
      <c r="CTD746" s="213"/>
      <c r="CTE746" s="213"/>
      <c r="CTF746" s="213"/>
      <c r="CTG746" s="213"/>
      <c r="CTH746" s="213"/>
      <c r="CTI746" s="213"/>
      <c r="CTJ746" s="213"/>
      <c r="CTK746" s="213"/>
      <c r="CTL746" s="213"/>
      <c r="CTM746" s="213"/>
      <c r="CTN746" s="213"/>
      <c r="CTO746" s="213"/>
      <c r="CTP746" s="213"/>
      <c r="CTQ746" s="213"/>
      <c r="CTR746" s="213"/>
      <c r="CTS746" s="213"/>
      <c r="CTT746" s="213"/>
      <c r="CTU746" s="213"/>
      <c r="CTV746" s="213"/>
      <c r="CTW746" s="213"/>
      <c r="CTX746" s="213"/>
      <c r="CTY746" s="213"/>
      <c r="CTZ746" s="213"/>
      <c r="CUA746" s="213"/>
      <c r="CUB746" s="213"/>
      <c r="CUC746" s="213"/>
      <c r="CUD746" s="213"/>
      <c r="CUE746" s="213"/>
      <c r="CUF746" s="213"/>
      <c r="CUG746" s="213"/>
      <c r="CUH746" s="213"/>
      <c r="CUI746" s="213"/>
      <c r="CUJ746" s="213"/>
      <c r="CUK746" s="213"/>
      <c r="CUL746" s="213"/>
      <c r="CUM746" s="213"/>
      <c r="CUN746" s="213"/>
      <c r="CUO746" s="213"/>
      <c r="CUP746" s="213"/>
      <c r="CUQ746" s="213"/>
      <c r="CUR746" s="213"/>
      <c r="CUS746" s="213"/>
      <c r="CUT746" s="213"/>
      <c r="CUU746" s="213"/>
      <c r="CUV746" s="213"/>
      <c r="CUW746" s="213"/>
      <c r="CUX746" s="213"/>
      <c r="CUY746" s="213"/>
      <c r="CUZ746" s="213"/>
      <c r="CVA746" s="213"/>
      <c r="CVB746" s="213"/>
      <c r="CVC746" s="213"/>
      <c r="CVD746" s="213"/>
      <c r="CVE746" s="213"/>
      <c r="CVF746" s="213"/>
      <c r="CVG746" s="213"/>
      <c r="CVH746" s="213"/>
      <c r="CVI746" s="213"/>
      <c r="CVJ746" s="213"/>
      <c r="CVK746" s="213"/>
      <c r="CVL746" s="213"/>
      <c r="CVM746" s="213"/>
      <c r="CVN746" s="213"/>
      <c r="CVO746" s="213"/>
      <c r="CVP746" s="213"/>
      <c r="CVQ746" s="213"/>
      <c r="CVR746" s="213"/>
      <c r="CVS746" s="213"/>
      <c r="CVT746" s="213"/>
      <c r="CVU746" s="213"/>
      <c r="CVV746" s="213"/>
      <c r="CVW746" s="213"/>
      <c r="CVX746" s="213"/>
      <c r="CVY746" s="213"/>
      <c r="CVZ746" s="213"/>
      <c r="CWA746" s="213"/>
      <c r="CWB746" s="213"/>
      <c r="CWC746" s="213"/>
      <c r="CWD746" s="213"/>
      <c r="CWE746" s="213"/>
      <c r="CWF746" s="213"/>
      <c r="CWG746" s="213"/>
      <c r="CWH746" s="213"/>
      <c r="CWI746" s="213"/>
      <c r="CWJ746" s="213"/>
      <c r="CWK746" s="213"/>
      <c r="CWL746" s="213"/>
      <c r="CWM746" s="213"/>
      <c r="CWN746" s="213"/>
      <c r="CWO746" s="213"/>
      <c r="CWP746" s="213"/>
      <c r="CWQ746" s="213"/>
      <c r="CWR746" s="213"/>
      <c r="CWS746" s="213"/>
      <c r="CWT746" s="213"/>
      <c r="CWU746" s="213"/>
      <c r="CWV746" s="213"/>
      <c r="CWW746" s="213"/>
      <c r="CWX746" s="213"/>
      <c r="CWY746" s="213"/>
      <c r="CWZ746" s="213"/>
      <c r="CXA746" s="213"/>
      <c r="CXB746" s="213"/>
      <c r="CXC746" s="213"/>
      <c r="CXD746" s="213"/>
      <c r="CXE746" s="213"/>
      <c r="CXF746" s="213"/>
      <c r="CXG746" s="213"/>
      <c r="CXH746" s="213"/>
      <c r="CXI746" s="213"/>
      <c r="CXJ746" s="213"/>
      <c r="CXK746" s="213"/>
      <c r="CXL746" s="213"/>
      <c r="CXM746" s="213"/>
      <c r="CXN746" s="213"/>
      <c r="CXO746" s="213"/>
      <c r="CXP746" s="213"/>
      <c r="CXQ746" s="213"/>
      <c r="CXR746" s="213"/>
      <c r="CXS746" s="213"/>
      <c r="CXT746" s="213"/>
      <c r="CXU746" s="213"/>
      <c r="CXV746" s="213"/>
      <c r="CXW746" s="213"/>
      <c r="CXX746" s="213"/>
      <c r="CXY746" s="213"/>
      <c r="CXZ746" s="213"/>
      <c r="CYA746" s="213"/>
      <c r="CYB746" s="213"/>
      <c r="CYC746" s="213"/>
      <c r="CYD746" s="213"/>
      <c r="CYE746" s="213"/>
      <c r="CYF746" s="213"/>
      <c r="CYG746" s="213"/>
      <c r="CYH746" s="213"/>
      <c r="CYI746" s="213"/>
      <c r="CYJ746" s="213"/>
      <c r="CYK746" s="213"/>
      <c r="CYL746" s="213"/>
      <c r="CYM746" s="213"/>
      <c r="CYN746" s="213"/>
      <c r="CYO746" s="213"/>
      <c r="CYP746" s="213"/>
      <c r="CYQ746" s="213"/>
      <c r="CYR746" s="213"/>
      <c r="CYS746" s="213"/>
      <c r="CYT746" s="213"/>
      <c r="CYU746" s="213"/>
      <c r="CYV746" s="213"/>
      <c r="CYW746" s="213"/>
      <c r="CYX746" s="213"/>
      <c r="CYY746" s="213"/>
      <c r="CYZ746" s="213"/>
      <c r="CZA746" s="213"/>
      <c r="CZB746" s="213"/>
      <c r="CZC746" s="213"/>
      <c r="CZD746" s="213"/>
      <c r="CZE746" s="213"/>
      <c r="CZF746" s="213"/>
      <c r="CZG746" s="213"/>
      <c r="CZH746" s="213"/>
      <c r="CZI746" s="213"/>
      <c r="CZJ746" s="213"/>
      <c r="CZK746" s="213"/>
      <c r="CZL746" s="213"/>
      <c r="CZM746" s="213"/>
      <c r="CZN746" s="213"/>
      <c r="CZO746" s="213"/>
      <c r="CZP746" s="213"/>
      <c r="CZQ746" s="213"/>
      <c r="CZR746" s="213"/>
      <c r="CZS746" s="213"/>
      <c r="CZT746" s="213"/>
      <c r="CZU746" s="213"/>
      <c r="CZV746" s="213"/>
      <c r="CZW746" s="213"/>
      <c r="CZX746" s="213"/>
      <c r="CZY746" s="213"/>
      <c r="CZZ746" s="213"/>
      <c r="DAA746" s="213"/>
      <c r="DAB746" s="213"/>
      <c r="DAC746" s="213"/>
      <c r="DAD746" s="213"/>
      <c r="DAE746" s="213"/>
      <c r="DAF746" s="213"/>
      <c r="DAG746" s="213"/>
      <c r="DAH746" s="213"/>
      <c r="DAI746" s="213"/>
      <c r="DAJ746" s="213"/>
      <c r="DAK746" s="213"/>
      <c r="DAL746" s="213"/>
      <c r="DAM746" s="213"/>
      <c r="DAN746" s="213"/>
      <c r="DAO746" s="213"/>
      <c r="DAP746" s="213"/>
      <c r="DAQ746" s="213"/>
      <c r="DAR746" s="213"/>
      <c r="DAS746" s="213"/>
      <c r="DAT746" s="213"/>
      <c r="DAU746" s="213"/>
      <c r="DAV746" s="213"/>
      <c r="DAW746" s="213"/>
      <c r="DAX746" s="213"/>
      <c r="DAY746" s="213"/>
      <c r="DAZ746" s="213"/>
      <c r="DBA746" s="213"/>
      <c r="DBB746" s="213"/>
      <c r="DBC746" s="213"/>
      <c r="DBD746" s="213"/>
      <c r="DBE746" s="213"/>
      <c r="DBF746" s="213"/>
      <c r="DBG746" s="213"/>
      <c r="DBH746" s="213"/>
      <c r="DBI746" s="213"/>
      <c r="DBJ746" s="213"/>
      <c r="DBK746" s="213"/>
      <c r="DBL746" s="213"/>
      <c r="DBM746" s="213"/>
      <c r="DBN746" s="213"/>
      <c r="DBO746" s="213"/>
      <c r="DBP746" s="213"/>
      <c r="DBQ746" s="213"/>
      <c r="DBR746" s="213"/>
      <c r="DBS746" s="213"/>
      <c r="DBT746" s="213"/>
      <c r="DBU746" s="213"/>
      <c r="DBV746" s="213"/>
      <c r="DBW746" s="213"/>
      <c r="DBX746" s="213"/>
      <c r="DBY746" s="213"/>
      <c r="DBZ746" s="213"/>
      <c r="DCA746" s="213"/>
      <c r="DCB746" s="213"/>
      <c r="DCC746" s="213"/>
      <c r="DCD746" s="213"/>
      <c r="DCE746" s="213"/>
      <c r="DCF746" s="213"/>
      <c r="DCG746" s="213"/>
      <c r="DCH746" s="213"/>
      <c r="DCI746" s="213"/>
      <c r="DCJ746" s="213"/>
      <c r="DCK746" s="213"/>
      <c r="DCL746" s="213"/>
      <c r="DCM746" s="213"/>
      <c r="DCN746" s="213"/>
      <c r="DCO746" s="213"/>
      <c r="DCP746" s="213"/>
      <c r="DCQ746" s="213"/>
      <c r="DCR746" s="213"/>
      <c r="DCS746" s="213"/>
      <c r="DCT746" s="213"/>
      <c r="DCU746" s="213"/>
      <c r="DCV746" s="213"/>
      <c r="DCW746" s="213"/>
      <c r="DCX746" s="213"/>
      <c r="DCY746" s="213"/>
      <c r="DCZ746" s="213"/>
      <c r="DDA746" s="213"/>
      <c r="DDB746" s="213"/>
      <c r="DDC746" s="213"/>
      <c r="DDD746" s="213"/>
      <c r="DDE746" s="213"/>
      <c r="DDF746" s="213"/>
      <c r="DDG746" s="213"/>
      <c r="DDH746" s="213"/>
      <c r="DDI746" s="213"/>
      <c r="DDJ746" s="213"/>
      <c r="DDK746" s="213"/>
      <c r="DDL746" s="213"/>
      <c r="DDM746" s="213"/>
      <c r="DDN746" s="213"/>
      <c r="DDO746" s="213"/>
      <c r="DDP746" s="213"/>
      <c r="DDQ746" s="213"/>
      <c r="DDR746" s="213"/>
      <c r="DDS746" s="213"/>
      <c r="DDT746" s="213"/>
      <c r="DDU746" s="213"/>
      <c r="DDV746" s="213"/>
      <c r="DDW746" s="213"/>
      <c r="DDX746" s="213"/>
      <c r="DDY746" s="213"/>
      <c r="DDZ746" s="213"/>
      <c r="DEA746" s="213"/>
      <c r="DEB746" s="213"/>
      <c r="DEC746" s="213"/>
      <c r="DED746" s="213"/>
      <c r="DEE746" s="213"/>
      <c r="DEF746" s="213"/>
      <c r="DEG746" s="213"/>
      <c r="DEH746" s="213"/>
      <c r="DEI746" s="213"/>
      <c r="DEJ746" s="213"/>
      <c r="DEK746" s="213"/>
      <c r="DEL746" s="213"/>
      <c r="DEM746" s="213"/>
      <c r="DEN746" s="213"/>
      <c r="DEO746" s="213"/>
      <c r="DEP746" s="213"/>
      <c r="DEQ746" s="213"/>
      <c r="DER746" s="213"/>
      <c r="DES746" s="213"/>
      <c r="DET746" s="213"/>
      <c r="DEU746" s="213"/>
      <c r="DEV746" s="213"/>
      <c r="DEW746" s="213"/>
      <c r="DEX746" s="213"/>
      <c r="DEY746" s="213"/>
      <c r="DEZ746" s="213"/>
      <c r="DFA746" s="213"/>
      <c r="DFB746" s="213"/>
      <c r="DFC746" s="213"/>
      <c r="DFD746" s="213"/>
      <c r="DFE746" s="213"/>
      <c r="DFF746" s="213"/>
      <c r="DFG746" s="213"/>
      <c r="DFH746" s="213"/>
      <c r="DFI746" s="213"/>
      <c r="DFJ746" s="213"/>
      <c r="DFK746" s="213"/>
      <c r="DFL746" s="213"/>
      <c r="DFM746" s="213"/>
      <c r="DFN746" s="213"/>
      <c r="DFO746" s="213"/>
      <c r="DFP746" s="213"/>
      <c r="DFQ746" s="213"/>
      <c r="DFR746" s="213"/>
      <c r="DFS746" s="213"/>
      <c r="DFT746" s="213"/>
      <c r="DFU746" s="213"/>
      <c r="DFV746" s="213"/>
      <c r="DFW746" s="213"/>
      <c r="DFX746" s="213"/>
      <c r="DFY746" s="213"/>
      <c r="DFZ746" s="213"/>
      <c r="DGA746" s="213"/>
      <c r="DGB746" s="213"/>
      <c r="DGC746" s="213"/>
      <c r="DGD746" s="213"/>
      <c r="DGE746" s="213"/>
      <c r="DGF746" s="213"/>
      <c r="DGG746" s="213"/>
      <c r="DGH746" s="213"/>
      <c r="DGI746" s="213"/>
      <c r="DGJ746" s="213"/>
      <c r="DGK746" s="213"/>
      <c r="DGL746" s="213"/>
      <c r="DGM746" s="213"/>
      <c r="DGN746" s="213"/>
      <c r="DGO746" s="213"/>
      <c r="DGP746" s="213"/>
      <c r="DGQ746" s="213"/>
      <c r="DGR746" s="213"/>
      <c r="DGS746" s="213"/>
      <c r="DGT746" s="213"/>
      <c r="DGU746" s="213"/>
      <c r="DGV746" s="213"/>
      <c r="DGW746" s="213"/>
      <c r="DGX746" s="213"/>
      <c r="DGY746" s="213"/>
      <c r="DGZ746" s="213"/>
      <c r="DHA746" s="213"/>
      <c r="DHB746" s="213"/>
      <c r="DHC746" s="213"/>
      <c r="DHD746" s="213"/>
      <c r="DHE746" s="213"/>
      <c r="DHF746" s="213"/>
      <c r="DHG746" s="213"/>
      <c r="DHH746" s="213"/>
      <c r="DHI746" s="213"/>
      <c r="DHJ746" s="213"/>
      <c r="DHK746" s="213"/>
      <c r="DHL746" s="213"/>
      <c r="DHM746" s="213"/>
      <c r="DHN746" s="213"/>
      <c r="DHO746" s="213"/>
      <c r="DHP746" s="213"/>
      <c r="DHQ746" s="213"/>
      <c r="DHR746" s="213"/>
      <c r="DHS746" s="213"/>
      <c r="DHT746" s="213"/>
      <c r="DHU746" s="213"/>
      <c r="DHV746" s="213"/>
      <c r="DHW746" s="213"/>
      <c r="DHX746" s="213"/>
      <c r="DHY746" s="213"/>
      <c r="DHZ746" s="213"/>
      <c r="DIA746" s="213"/>
      <c r="DIB746" s="213"/>
      <c r="DIC746" s="213"/>
      <c r="DID746" s="213"/>
      <c r="DIE746" s="213"/>
      <c r="DIF746" s="213"/>
      <c r="DIG746" s="213"/>
      <c r="DIH746" s="213"/>
      <c r="DII746" s="213"/>
      <c r="DIJ746" s="213"/>
      <c r="DIK746" s="213"/>
      <c r="DIL746" s="213"/>
      <c r="DIM746" s="213"/>
      <c r="DIN746" s="213"/>
      <c r="DIO746" s="213"/>
      <c r="DIP746" s="213"/>
      <c r="DIQ746" s="213"/>
      <c r="DIR746" s="213"/>
      <c r="DIS746" s="213"/>
      <c r="DIT746" s="213"/>
      <c r="DIU746" s="213"/>
      <c r="DIV746" s="213"/>
      <c r="DIW746" s="213"/>
      <c r="DIX746" s="213"/>
      <c r="DIY746" s="213"/>
      <c r="DIZ746" s="213"/>
      <c r="DJA746" s="213"/>
      <c r="DJB746" s="213"/>
      <c r="DJC746" s="213"/>
      <c r="DJD746" s="213"/>
      <c r="DJE746" s="213"/>
      <c r="DJF746" s="213"/>
      <c r="DJG746" s="213"/>
      <c r="DJH746" s="213"/>
      <c r="DJI746" s="213"/>
      <c r="DJJ746" s="213"/>
      <c r="DJK746" s="213"/>
      <c r="DJL746" s="213"/>
      <c r="DJM746" s="213"/>
      <c r="DJN746" s="213"/>
      <c r="DJO746" s="213"/>
      <c r="DJP746" s="213"/>
      <c r="DJQ746" s="213"/>
      <c r="DJR746" s="213"/>
      <c r="DJS746" s="213"/>
      <c r="DJT746" s="213"/>
      <c r="DJU746" s="213"/>
      <c r="DJV746" s="213"/>
      <c r="DJW746" s="213"/>
      <c r="DJX746" s="213"/>
      <c r="DJY746" s="213"/>
      <c r="DJZ746" s="213"/>
      <c r="DKA746" s="213"/>
      <c r="DKB746" s="213"/>
      <c r="DKC746" s="213"/>
      <c r="DKD746" s="213"/>
      <c r="DKE746" s="213"/>
      <c r="DKF746" s="213"/>
      <c r="DKG746" s="213"/>
      <c r="DKH746" s="213"/>
      <c r="DKI746" s="213"/>
      <c r="DKJ746" s="213"/>
      <c r="DKK746" s="213"/>
      <c r="DKL746" s="213"/>
      <c r="DKM746" s="213"/>
      <c r="DKN746" s="213"/>
      <c r="DKO746" s="213"/>
      <c r="DKP746" s="213"/>
      <c r="DKQ746" s="213"/>
      <c r="DKR746" s="213"/>
      <c r="DKS746" s="213"/>
      <c r="DKT746" s="213"/>
      <c r="DKU746" s="213"/>
      <c r="DKV746" s="213"/>
      <c r="DKW746" s="213"/>
      <c r="DKX746" s="213"/>
      <c r="DKY746" s="213"/>
      <c r="DKZ746" s="213"/>
      <c r="DLA746" s="213"/>
      <c r="DLB746" s="213"/>
      <c r="DLC746" s="213"/>
      <c r="DLD746" s="213"/>
      <c r="DLE746" s="213"/>
      <c r="DLF746" s="213"/>
      <c r="DLG746" s="213"/>
      <c r="DLH746" s="213"/>
      <c r="DLI746" s="213"/>
      <c r="DLJ746" s="213"/>
      <c r="DLK746" s="213"/>
      <c r="DLL746" s="213"/>
      <c r="DLM746" s="213"/>
      <c r="DLN746" s="213"/>
      <c r="DLO746" s="213"/>
      <c r="DLP746" s="213"/>
      <c r="DLQ746" s="213"/>
      <c r="DLR746" s="213"/>
      <c r="DLS746" s="213"/>
      <c r="DLT746" s="213"/>
      <c r="DLU746" s="213"/>
      <c r="DLV746" s="213"/>
      <c r="DLW746" s="213"/>
      <c r="DLX746" s="213"/>
      <c r="DLY746" s="213"/>
      <c r="DLZ746" s="213"/>
      <c r="DMA746" s="213"/>
      <c r="DMB746" s="213"/>
      <c r="DMC746" s="213"/>
      <c r="DMD746" s="213"/>
      <c r="DME746" s="213"/>
      <c r="DMF746" s="213"/>
      <c r="DMG746" s="213"/>
      <c r="DMH746" s="213"/>
      <c r="DMI746" s="213"/>
      <c r="DMJ746" s="213"/>
      <c r="DMK746" s="213"/>
      <c r="DML746" s="213"/>
      <c r="DMM746" s="213"/>
      <c r="DMN746" s="213"/>
      <c r="DMO746" s="213"/>
      <c r="DMP746" s="213"/>
      <c r="DMQ746" s="213"/>
      <c r="DMR746" s="213"/>
      <c r="DMS746" s="213"/>
      <c r="DMT746" s="213"/>
      <c r="DMU746" s="213"/>
      <c r="DMV746" s="213"/>
      <c r="DMW746" s="213"/>
      <c r="DMX746" s="213"/>
      <c r="DMY746" s="213"/>
      <c r="DMZ746" s="213"/>
      <c r="DNA746" s="213"/>
      <c r="DNB746" s="213"/>
      <c r="DNC746" s="213"/>
      <c r="DND746" s="213"/>
      <c r="DNE746" s="213"/>
      <c r="DNF746" s="213"/>
      <c r="DNG746" s="213"/>
      <c r="DNH746" s="213"/>
      <c r="DNI746" s="213"/>
      <c r="DNJ746" s="213"/>
      <c r="DNK746" s="213"/>
      <c r="DNL746" s="213"/>
      <c r="DNM746" s="213"/>
      <c r="DNN746" s="213"/>
      <c r="DNO746" s="213"/>
      <c r="DNP746" s="213"/>
      <c r="DNQ746" s="213"/>
      <c r="DNR746" s="213"/>
      <c r="DNS746" s="213"/>
      <c r="DNT746" s="213"/>
      <c r="DNU746" s="213"/>
      <c r="DNV746" s="213"/>
      <c r="DNW746" s="213"/>
      <c r="DNX746" s="213"/>
      <c r="DNY746" s="213"/>
      <c r="DNZ746" s="213"/>
      <c r="DOA746" s="213"/>
      <c r="DOB746" s="213"/>
      <c r="DOC746" s="213"/>
      <c r="DOD746" s="213"/>
      <c r="DOE746" s="213"/>
      <c r="DOF746" s="213"/>
      <c r="DOG746" s="213"/>
      <c r="DOH746" s="213"/>
      <c r="DOI746" s="213"/>
      <c r="DOJ746" s="213"/>
      <c r="DOK746" s="213"/>
      <c r="DOL746" s="213"/>
      <c r="DOM746" s="213"/>
      <c r="DON746" s="213"/>
      <c r="DOO746" s="213"/>
      <c r="DOP746" s="213"/>
      <c r="DOQ746" s="213"/>
      <c r="DOR746" s="213"/>
      <c r="DOS746" s="213"/>
      <c r="DOT746" s="213"/>
      <c r="DOU746" s="213"/>
      <c r="DOV746" s="213"/>
      <c r="DOW746" s="213"/>
      <c r="DOX746" s="213"/>
      <c r="DOY746" s="213"/>
      <c r="DOZ746" s="213"/>
      <c r="DPA746" s="213"/>
      <c r="DPB746" s="213"/>
      <c r="DPC746" s="213"/>
      <c r="DPD746" s="213"/>
      <c r="DPE746" s="213"/>
      <c r="DPF746" s="213"/>
      <c r="DPG746" s="213"/>
      <c r="DPH746" s="213"/>
      <c r="DPI746" s="213"/>
      <c r="DPJ746" s="213"/>
      <c r="DPK746" s="213"/>
      <c r="DPL746" s="213"/>
      <c r="DPM746" s="213"/>
      <c r="DPN746" s="213"/>
      <c r="DPO746" s="213"/>
      <c r="DPP746" s="213"/>
      <c r="DPQ746" s="213"/>
      <c r="DPR746" s="213"/>
      <c r="DPS746" s="213"/>
      <c r="DPT746" s="213"/>
      <c r="DPU746" s="213"/>
      <c r="DPV746" s="213"/>
      <c r="DPW746" s="213"/>
      <c r="DPX746" s="213"/>
      <c r="DPY746" s="213"/>
      <c r="DPZ746" s="213"/>
      <c r="DQA746" s="213"/>
      <c r="DQB746" s="213"/>
      <c r="DQC746" s="213"/>
      <c r="DQD746" s="213"/>
      <c r="DQE746" s="213"/>
      <c r="DQF746" s="213"/>
      <c r="DQG746" s="213"/>
      <c r="DQH746" s="213"/>
      <c r="DQI746" s="213"/>
      <c r="DQJ746" s="213"/>
      <c r="DQK746" s="213"/>
      <c r="DQL746" s="213"/>
      <c r="DQM746" s="213"/>
      <c r="DQN746" s="213"/>
      <c r="DQO746" s="213"/>
      <c r="DQP746" s="213"/>
      <c r="DQQ746" s="213"/>
      <c r="DQR746" s="213"/>
      <c r="DQS746" s="213"/>
      <c r="DQT746" s="213"/>
      <c r="DQU746" s="213"/>
      <c r="DQV746" s="213"/>
      <c r="DQW746" s="213"/>
      <c r="DQX746" s="213"/>
      <c r="DQY746" s="213"/>
      <c r="DQZ746" s="213"/>
      <c r="DRA746" s="213"/>
      <c r="DRB746" s="213"/>
      <c r="DRC746" s="213"/>
      <c r="DRD746" s="213"/>
      <c r="DRE746" s="213"/>
      <c r="DRF746" s="213"/>
      <c r="DRG746" s="213"/>
      <c r="DRH746" s="213"/>
      <c r="DRI746" s="213"/>
      <c r="DRJ746" s="213"/>
      <c r="DRK746" s="213"/>
      <c r="DRL746" s="213"/>
      <c r="DRM746" s="213"/>
      <c r="DRN746" s="213"/>
      <c r="DRO746" s="213"/>
      <c r="DRP746" s="213"/>
      <c r="DRQ746" s="213"/>
      <c r="DRR746" s="213"/>
      <c r="DRS746" s="213"/>
      <c r="DRT746" s="213"/>
      <c r="DRU746" s="213"/>
      <c r="DRV746" s="213"/>
      <c r="DRW746" s="213"/>
      <c r="DRX746" s="213"/>
      <c r="DRY746" s="213"/>
      <c r="DRZ746" s="213"/>
      <c r="DSA746" s="213"/>
      <c r="DSB746" s="213"/>
      <c r="DSC746" s="213"/>
      <c r="DSD746" s="213"/>
      <c r="DSE746" s="213"/>
      <c r="DSF746" s="213"/>
      <c r="DSG746" s="213"/>
      <c r="DSH746" s="213"/>
      <c r="DSI746" s="213"/>
      <c r="DSJ746" s="213"/>
      <c r="DSK746" s="213"/>
      <c r="DSL746" s="213"/>
      <c r="DSM746" s="213"/>
      <c r="DSN746" s="213"/>
      <c r="DSO746" s="213"/>
      <c r="DSP746" s="213"/>
      <c r="DSQ746" s="213"/>
      <c r="DSR746" s="213"/>
      <c r="DSS746" s="213"/>
      <c r="DST746" s="213"/>
      <c r="DSU746" s="213"/>
      <c r="DSV746" s="213"/>
      <c r="DSW746" s="213"/>
      <c r="DSX746" s="213"/>
      <c r="DSY746" s="213"/>
      <c r="DSZ746" s="213"/>
      <c r="DTA746" s="213"/>
      <c r="DTB746" s="213"/>
      <c r="DTC746" s="213"/>
      <c r="DTD746" s="213"/>
      <c r="DTE746" s="213"/>
      <c r="DTF746" s="213"/>
      <c r="DTG746" s="213"/>
      <c r="DTH746" s="213"/>
      <c r="DTI746" s="213"/>
      <c r="DTJ746" s="213"/>
      <c r="DTK746" s="213"/>
      <c r="DTL746" s="213"/>
      <c r="DTM746" s="213"/>
      <c r="DTN746" s="213"/>
      <c r="DTO746" s="213"/>
      <c r="DTP746" s="213"/>
      <c r="DTQ746" s="213"/>
      <c r="DTR746" s="213"/>
      <c r="DTS746" s="213"/>
      <c r="DTT746" s="213"/>
      <c r="DTU746" s="213"/>
      <c r="DTV746" s="213"/>
      <c r="DTW746" s="213"/>
      <c r="DTX746" s="213"/>
      <c r="DTY746" s="213"/>
      <c r="DTZ746" s="213"/>
      <c r="DUA746" s="213"/>
      <c r="DUB746" s="213"/>
      <c r="DUC746" s="213"/>
      <c r="DUD746" s="213"/>
      <c r="DUE746" s="213"/>
      <c r="DUF746" s="213"/>
      <c r="DUG746" s="213"/>
      <c r="DUH746" s="213"/>
      <c r="DUI746" s="213"/>
      <c r="DUJ746" s="213"/>
      <c r="DUK746" s="213"/>
      <c r="DUL746" s="213"/>
      <c r="DUM746" s="213"/>
      <c r="DUN746" s="213"/>
      <c r="DUO746" s="213"/>
      <c r="DUP746" s="213"/>
      <c r="DUQ746" s="213"/>
      <c r="DUR746" s="213"/>
      <c r="DUS746" s="213"/>
      <c r="DUT746" s="213"/>
      <c r="DUU746" s="213"/>
      <c r="DUV746" s="213"/>
      <c r="DUW746" s="213"/>
      <c r="DUX746" s="213"/>
      <c r="DUY746" s="213"/>
      <c r="DUZ746" s="213"/>
      <c r="DVA746" s="213"/>
      <c r="DVB746" s="213"/>
      <c r="DVC746" s="213"/>
      <c r="DVD746" s="213"/>
      <c r="DVE746" s="213"/>
      <c r="DVF746" s="213"/>
      <c r="DVG746" s="213"/>
      <c r="DVH746" s="213"/>
      <c r="DVI746" s="213"/>
      <c r="DVJ746" s="213"/>
      <c r="DVK746" s="213"/>
      <c r="DVL746" s="213"/>
      <c r="DVM746" s="213"/>
      <c r="DVN746" s="213"/>
      <c r="DVO746" s="213"/>
      <c r="DVP746" s="213"/>
      <c r="DVQ746" s="213"/>
      <c r="DVR746" s="213"/>
      <c r="DVS746" s="213"/>
      <c r="DVT746" s="213"/>
      <c r="DVU746" s="213"/>
      <c r="DVV746" s="213"/>
      <c r="DVW746" s="213"/>
      <c r="DVX746" s="213"/>
      <c r="DVY746" s="213"/>
      <c r="DVZ746" s="213"/>
      <c r="DWA746" s="213"/>
      <c r="DWB746" s="213"/>
      <c r="DWC746" s="213"/>
      <c r="DWD746" s="213"/>
      <c r="DWE746" s="213"/>
      <c r="DWF746" s="213"/>
      <c r="DWG746" s="213"/>
      <c r="DWH746" s="213"/>
      <c r="DWI746" s="213"/>
      <c r="DWJ746" s="213"/>
      <c r="DWK746" s="213"/>
      <c r="DWL746" s="213"/>
      <c r="DWM746" s="213"/>
      <c r="DWN746" s="213"/>
      <c r="DWO746" s="213"/>
      <c r="DWP746" s="213"/>
      <c r="DWQ746" s="213"/>
      <c r="DWR746" s="213"/>
      <c r="DWS746" s="213"/>
      <c r="DWT746" s="213"/>
      <c r="DWU746" s="213"/>
      <c r="DWV746" s="213"/>
      <c r="DWW746" s="213"/>
      <c r="DWX746" s="213"/>
      <c r="DWY746" s="213"/>
      <c r="DWZ746" s="213"/>
      <c r="DXA746" s="213"/>
      <c r="DXB746" s="213"/>
      <c r="DXC746" s="213"/>
      <c r="DXD746" s="213"/>
      <c r="DXE746" s="213"/>
      <c r="DXF746" s="213"/>
      <c r="DXG746" s="213"/>
      <c r="DXH746" s="213"/>
      <c r="DXI746" s="213"/>
      <c r="DXJ746" s="213"/>
      <c r="DXK746" s="213"/>
      <c r="DXL746" s="213"/>
      <c r="DXM746" s="213"/>
      <c r="DXN746" s="213"/>
      <c r="DXO746" s="213"/>
      <c r="DXP746" s="213"/>
      <c r="DXQ746" s="213"/>
      <c r="DXR746" s="213"/>
      <c r="DXS746" s="213"/>
      <c r="DXT746" s="213"/>
      <c r="DXU746" s="213"/>
      <c r="DXV746" s="213"/>
      <c r="DXW746" s="213"/>
      <c r="DXX746" s="213"/>
      <c r="DXY746" s="213"/>
      <c r="DXZ746" s="213"/>
      <c r="DYA746" s="213"/>
      <c r="DYB746" s="213"/>
      <c r="DYC746" s="213"/>
      <c r="DYD746" s="213"/>
      <c r="DYE746" s="213"/>
      <c r="DYF746" s="213"/>
      <c r="DYG746" s="213"/>
      <c r="DYH746" s="213"/>
      <c r="DYI746" s="213"/>
      <c r="DYJ746" s="213"/>
      <c r="DYK746" s="213"/>
      <c r="DYL746" s="213"/>
      <c r="DYM746" s="213"/>
      <c r="DYN746" s="213"/>
      <c r="DYO746" s="213"/>
      <c r="DYP746" s="213"/>
      <c r="DYQ746" s="213"/>
      <c r="DYR746" s="213"/>
      <c r="DYS746" s="213"/>
      <c r="DYT746" s="213"/>
      <c r="DYU746" s="213"/>
      <c r="DYV746" s="213"/>
      <c r="DYW746" s="213"/>
      <c r="DYX746" s="213"/>
      <c r="DYY746" s="213"/>
      <c r="DYZ746" s="213"/>
      <c r="DZA746" s="213"/>
      <c r="DZB746" s="213"/>
      <c r="DZC746" s="213"/>
      <c r="DZD746" s="213"/>
      <c r="DZE746" s="213"/>
      <c r="DZF746" s="213"/>
      <c r="DZG746" s="213"/>
      <c r="DZH746" s="213"/>
      <c r="DZI746" s="213"/>
      <c r="DZJ746" s="213"/>
      <c r="DZK746" s="213"/>
      <c r="DZL746" s="213"/>
      <c r="DZM746" s="213"/>
      <c r="DZN746" s="213"/>
      <c r="DZO746" s="213"/>
      <c r="DZP746" s="213"/>
      <c r="DZQ746" s="213"/>
      <c r="DZR746" s="213"/>
      <c r="DZS746" s="213"/>
      <c r="DZT746" s="213"/>
      <c r="DZU746" s="213"/>
      <c r="DZV746" s="213"/>
      <c r="DZW746" s="213"/>
      <c r="DZX746" s="213"/>
      <c r="DZY746" s="213"/>
      <c r="DZZ746" s="213"/>
      <c r="EAA746" s="213"/>
      <c r="EAB746" s="213"/>
      <c r="EAC746" s="213"/>
      <c r="EAD746" s="213"/>
      <c r="EAE746" s="213"/>
      <c r="EAF746" s="213"/>
      <c r="EAG746" s="213"/>
      <c r="EAH746" s="213"/>
      <c r="EAI746" s="213"/>
      <c r="EAJ746" s="213"/>
      <c r="EAK746" s="213"/>
      <c r="EAL746" s="213"/>
      <c r="EAM746" s="213"/>
      <c r="EAN746" s="213"/>
      <c r="EAO746" s="213"/>
      <c r="EAP746" s="213"/>
      <c r="EAQ746" s="213"/>
      <c r="EAR746" s="213"/>
      <c r="EAS746" s="213"/>
      <c r="EAT746" s="213"/>
      <c r="EAU746" s="213"/>
      <c r="EAV746" s="213"/>
      <c r="EAW746" s="213"/>
      <c r="EAX746" s="213"/>
      <c r="EAY746" s="213"/>
      <c r="EAZ746" s="213"/>
      <c r="EBA746" s="213"/>
      <c r="EBB746" s="213"/>
      <c r="EBC746" s="213"/>
      <c r="EBD746" s="213"/>
      <c r="EBE746" s="213"/>
      <c r="EBF746" s="213"/>
      <c r="EBG746" s="213"/>
      <c r="EBH746" s="213"/>
      <c r="EBI746" s="213"/>
      <c r="EBJ746" s="213"/>
      <c r="EBK746" s="213"/>
      <c r="EBL746" s="213"/>
      <c r="EBM746" s="213"/>
      <c r="EBN746" s="213"/>
      <c r="EBO746" s="213"/>
      <c r="EBP746" s="213"/>
      <c r="EBQ746" s="213"/>
      <c r="EBR746" s="213"/>
      <c r="EBS746" s="213"/>
      <c r="EBT746" s="213"/>
      <c r="EBU746" s="213"/>
      <c r="EBV746" s="213"/>
      <c r="EBW746" s="213"/>
      <c r="EBX746" s="213"/>
      <c r="EBY746" s="213"/>
      <c r="EBZ746" s="213"/>
      <c r="ECA746" s="213"/>
      <c r="ECB746" s="213"/>
      <c r="ECC746" s="213"/>
      <c r="ECD746" s="213"/>
      <c r="ECE746" s="213"/>
      <c r="ECF746" s="213"/>
      <c r="ECG746" s="213"/>
      <c r="ECH746" s="213"/>
      <c r="ECI746" s="213"/>
      <c r="ECJ746" s="213"/>
      <c r="ECK746" s="213"/>
      <c r="ECL746" s="213"/>
      <c r="ECM746" s="213"/>
      <c r="ECN746" s="213"/>
      <c r="ECO746" s="213"/>
      <c r="ECP746" s="213"/>
      <c r="ECQ746" s="213"/>
      <c r="ECR746" s="213"/>
      <c r="ECS746" s="213"/>
      <c r="ECT746" s="213"/>
      <c r="ECU746" s="213"/>
      <c r="ECV746" s="213"/>
      <c r="ECW746" s="213"/>
      <c r="ECX746" s="213"/>
      <c r="ECY746" s="213"/>
      <c r="ECZ746" s="213"/>
      <c r="EDA746" s="213"/>
      <c r="EDB746" s="213"/>
      <c r="EDC746" s="213"/>
      <c r="EDD746" s="213"/>
      <c r="EDE746" s="213"/>
      <c r="EDF746" s="213"/>
      <c r="EDG746" s="213"/>
      <c r="EDH746" s="213"/>
      <c r="EDI746" s="213"/>
      <c r="EDJ746" s="213"/>
      <c r="EDK746" s="213"/>
      <c r="EDL746" s="213"/>
      <c r="EDM746" s="213"/>
      <c r="EDN746" s="213"/>
      <c r="EDO746" s="213"/>
      <c r="EDP746" s="213"/>
      <c r="EDQ746" s="213"/>
      <c r="EDR746" s="213"/>
      <c r="EDS746" s="213"/>
      <c r="EDT746" s="213"/>
      <c r="EDU746" s="213"/>
      <c r="EDV746" s="213"/>
      <c r="EDW746" s="213"/>
      <c r="EDX746" s="213"/>
      <c r="EDY746" s="213"/>
      <c r="EDZ746" s="213"/>
      <c r="EEA746" s="213"/>
      <c r="EEB746" s="213"/>
      <c r="EEC746" s="213"/>
      <c r="EED746" s="213"/>
      <c r="EEE746" s="213"/>
      <c r="EEF746" s="213"/>
      <c r="EEG746" s="213"/>
      <c r="EEH746" s="213"/>
      <c r="EEI746" s="213"/>
      <c r="EEJ746" s="213"/>
      <c r="EEK746" s="213"/>
      <c r="EEL746" s="213"/>
      <c r="EEM746" s="213"/>
      <c r="EEN746" s="213"/>
      <c r="EEO746" s="213"/>
      <c r="EEP746" s="213"/>
      <c r="EEQ746" s="213"/>
      <c r="EER746" s="213"/>
      <c r="EES746" s="213"/>
      <c r="EET746" s="213"/>
      <c r="EEU746" s="213"/>
      <c r="EEV746" s="213"/>
      <c r="EEW746" s="213"/>
      <c r="EEX746" s="213"/>
      <c r="EEY746" s="213"/>
      <c r="EEZ746" s="213"/>
      <c r="EFA746" s="213"/>
      <c r="EFB746" s="213"/>
      <c r="EFC746" s="213"/>
      <c r="EFD746" s="213"/>
      <c r="EFE746" s="213"/>
      <c r="EFF746" s="213"/>
      <c r="EFG746" s="213"/>
      <c r="EFH746" s="213"/>
      <c r="EFI746" s="213"/>
      <c r="EFJ746" s="213"/>
      <c r="EFK746" s="213"/>
      <c r="EFL746" s="213"/>
      <c r="EFM746" s="213"/>
      <c r="EFN746" s="213"/>
      <c r="EFO746" s="213"/>
      <c r="EFP746" s="213"/>
      <c r="EFQ746" s="213"/>
      <c r="EFR746" s="213"/>
      <c r="EFS746" s="213"/>
      <c r="EFT746" s="213"/>
      <c r="EFU746" s="213"/>
      <c r="EFV746" s="213"/>
      <c r="EFW746" s="213"/>
      <c r="EFX746" s="213"/>
      <c r="EFY746" s="213"/>
      <c r="EFZ746" s="213"/>
      <c r="EGA746" s="213"/>
      <c r="EGB746" s="213"/>
      <c r="EGC746" s="213"/>
      <c r="EGD746" s="213"/>
      <c r="EGE746" s="213"/>
      <c r="EGF746" s="213"/>
      <c r="EGG746" s="213"/>
      <c r="EGH746" s="213"/>
      <c r="EGI746" s="213"/>
      <c r="EGJ746" s="213"/>
      <c r="EGK746" s="213"/>
      <c r="EGL746" s="213"/>
      <c r="EGM746" s="213"/>
      <c r="EGN746" s="213"/>
      <c r="EGO746" s="213"/>
      <c r="EGP746" s="213"/>
      <c r="EGQ746" s="213"/>
      <c r="EGR746" s="213"/>
      <c r="EGS746" s="213"/>
      <c r="EGT746" s="213"/>
      <c r="EGU746" s="213"/>
      <c r="EGV746" s="213"/>
      <c r="EGW746" s="213"/>
      <c r="EGX746" s="213"/>
      <c r="EGY746" s="213"/>
      <c r="EGZ746" s="213"/>
      <c r="EHA746" s="213"/>
      <c r="EHB746" s="213"/>
      <c r="EHC746" s="213"/>
      <c r="EHD746" s="213"/>
      <c r="EHE746" s="213"/>
      <c r="EHF746" s="213"/>
      <c r="EHG746" s="213"/>
      <c r="EHH746" s="213"/>
      <c r="EHI746" s="213"/>
      <c r="EHJ746" s="213"/>
      <c r="EHK746" s="213"/>
      <c r="EHL746" s="213"/>
      <c r="EHM746" s="213"/>
      <c r="EHN746" s="213"/>
      <c r="EHO746" s="213"/>
      <c r="EHP746" s="213"/>
      <c r="EHQ746" s="213"/>
      <c r="EHR746" s="213"/>
      <c r="EHS746" s="213"/>
      <c r="EHT746" s="213"/>
      <c r="EHU746" s="213"/>
      <c r="EHV746" s="213"/>
      <c r="EHW746" s="213"/>
      <c r="EHX746" s="213"/>
      <c r="EHY746" s="213"/>
      <c r="EHZ746" s="213"/>
      <c r="EIA746" s="213"/>
      <c r="EIB746" s="213"/>
      <c r="EIC746" s="213"/>
      <c r="EID746" s="213"/>
      <c r="EIE746" s="213"/>
      <c r="EIF746" s="213"/>
      <c r="EIG746" s="213"/>
      <c r="EIH746" s="213"/>
      <c r="EII746" s="213"/>
      <c r="EIJ746" s="213"/>
      <c r="EIK746" s="213"/>
      <c r="EIL746" s="213"/>
      <c r="EIM746" s="213"/>
      <c r="EIN746" s="213"/>
      <c r="EIO746" s="213"/>
      <c r="EIP746" s="213"/>
      <c r="EIQ746" s="213"/>
      <c r="EIR746" s="213"/>
      <c r="EIS746" s="213"/>
      <c r="EIT746" s="213"/>
      <c r="EIU746" s="213"/>
      <c r="EIV746" s="213"/>
      <c r="EIW746" s="213"/>
      <c r="EIX746" s="213"/>
      <c r="EIY746" s="213"/>
      <c r="EIZ746" s="213"/>
      <c r="EJA746" s="213"/>
      <c r="EJB746" s="213"/>
      <c r="EJC746" s="213"/>
      <c r="EJD746" s="213"/>
      <c r="EJE746" s="213"/>
      <c r="EJF746" s="213"/>
      <c r="EJG746" s="213"/>
      <c r="EJH746" s="213"/>
      <c r="EJI746" s="213"/>
      <c r="EJJ746" s="213"/>
      <c r="EJK746" s="213"/>
      <c r="EJL746" s="213"/>
      <c r="EJM746" s="213"/>
      <c r="EJN746" s="213"/>
      <c r="EJO746" s="213"/>
      <c r="EJP746" s="213"/>
      <c r="EJQ746" s="213"/>
      <c r="EJR746" s="213"/>
      <c r="EJS746" s="213"/>
      <c r="EJT746" s="213"/>
      <c r="EJU746" s="213"/>
      <c r="EJV746" s="213"/>
      <c r="EJW746" s="213"/>
      <c r="EJX746" s="213"/>
      <c r="EJY746" s="213"/>
      <c r="EJZ746" s="213"/>
      <c r="EKA746" s="213"/>
      <c r="EKB746" s="213"/>
      <c r="EKC746" s="213"/>
      <c r="EKD746" s="213"/>
      <c r="EKE746" s="213"/>
      <c r="EKF746" s="213"/>
      <c r="EKG746" s="213"/>
      <c r="EKH746" s="213"/>
      <c r="EKI746" s="213"/>
      <c r="EKJ746" s="213"/>
      <c r="EKK746" s="213"/>
      <c r="EKL746" s="213"/>
      <c r="EKM746" s="213"/>
      <c r="EKN746" s="213"/>
      <c r="EKO746" s="213"/>
      <c r="EKP746" s="213"/>
      <c r="EKQ746" s="213"/>
      <c r="EKR746" s="213"/>
      <c r="EKS746" s="213"/>
      <c r="EKT746" s="213"/>
      <c r="EKU746" s="213"/>
      <c r="EKV746" s="213"/>
      <c r="EKW746" s="213"/>
      <c r="EKX746" s="213"/>
      <c r="EKY746" s="213"/>
      <c r="EKZ746" s="213"/>
      <c r="ELA746" s="213"/>
      <c r="ELB746" s="213"/>
      <c r="ELC746" s="213"/>
      <c r="ELD746" s="213"/>
      <c r="ELE746" s="213"/>
      <c r="ELF746" s="213"/>
      <c r="ELG746" s="213"/>
      <c r="ELH746" s="213"/>
      <c r="ELI746" s="213"/>
      <c r="ELJ746" s="213"/>
      <c r="ELK746" s="213"/>
      <c r="ELL746" s="213"/>
      <c r="ELM746" s="213"/>
      <c r="ELN746" s="213"/>
      <c r="ELO746" s="213"/>
      <c r="ELP746" s="213"/>
      <c r="ELQ746" s="213"/>
      <c r="ELR746" s="213"/>
      <c r="ELS746" s="213"/>
      <c r="ELT746" s="213"/>
      <c r="ELU746" s="213"/>
      <c r="ELV746" s="213"/>
      <c r="ELW746" s="213"/>
      <c r="ELX746" s="213"/>
      <c r="ELY746" s="213"/>
      <c r="ELZ746" s="213"/>
      <c r="EMA746" s="213"/>
      <c r="EMB746" s="213"/>
      <c r="EMC746" s="213"/>
      <c r="EMD746" s="213"/>
      <c r="EME746" s="213"/>
      <c r="EMF746" s="213"/>
      <c r="EMG746" s="213"/>
      <c r="EMH746" s="213"/>
      <c r="EMI746" s="213"/>
      <c r="EMJ746" s="213"/>
      <c r="EMK746" s="213"/>
      <c r="EML746" s="213"/>
      <c r="EMM746" s="213"/>
      <c r="EMN746" s="213"/>
      <c r="EMO746" s="213"/>
      <c r="EMP746" s="213"/>
      <c r="EMQ746" s="213"/>
      <c r="EMR746" s="213"/>
      <c r="EMS746" s="213"/>
      <c r="EMT746" s="213"/>
      <c r="EMU746" s="213"/>
      <c r="EMV746" s="213"/>
      <c r="EMW746" s="213"/>
      <c r="EMX746" s="213"/>
      <c r="EMY746" s="213"/>
      <c r="EMZ746" s="213"/>
      <c r="ENA746" s="213"/>
      <c r="ENB746" s="213"/>
      <c r="ENC746" s="213"/>
      <c r="END746" s="213"/>
      <c r="ENE746" s="213"/>
      <c r="ENF746" s="213"/>
      <c r="ENG746" s="213"/>
      <c r="ENH746" s="213"/>
      <c r="ENI746" s="213"/>
      <c r="ENJ746" s="213"/>
      <c r="ENK746" s="213"/>
      <c r="ENL746" s="213"/>
      <c r="ENM746" s="213"/>
      <c r="ENN746" s="213"/>
      <c r="ENO746" s="213"/>
      <c r="ENP746" s="213"/>
      <c r="ENQ746" s="213"/>
      <c r="ENR746" s="213"/>
      <c r="ENS746" s="213"/>
      <c r="ENT746" s="213"/>
      <c r="ENU746" s="213"/>
      <c r="ENV746" s="213"/>
      <c r="ENW746" s="213"/>
      <c r="ENX746" s="213"/>
      <c r="ENY746" s="213"/>
      <c r="ENZ746" s="213"/>
      <c r="EOA746" s="213"/>
      <c r="EOB746" s="213"/>
      <c r="EOC746" s="213"/>
      <c r="EOD746" s="213"/>
      <c r="EOE746" s="213"/>
      <c r="EOF746" s="213"/>
      <c r="EOG746" s="213"/>
      <c r="EOH746" s="213"/>
      <c r="EOI746" s="213"/>
      <c r="EOJ746" s="213"/>
      <c r="EOK746" s="213"/>
      <c r="EOL746" s="213"/>
      <c r="EOM746" s="213"/>
      <c r="EON746" s="213"/>
      <c r="EOO746" s="213"/>
      <c r="EOP746" s="213"/>
      <c r="EOQ746" s="213"/>
      <c r="EOR746" s="213"/>
      <c r="EOS746" s="213"/>
      <c r="EOT746" s="213"/>
      <c r="EOU746" s="213"/>
      <c r="EOV746" s="213"/>
      <c r="EOW746" s="213"/>
      <c r="EOX746" s="213"/>
      <c r="EOY746" s="213"/>
      <c r="EOZ746" s="213"/>
      <c r="EPA746" s="213"/>
      <c r="EPB746" s="213"/>
      <c r="EPC746" s="213"/>
      <c r="EPD746" s="213"/>
      <c r="EPE746" s="213"/>
      <c r="EPF746" s="213"/>
      <c r="EPG746" s="213"/>
      <c r="EPH746" s="213"/>
      <c r="EPI746" s="213"/>
      <c r="EPJ746" s="213"/>
      <c r="EPK746" s="213"/>
      <c r="EPL746" s="213"/>
      <c r="EPM746" s="213"/>
      <c r="EPN746" s="213"/>
      <c r="EPO746" s="213"/>
      <c r="EPP746" s="213"/>
      <c r="EPQ746" s="213"/>
      <c r="EPR746" s="213"/>
      <c r="EPS746" s="213"/>
      <c r="EPT746" s="213"/>
      <c r="EPU746" s="213"/>
      <c r="EPV746" s="213"/>
      <c r="EPW746" s="213"/>
      <c r="EPX746" s="213"/>
      <c r="EPY746" s="213"/>
      <c r="EPZ746" s="213"/>
      <c r="EQA746" s="213"/>
      <c r="EQB746" s="213"/>
      <c r="EQC746" s="213"/>
      <c r="EQD746" s="213"/>
      <c r="EQE746" s="213"/>
      <c r="EQF746" s="213"/>
      <c r="EQG746" s="213"/>
      <c r="EQH746" s="213"/>
      <c r="EQI746" s="213"/>
      <c r="EQJ746" s="213"/>
      <c r="EQK746" s="213"/>
      <c r="EQL746" s="213"/>
      <c r="EQM746" s="213"/>
      <c r="EQN746" s="213"/>
      <c r="EQO746" s="213"/>
      <c r="EQP746" s="213"/>
      <c r="EQQ746" s="213"/>
      <c r="EQR746" s="213"/>
      <c r="EQS746" s="213"/>
      <c r="EQT746" s="213"/>
      <c r="EQU746" s="213"/>
      <c r="EQV746" s="213"/>
      <c r="EQW746" s="213"/>
      <c r="EQX746" s="213"/>
      <c r="EQY746" s="213"/>
      <c r="EQZ746" s="213"/>
      <c r="ERA746" s="213"/>
      <c r="ERB746" s="213"/>
      <c r="ERC746" s="213"/>
      <c r="ERD746" s="213"/>
      <c r="ERE746" s="213"/>
      <c r="ERF746" s="213"/>
      <c r="ERG746" s="213"/>
      <c r="ERH746" s="213"/>
      <c r="ERI746" s="213"/>
      <c r="ERJ746" s="213"/>
      <c r="ERK746" s="213"/>
      <c r="ERL746" s="213"/>
      <c r="ERM746" s="213"/>
      <c r="ERN746" s="213"/>
      <c r="ERO746" s="213"/>
      <c r="ERP746" s="213"/>
      <c r="ERQ746" s="213"/>
      <c r="ERR746" s="213"/>
      <c r="ERS746" s="213"/>
      <c r="ERT746" s="213"/>
      <c r="ERU746" s="213"/>
      <c r="ERV746" s="213"/>
      <c r="ERW746" s="213"/>
      <c r="ERX746" s="213"/>
      <c r="ERY746" s="213"/>
      <c r="ERZ746" s="213"/>
      <c r="ESA746" s="213"/>
      <c r="ESB746" s="213"/>
      <c r="ESC746" s="213"/>
      <c r="ESD746" s="213"/>
      <c r="ESE746" s="213"/>
      <c r="ESF746" s="213"/>
      <c r="ESG746" s="213"/>
      <c r="ESH746" s="213"/>
      <c r="ESI746" s="213"/>
      <c r="ESJ746" s="213"/>
      <c r="ESK746" s="213"/>
      <c r="ESL746" s="213"/>
      <c r="ESM746" s="213"/>
      <c r="ESN746" s="213"/>
      <c r="ESO746" s="213"/>
      <c r="ESP746" s="213"/>
      <c r="ESQ746" s="213"/>
      <c r="ESR746" s="213"/>
      <c r="ESS746" s="213"/>
      <c r="EST746" s="213"/>
      <c r="ESU746" s="213"/>
      <c r="ESV746" s="213"/>
      <c r="ESW746" s="213"/>
      <c r="ESX746" s="213"/>
      <c r="ESY746" s="213"/>
      <c r="ESZ746" s="213"/>
      <c r="ETA746" s="213"/>
      <c r="ETB746" s="213"/>
      <c r="ETC746" s="213"/>
      <c r="ETD746" s="213"/>
      <c r="ETE746" s="213"/>
      <c r="ETF746" s="213"/>
      <c r="ETG746" s="213"/>
      <c r="ETH746" s="213"/>
      <c r="ETI746" s="213"/>
      <c r="ETJ746" s="213"/>
      <c r="ETK746" s="213"/>
      <c r="ETL746" s="213"/>
      <c r="ETM746" s="213"/>
      <c r="ETN746" s="213"/>
      <c r="ETO746" s="213"/>
      <c r="ETP746" s="213"/>
      <c r="ETQ746" s="213"/>
      <c r="ETR746" s="213"/>
      <c r="ETS746" s="213"/>
      <c r="ETT746" s="213"/>
      <c r="ETU746" s="213"/>
      <c r="ETV746" s="213"/>
      <c r="ETW746" s="213"/>
      <c r="ETX746" s="213"/>
      <c r="ETY746" s="213"/>
      <c r="ETZ746" s="213"/>
      <c r="EUA746" s="213"/>
      <c r="EUB746" s="213"/>
      <c r="EUC746" s="213"/>
      <c r="EUD746" s="213"/>
      <c r="EUE746" s="213"/>
      <c r="EUF746" s="213"/>
      <c r="EUG746" s="213"/>
      <c r="EUH746" s="213"/>
      <c r="EUI746" s="213"/>
      <c r="EUJ746" s="213"/>
      <c r="EUK746" s="213"/>
      <c r="EUL746" s="213"/>
      <c r="EUM746" s="213"/>
      <c r="EUN746" s="213"/>
      <c r="EUO746" s="213"/>
      <c r="EUP746" s="213"/>
      <c r="EUQ746" s="213"/>
      <c r="EUR746" s="213"/>
      <c r="EUS746" s="213"/>
      <c r="EUT746" s="213"/>
      <c r="EUU746" s="213"/>
      <c r="EUV746" s="213"/>
      <c r="EUW746" s="213"/>
      <c r="EUX746" s="213"/>
      <c r="EUY746" s="213"/>
      <c r="EUZ746" s="213"/>
      <c r="EVA746" s="213"/>
      <c r="EVB746" s="213"/>
      <c r="EVC746" s="213"/>
      <c r="EVD746" s="213"/>
      <c r="EVE746" s="213"/>
      <c r="EVF746" s="213"/>
      <c r="EVG746" s="213"/>
      <c r="EVH746" s="213"/>
      <c r="EVI746" s="213"/>
      <c r="EVJ746" s="213"/>
      <c r="EVK746" s="213"/>
      <c r="EVL746" s="213"/>
      <c r="EVM746" s="213"/>
      <c r="EVN746" s="213"/>
      <c r="EVO746" s="213"/>
      <c r="EVP746" s="213"/>
      <c r="EVQ746" s="213"/>
      <c r="EVR746" s="213"/>
      <c r="EVS746" s="213"/>
      <c r="EVT746" s="213"/>
      <c r="EVU746" s="213"/>
      <c r="EVV746" s="213"/>
      <c r="EVW746" s="213"/>
      <c r="EVX746" s="213"/>
      <c r="EVY746" s="213"/>
      <c r="EVZ746" s="213"/>
      <c r="EWA746" s="213"/>
      <c r="EWB746" s="213"/>
      <c r="EWC746" s="213"/>
      <c r="EWD746" s="213"/>
      <c r="EWE746" s="213"/>
      <c r="EWF746" s="213"/>
      <c r="EWG746" s="213"/>
      <c r="EWH746" s="213"/>
      <c r="EWI746" s="213"/>
      <c r="EWJ746" s="213"/>
      <c r="EWK746" s="213"/>
      <c r="EWL746" s="213"/>
      <c r="EWM746" s="213"/>
      <c r="EWN746" s="213"/>
      <c r="EWO746" s="213"/>
      <c r="EWP746" s="213"/>
      <c r="EWQ746" s="213"/>
      <c r="EWR746" s="213"/>
      <c r="EWS746" s="213"/>
      <c r="EWT746" s="213"/>
      <c r="EWU746" s="213"/>
      <c r="EWV746" s="213"/>
      <c r="EWW746" s="213"/>
      <c r="EWX746" s="213"/>
      <c r="EWY746" s="213"/>
      <c r="EWZ746" s="213"/>
      <c r="EXA746" s="213"/>
      <c r="EXB746" s="213"/>
      <c r="EXC746" s="213"/>
      <c r="EXD746" s="213"/>
      <c r="EXE746" s="213"/>
      <c r="EXF746" s="213"/>
      <c r="EXG746" s="213"/>
      <c r="EXH746" s="213"/>
      <c r="EXI746" s="213"/>
      <c r="EXJ746" s="213"/>
      <c r="EXK746" s="213"/>
      <c r="EXL746" s="213"/>
      <c r="EXM746" s="213"/>
      <c r="EXN746" s="213"/>
      <c r="EXO746" s="213"/>
      <c r="EXP746" s="213"/>
      <c r="EXQ746" s="213"/>
      <c r="EXR746" s="213"/>
      <c r="EXS746" s="213"/>
      <c r="EXT746" s="213"/>
      <c r="EXU746" s="213"/>
      <c r="EXV746" s="213"/>
      <c r="EXW746" s="213"/>
      <c r="EXX746" s="213"/>
      <c r="EXY746" s="213"/>
      <c r="EXZ746" s="213"/>
      <c r="EYA746" s="213"/>
      <c r="EYB746" s="213"/>
      <c r="EYC746" s="213"/>
      <c r="EYD746" s="213"/>
      <c r="EYE746" s="213"/>
      <c r="EYF746" s="213"/>
      <c r="EYG746" s="213"/>
      <c r="EYH746" s="213"/>
      <c r="EYI746" s="213"/>
      <c r="EYJ746" s="213"/>
      <c r="EYK746" s="213"/>
      <c r="EYL746" s="213"/>
      <c r="EYM746" s="213"/>
      <c r="EYN746" s="213"/>
      <c r="EYO746" s="213"/>
      <c r="EYP746" s="213"/>
      <c r="EYQ746" s="213"/>
      <c r="EYR746" s="213"/>
      <c r="EYS746" s="213"/>
      <c r="EYT746" s="213"/>
      <c r="EYU746" s="213"/>
      <c r="EYV746" s="213"/>
      <c r="EYW746" s="213"/>
      <c r="EYX746" s="213"/>
      <c r="EYY746" s="213"/>
      <c r="EYZ746" s="213"/>
      <c r="EZA746" s="213"/>
      <c r="EZB746" s="213"/>
      <c r="EZC746" s="213"/>
      <c r="EZD746" s="213"/>
      <c r="EZE746" s="213"/>
      <c r="EZF746" s="213"/>
      <c r="EZG746" s="213"/>
      <c r="EZH746" s="213"/>
      <c r="EZI746" s="213"/>
      <c r="EZJ746" s="213"/>
      <c r="EZK746" s="213"/>
      <c r="EZL746" s="213"/>
      <c r="EZM746" s="213"/>
      <c r="EZN746" s="213"/>
      <c r="EZO746" s="213"/>
      <c r="EZP746" s="213"/>
      <c r="EZQ746" s="213"/>
      <c r="EZR746" s="213"/>
      <c r="EZS746" s="213"/>
      <c r="EZT746" s="213"/>
      <c r="EZU746" s="213"/>
      <c r="EZV746" s="213"/>
      <c r="EZW746" s="213"/>
      <c r="EZX746" s="213"/>
      <c r="EZY746" s="213"/>
      <c r="EZZ746" s="213"/>
      <c r="FAA746" s="213"/>
      <c r="FAB746" s="213"/>
      <c r="FAC746" s="213"/>
      <c r="FAD746" s="213"/>
      <c r="FAE746" s="213"/>
      <c r="FAF746" s="213"/>
      <c r="FAG746" s="213"/>
      <c r="FAH746" s="213"/>
      <c r="FAI746" s="213"/>
      <c r="FAJ746" s="213"/>
      <c r="FAK746" s="213"/>
      <c r="FAL746" s="213"/>
      <c r="FAM746" s="213"/>
      <c r="FAN746" s="213"/>
      <c r="FAO746" s="213"/>
      <c r="FAP746" s="213"/>
      <c r="FAQ746" s="213"/>
      <c r="FAR746" s="213"/>
      <c r="FAS746" s="213"/>
      <c r="FAT746" s="213"/>
      <c r="FAU746" s="213"/>
      <c r="FAV746" s="213"/>
      <c r="FAW746" s="213"/>
      <c r="FAX746" s="213"/>
      <c r="FAY746" s="213"/>
      <c r="FAZ746" s="213"/>
      <c r="FBA746" s="213"/>
      <c r="FBB746" s="213"/>
      <c r="FBC746" s="213"/>
      <c r="FBD746" s="213"/>
      <c r="FBE746" s="213"/>
      <c r="FBF746" s="213"/>
      <c r="FBG746" s="213"/>
      <c r="FBH746" s="213"/>
      <c r="FBI746" s="213"/>
      <c r="FBJ746" s="213"/>
      <c r="FBK746" s="213"/>
      <c r="FBL746" s="213"/>
      <c r="FBM746" s="213"/>
      <c r="FBN746" s="213"/>
      <c r="FBO746" s="213"/>
      <c r="FBP746" s="213"/>
      <c r="FBQ746" s="213"/>
      <c r="FBR746" s="213"/>
      <c r="FBS746" s="213"/>
      <c r="FBT746" s="213"/>
      <c r="FBU746" s="213"/>
      <c r="FBV746" s="213"/>
      <c r="FBW746" s="213"/>
      <c r="FBX746" s="213"/>
      <c r="FBY746" s="213"/>
      <c r="FBZ746" s="213"/>
      <c r="FCA746" s="213"/>
      <c r="FCB746" s="213"/>
      <c r="FCC746" s="213"/>
      <c r="FCD746" s="213"/>
      <c r="FCE746" s="213"/>
      <c r="FCF746" s="213"/>
      <c r="FCG746" s="213"/>
      <c r="FCH746" s="213"/>
      <c r="FCI746" s="213"/>
      <c r="FCJ746" s="213"/>
      <c r="FCK746" s="213"/>
      <c r="FCL746" s="213"/>
      <c r="FCM746" s="213"/>
      <c r="FCN746" s="213"/>
      <c r="FCO746" s="213"/>
      <c r="FCP746" s="213"/>
      <c r="FCQ746" s="213"/>
      <c r="FCR746" s="213"/>
      <c r="FCS746" s="213"/>
      <c r="FCT746" s="213"/>
      <c r="FCU746" s="213"/>
      <c r="FCV746" s="213"/>
      <c r="FCW746" s="213"/>
      <c r="FCX746" s="213"/>
      <c r="FCY746" s="213"/>
      <c r="FCZ746" s="213"/>
      <c r="FDA746" s="213"/>
      <c r="FDB746" s="213"/>
      <c r="FDC746" s="213"/>
      <c r="FDD746" s="213"/>
      <c r="FDE746" s="213"/>
      <c r="FDF746" s="213"/>
      <c r="FDG746" s="213"/>
      <c r="FDH746" s="213"/>
      <c r="FDI746" s="213"/>
      <c r="FDJ746" s="213"/>
      <c r="FDK746" s="213"/>
      <c r="FDL746" s="213"/>
      <c r="FDM746" s="213"/>
      <c r="FDN746" s="213"/>
      <c r="FDO746" s="213"/>
      <c r="FDP746" s="213"/>
      <c r="FDQ746" s="213"/>
      <c r="FDR746" s="213"/>
      <c r="FDS746" s="213"/>
      <c r="FDT746" s="213"/>
      <c r="FDU746" s="213"/>
      <c r="FDV746" s="213"/>
      <c r="FDW746" s="213"/>
      <c r="FDX746" s="213"/>
      <c r="FDY746" s="213"/>
      <c r="FDZ746" s="213"/>
      <c r="FEA746" s="213"/>
      <c r="FEB746" s="213"/>
      <c r="FEC746" s="213"/>
      <c r="FED746" s="213"/>
      <c r="FEE746" s="213"/>
      <c r="FEF746" s="213"/>
      <c r="FEG746" s="213"/>
      <c r="FEH746" s="213"/>
      <c r="FEI746" s="213"/>
      <c r="FEJ746" s="213"/>
      <c r="FEK746" s="213"/>
      <c r="FEL746" s="213"/>
      <c r="FEM746" s="213"/>
      <c r="FEN746" s="213"/>
      <c r="FEO746" s="213"/>
      <c r="FEP746" s="213"/>
      <c r="FEQ746" s="213"/>
      <c r="FER746" s="213"/>
      <c r="FES746" s="213"/>
      <c r="FET746" s="213"/>
      <c r="FEU746" s="213"/>
      <c r="FEV746" s="213"/>
      <c r="FEW746" s="213"/>
      <c r="FEX746" s="213"/>
      <c r="FEY746" s="213"/>
      <c r="FEZ746" s="213"/>
      <c r="FFA746" s="213"/>
      <c r="FFB746" s="213"/>
      <c r="FFC746" s="213"/>
      <c r="FFD746" s="213"/>
      <c r="FFE746" s="213"/>
      <c r="FFF746" s="213"/>
      <c r="FFG746" s="213"/>
      <c r="FFH746" s="213"/>
      <c r="FFI746" s="213"/>
      <c r="FFJ746" s="213"/>
      <c r="FFK746" s="213"/>
      <c r="FFL746" s="213"/>
      <c r="FFM746" s="213"/>
      <c r="FFN746" s="213"/>
      <c r="FFO746" s="213"/>
      <c r="FFP746" s="213"/>
      <c r="FFQ746" s="213"/>
      <c r="FFR746" s="213"/>
      <c r="FFS746" s="213"/>
      <c r="FFT746" s="213"/>
      <c r="FFU746" s="213"/>
      <c r="FFV746" s="213"/>
      <c r="FFW746" s="213"/>
      <c r="FFX746" s="213"/>
      <c r="FFY746" s="213"/>
      <c r="FFZ746" s="213"/>
      <c r="FGA746" s="213"/>
      <c r="FGB746" s="213"/>
      <c r="FGC746" s="213"/>
      <c r="FGD746" s="213"/>
      <c r="FGE746" s="213"/>
      <c r="FGF746" s="213"/>
      <c r="FGG746" s="213"/>
      <c r="FGH746" s="213"/>
      <c r="FGI746" s="213"/>
      <c r="FGJ746" s="213"/>
      <c r="FGK746" s="213"/>
      <c r="FGL746" s="213"/>
      <c r="FGM746" s="213"/>
      <c r="FGN746" s="213"/>
      <c r="FGO746" s="213"/>
      <c r="FGP746" s="213"/>
      <c r="FGQ746" s="213"/>
      <c r="FGR746" s="213"/>
      <c r="FGS746" s="213"/>
      <c r="FGT746" s="213"/>
      <c r="FGU746" s="213"/>
      <c r="FGV746" s="213"/>
      <c r="FGW746" s="213"/>
      <c r="FGX746" s="213"/>
      <c r="FGY746" s="213"/>
      <c r="FGZ746" s="213"/>
      <c r="FHA746" s="213"/>
      <c r="FHB746" s="213"/>
      <c r="FHC746" s="213"/>
      <c r="FHD746" s="213"/>
      <c r="FHE746" s="213"/>
      <c r="FHF746" s="213"/>
      <c r="FHG746" s="213"/>
      <c r="FHH746" s="213"/>
      <c r="FHI746" s="213"/>
      <c r="FHJ746" s="213"/>
      <c r="FHK746" s="213"/>
      <c r="FHL746" s="213"/>
      <c r="FHM746" s="213"/>
      <c r="FHN746" s="213"/>
      <c r="FHO746" s="213"/>
      <c r="FHP746" s="213"/>
      <c r="FHQ746" s="213"/>
      <c r="FHR746" s="213"/>
      <c r="FHS746" s="213"/>
      <c r="FHT746" s="213"/>
      <c r="FHU746" s="213"/>
      <c r="FHV746" s="213"/>
      <c r="FHW746" s="213"/>
      <c r="FHX746" s="213"/>
      <c r="FHY746" s="213"/>
      <c r="FHZ746" s="213"/>
      <c r="FIA746" s="213"/>
      <c r="FIB746" s="213"/>
      <c r="FIC746" s="213"/>
      <c r="FID746" s="213"/>
      <c r="FIE746" s="213"/>
      <c r="FIF746" s="213"/>
      <c r="FIG746" s="213"/>
      <c r="FIH746" s="213"/>
      <c r="FII746" s="213"/>
      <c r="FIJ746" s="213"/>
      <c r="FIK746" s="213"/>
      <c r="FIL746" s="213"/>
      <c r="FIM746" s="213"/>
      <c r="FIN746" s="213"/>
      <c r="FIO746" s="213"/>
      <c r="FIP746" s="213"/>
      <c r="FIQ746" s="213"/>
      <c r="FIR746" s="213"/>
      <c r="FIS746" s="213"/>
      <c r="FIT746" s="213"/>
      <c r="FIU746" s="213"/>
      <c r="FIV746" s="213"/>
      <c r="FIW746" s="213"/>
      <c r="FIX746" s="213"/>
      <c r="FIY746" s="213"/>
      <c r="FIZ746" s="213"/>
      <c r="FJA746" s="213"/>
      <c r="FJB746" s="213"/>
      <c r="FJC746" s="213"/>
      <c r="FJD746" s="213"/>
      <c r="FJE746" s="213"/>
      <c r="FJF746" s="213"/>
      <c r="FJG746" s="213"/>
      <c r="FJH746" s="213"/>
      <c r="FJI746" s="213"/>
      <c r="FJJ746" s="213"/>
      <c r="FJK746" s="213"/>
      <c r="FJL746" s="213"/>
      <c r="FJM746" s="213"/>
      <c r="FJN746" s="213"/>
      <c r="FJO746" s="213"/>
      <c r="FJP746" s="213"/>
      <c r="FJQ746" s="213"/>
      <c r="FJR746" s="213"/>
      <c r="FJS746" s="213"/>
      <c r="FJT746" s="213"/>
      <c r="FJU746" s="213"/>
      <c r="FJV746" s="213"/>
      <c r="FJW746" s="213"/>
      <c r="FJX746" s="213"/>
      <c r="FJY746" s="213"/>
      <c r="FJZ746" s="213"/>
      <c r="FKA746" s="213"/>
      <c r="FKB746" s="213"/>
      <c r="FKC746" s="213"/>
      <c r="FKD746" s="213"/>
      <c r="FKE746" s="213"/>
      <c r="FKF746" s="213"/>
      <c r="FKG746" s="213"/>
      <c r="FKH746" s="213"/>
      <c r="FKI746" s="213"/>
      <c r="FKJ746" s="213"/>
      <c r="FKK746" s="213"/>
      <c r="FKL746" s="213"/>
      <c r="FKM746" s="213"/>
      <c r="FKN746" s="213"/>
      <c r="FKO746" s="213"/>
      <c r="FKP746" s="213"/>
      <c r="FKQ746" s="213"/>
      <c r="FKR746" s="213"/>
      <c r="FKS746" s="213"/>
      <c r="FKT746" s="213"/>
      <c r="FKU746" s="213"/>
      <c r="FKV746" s="213"/>
      <c r="FKW746" s="213"/>
      <c r="FKX746" s="213"/>
      <c r="FKY746" s="213"/>
      <c r="FKZ746" s="213"/>
      <c r="FLA746" s="213"/>
      <c r="FLB746" s="213"/>
      <c r="FLC746" s="213"/>
      <c r="FLD746" s="213"/>
      <c r="FLE746" s="213"/>
      <c r="FLF746" s="213"/>
      <c r="FLG746" s="213"/>
      <c r="FLH746" s="213"/>
      <c r="FLI746" s="213"/>
      <c r="FLJ746" s="213"/>
      <c r="FLK746" s="213"/>
      <c r="FLL746" s="213"/>
      <c r="FLM746" s="213"/>
      <c r="FLN746" s="213"/>
      <c r="FLO746" s="213"/>
      <c r="FLP746" s="213"/>
      <c r="FLQ746" s="213"/>
      <c r="FLR746" s="213"/>
      <c r="FLS746" s="213"/>
      <c r="FLT746" s="213"/>
      <c r="FLU746" s="213"/>
      <c r="FLV746" s="213"/>
      <c r="FLW746" s="213"/>
      <c r="FLX746" s="213"/>
      <c r="FLY746" s="213"/>
      <c r="FLZ746" s="213"/>
      <c r="FMA746" s="213"/>
      <c r="FMB746" s="213"/>
      <c r="FMC746" s="213"/>
      <c r="FMD746" s="213"/>
      <c r="FME746" s="213"/>
      <c r="FMF746" s="213"/>
      <c r="FMG746" s="213"/>
      <c r="FMH746" s="213"/>
      <c r="FMI746" s="213"/>
      <c r="FMJ746" s="213"/>
      <c r="FMK746" s="213"/>
      <c r="FML746" s="213"/>
      <c r="FMM746" s="213"/>
      <c r="FMN746" s="213"/>
      <c r="FMO746" s="213"/>
      <c r="FMP746" s="213"/>
      <c r="FMQ746" s="213"/>
      <c r="FMR746" s="213"/>
      <c r="FMS746" s="213"/>
      <c r="FMT746" s="213"/>
      <c r="FMU746" s="213"/>
      <c r="FMV746" s="213"/>
      <c r="FMW746" s="213"/>
      <c r="FMX746" s="213"/>
      <c r="FMY746" s="213"/>
      <c r="FMZ746" s="213"/>
      <c r="FNA746" s="213"/>
      <c r="FNB746" s="213"/>
      <c r="FNC746" s="213"/>
      <c r="FND746" s="213"/>
      <c r="FNE746" s="213"/>
      <c r="FNF746" s="213"/>
      <c r="FNG746" s="213"/>
      <c r="FNH746" s="213"/>
      <c r="FNI746" s="213"/>
      <c r="FNJ746" s="213"/>
      <c r="FNK746" s="213"/>
      <c r="FNL746" s="213"/>
      <c r="FNM746" s="213"/>
      <c r="FNN746" s="213"/>
      <c r="FNO746" s="213"/>
      <c r="FNP746" s="213"/>
      <c r="FNQ746" s="213"/>
      <c r="FNR746" s="213"/>
      <c r="FNS746" s="213"/>
      <c r="FNT746" s="213"/>
      <c r="FNU746" s="213"/>
      <c r="FNV746" s="213"/>
      <c r="FNW746" s="213"/>
      <c r="FNX746" s="213"/>
      <c r="FNY746" s="213"/>
      <c r="FNZ746" s="213"/>
      <c r="FOA746" s="213"/>
      <c r="FOB746" s="213"/>
      <c r="FOC746" s="213"/>
      <c r="FOD746" s="213"/>
      <c r="FOE746" s="213"/>
      <c r="FOF746" s="213"/>
      <c r="FOG746" s="213"/>
      <c r="FOH746" s="213"/>
      <c r="FOI746" s="213"/>
      <c r="FOJ746" s="213"/>
      <c r="FOK746" s="213"/>
      <c r="FOL746" s="213"/>
      <c r="FOM746" s="213"/>
      <c r="FON746" s="213"/>
      <c r="FOO746" s="213"/>
      <c r="FOP746" s="213"/>
      <c r="FOQ746" s="213"/>
      <c r="FOR746" s="213"/>
      <c r="FOS746" s="213"/>
      <c r="FOT746" s="213"/>
      <c r="FOU746" s="213"/>
      <c r="FOV746" s="213"/>
      <c r="FOW746" s="213"/>
      <c r="FOX746" s="213"/>
      <c r="FOY746" s="213"/>
      <c r="FOZ746" s="213"/>
      <c r="FPA746" s="213"/>
      <c r="FPB746" s="213"/>
      <c r="FPC746" s="213"/>
      <c r="FPD746" s="213"/>
      <c r="FPE746" s="213"/>
      <c r="FPF746" s="213"/>
      <c r="FPG746" s="213"/>
      <c r="FPH746" s="213"/>
      <c r="FPI746" s="213"/>
      <c r="FPJ746" s="213"/>
      <c r="FPK746" s="213"/>
      <c r="FPL746" s="213"/>
      <c r="FPM746" s="213"/>
      <c r="FPN746" s="213"/>
      <c r="FPO746" s="213"/>
      <c r="FPP746" s="213"/>
      <c r="FPQ746" s="213"/>
      <c r="FPR746" s="213"/>
      <c r="FPS746" s="213"/>
      <c r="FPT746" s="213"/>
      <c r="FPU746" s="213"/>
      <c r="FPV746" s="213"/>
      <c r="FPW746" s="213"/>
      <c r="FPX746" s="213"/>
      <c r="FPY746" s="213"/>
      <c r="FPZ746" s="213"/>
      <c r="FQA746" s="213"/>
      <c r="FQB746" s="213"/>
      <c r="FQC746" s="213"/>
      <c r="FQD746" s="213"/>
      <c r="FQE746" s="213"/>
      <c r="FQF746" s="213"/>
      <c r="FQG746" s="213"/>
      <c r="FQH746" s="213"/>
      <c r="FQI746" s="213"/>
      <c r="FQJ746" s="213"/>
      <c r="FQK746" s="213"/>
      <c r="FQL746" s="213"/>
      <c r="FQM746" s="213"/>
      <c r="FQN746" s="213"/>
      <c r="FQO746" s="213"/>
      <c r="FQP746" s="213"/>
      <c r="FQQ746" s="213"/>
      <c r="FQR746" s="213"/>
      <c r="FQS746" s="213"/>
      <c r="FQT746" s="213"/>
      <c r="FQU746" s="213"/>
      <c r="FQV746" s="213"/>
      <c r="FQW746" s="213"/>
      <c r="FQX746" s="213"/>
      <c r="FQY746" s="213"/>
      <c r="FQZ746" s="213"/>
      <c r="FRA746" s="213"/>
      <c r="FRB746" s="213"/>
      <c r="FRC746" s="213"/>
      <c r="FRD746" s="213"/>
      <c r="FRE746" s="213"/>
      <c r="FRF746" s="213"/>
      <c r="FRG746" s="213"/>
      <c r="FRH746" s="213"/>
      <c r="FRI746" s="213"/>
      <c r="FRJ746" s="213"/>
      <c r="FRK746" s="213"/>
      <c r="FRL746" s="213"/>
      <c r="FRM746" s="213"/>
      <c r="FRN746" s="213"/>
      <c r="FRO746" s="213"/>
      <c r="FRP746" s="213"/>
      <c r="FRQ746" s="213"/>
      <c r="FRR746" s="213"/>
      <c r="FRS746" s="213"/>
      <c r="FRT746" s="213"/>
      <c r="FRU746" s="213"/>
      <c r="FRV746" s="213"/>
      <c r="FRW746" s="213"/>
      <c r="FRX746" s="213"/>
      <c r="FRY746" s="213"/>
      <c r="FRZ746" s="213"/>
      <c r="FSA746" s="213"/>
      <c r="FSB746" s="213"/>
      <c r="FSC746" s="213"/>
      <c r="FSD746" s="213"/>
      <c r="FSE746" s="213"/>
      <c r="FSF746" s="213"/>
      <c r="FSG746" s="213"/>
      <c r="FSH746" s="213"/>
      <c r="FSI746" s="213"/>
      <c r="FSJ746" s="213"/>
      <c r="FSK746" s="213"/>
      <c r="FSL746" s="213"/>
      <c r="FSM746" s="213"/>
      <c r="FSN746" s="213"/>
      <c r="FSO746" s="213"/>
      <c r="FSP746" s="213"/>
      <c r="FSQ746" s="213"/>
      <c r="FSR746" s="213"/>
      <c r="FSS746" s="213"/>
      <c r="FST746" s="213"/>
      <c r="FSU746" s="213"/>
      <c r="FSV746" s="213"/>
      <c r="FSW746" s="213"/>
      <c r="FSX746" s="213"/>
      <c r="FSY746" s="213"/>
      <c r="FSZ746" s="213"/>
      <c r="FTA746" s="213"/>
      <c r="FTB746" s="213"/>
      <c r="FTC746" s="213"/>
      <c r="FTD746" s="213"/>
      <c r="FTE746" s="213"/>
      <c r="FTF746" s="213"/>
      <c r="FTG746" s="213"/>
      <c r="FTH746" s="213"/>
      <c r="FTI746" s="213"/>
      <c r="FTJ746" s="213"/>
      <c r="FTK746" s="213"/>
      <c r="FTL746" s="213"/>
      <c r="FTM746" s="213"/>
      <c r="FTN746" s="213"/>
      <c r="FTO746" s="213"/>
      <c r="FTP746" s="213"/>
      <c r="FTQ746" s="213"/>
      <c r="FTR746" s="213"/>
      <c r="FTS746" s="213"/>
      <c r="FTT746" s="213"/>
      <c r="FTU746" s="213"/>
      <c r="FTV746" s="213"/>
      <c r="FTW746" s="213"/>
      <c r="FTX746" s="213"/>
      <c r="FTY746" s="213"/>
      <c r="FTZ746" s="213"/>
      <c r="FUA746" s="213"/>
      <c r="FUB746" s="213"/>
      <c r="FUC746" s="213"/>
      <c r="FUD746" s="213"/>
      <c r="FUE746" s="213"/>
      <c r="FUF746" s="213"/>
      <c r="FUG746" s="213"/>
      <c r="FUH746" s="213"/>
      <c r="FUI746" s="213"/>
      <c r="FUJ746" s="213"/>
      <c r="FUK746" s="213"/>
      <c r="FUL746" s="213"/>
      <c r="FUM746" s="213"/>
      <c r="FUN746" s="213"/>
      <c r="FUO746" s="213"/>
      <c r="FUP746" s="213"/>
      <c r="FUQ746" s="213"/>
      <c r="FUR746" s="213"/>
      <c r="FUS746" s="213"/>
      <c r="FUT746" s="213"/>
      <c r="FUU746" s="213"/>
      <c r="FUV746" s="213"/>
      <c r="FUW746" s="213"/>
      <c r="FUX746" s="213"/>
      <c r="FUY746" s="213"/>
      <c r="FUZ746" s="213"/>
      <c r="FVA746" s="213"/>
      <c r="FVB746" s="213"/>
      <c r="FVC746" s="213"/>
      <c r="FVD746" s="213"/>
      <c r="FVE746" s="213"/>
      <c r="FVF746" s="213"/>
      <c r="FVG746" s="213"/>
      <c r="FVH746" s="213"/>
      <c r="FVI746" s="213"/>
      <c r="FVJ746" s="213"/>
      <c r="FVK746" s="213"/>
      <c r="FVL746" s="213"/>
      <c r="FVM746" s="213"/>
      <c r="FVN746" s="213"/>
      <c r="FVO746" s="213"/>
      <c r="FVP746" s="213"/>
      <c r="FVQ746" s="213"/>
      <c r="FVR746" s="213"/>
      <c r="FVS746" s="213"/>
      <c r="FVT746" s="213"/>
      <c r="FVU746" s="213"/>
      <c r="FVV746" s="213"/>
      <c r="FVW746" s="213"/>
      <c r="FVX746" s="213"/>
      <c r="FVY746" s="213"/>
      <c r="FVZ746" s="213"/>
      <c r="FWA746" s="213"/>
      <c r="FWB746" s="213"/>
      <c r="FWC746" s="213"/>
      <c r="FWD746" s="213"/>
      <c r="FWE746" s="213"/>
      <c r="FWF746" s="213"/>
      <c r="FWG746" s="213"/>
      <c r="FWH746" s="213"/>
      <c r="FWI746" s="213"/>
      <c r="FWJ746" s="213"/>
      <c r="FWK746" s="213"/>
      <c r="FWL746" s="213"/>
      <c r="FWM746" s="213"/>
      <c r="FWN746" s="213"/>
      <c r="FWO746" s="213"/>
      <c r="FWP746" s="213"/>
      <c r="FWQ746" s="213"/>
      <c r="FWR746" s="213"/>
      <c r="FWS746" s="213"/>
      <c r="FWT746" s="213"/>
      <c r="FWU746" s="213"/>
      <c r="FWV746" s="213"/>
      <c r="FWW746" s="213"/>
      <c r="FWX746" s="213"/>
      <c r="FWY746" s="213"/>
      <c r="FWZ746" s="213"/>
      <c r="FXA746" s="213"/>
      <c r="FXB746" s="213"/>
      <c r="FXC746" s="213"/>
      <c r="FXD746" s="213"/>
      <c r="FXE746" s="213"/>
      <c r="FXF746" s="213"/>
      <c r="FXG746" s="213"/>
      <c r="FXH746" s="213"/>
      <c r="FXI746" s="213"/>
      <c r="FXJ746" s="213"/>
      <c r="FXK746" s="213"/>
      <c r="FXL746" s="213"/>
      <c r="FXM746" s="213"/>
      <c r="FXN746" s="213"/>
      <c r="FXO746" s="213"/>
      <c r="FXP746" s="213"/>
      <c r="FXQ746" s="213"/>
      <c r="FXR746" s="213"/>
      <c r="FXS746" s="213"/>
      <c r="FXT746" s="213"/>
      <c r="FXU746" s="213"/>
      <c r="FXV746" s="213"/>
      <c r="FXW746" s="213"/>
      <c r="FXX746" s="213"/>
      <c r="FXY746" s="213"/>
      <c r="FXZ746" s="213"/>
      <c r="FYA746" s="213"/>
      <c r="FYB746" s="213"/>
      <c r="FYC746" s="213"/>
      <c r="FYD746" s="213"/>
      <c r="FYE746" s="213"/>
      <c r="FYF746" s="213"/>
      <c r="FYG746" s="213"/>
      <c r="FYH746" s="213"/>
      <c r="FYI746" s="213"/>
      <c r="FYJ746" s="213"/>
      <c r="FYK746" s="213"/>
      <c r="FYL746" s="213"/>
      <c r="FYM746" s="213"/>
      <c r="FYN746" s="213"/>
      <c r="FYO746" s="213"/>
      <c r="FYP746" s="213"/>
      <c r="FYQ746" s="213"/>
      <c r="FYR746" s="213"/>
      <c r="FYS746" s="213"/>
      <c r="FYT746" s="213"/>
      <c r="FYU746" s="213"/>
      <c r="FYV746" s="213"/>
      <c r="FYW746" s="213"/>
      <c r="FYX746" s="213"/>
      <c r="FYY746" s="213"/>
      <c r="FYZ746" s="213"/>
      <c r="FZA746" s="213"/>
      <c r="FZB746" s="213"/>
      <c r="FZC746" s="213"/>
      <c r="FZD746" s="213"/>
      <c r="FZE746" s="213"/>
      <c r="FZF746" s="213"/>
      <c r="FZG746" s="213"/>
      <c r="FZH746" s="213"/>
      <c r="FZI746" s="213"/>
      <c r="FZJ746" s="213"/>
      <c r="FZK746" s="213"/>
      <c r="FZL746" s="213"/>
      <c r="FZM746" s="213"/>
      <c r="FZN746" s="213"/>
      <c r="FZO746" s="213"/>
      <c r="FZP746" s="213"/>
      <c r="FZQ746" s="213"/>
      <c r="FZR746" s="213"/>
      <c r="FZS746" s="213"/>
      <c r="FZT746" s="213"/>
      <c r="FZU746" s="213"/>
      <c r="FZV746" s="213"/>
      <c r="FZW746" s="213"/>
      <c r="FZX746" s="213"/>
      <c r="FZY746" s="213"/>
      <c r="FZZ746" s="213"/>
      <c r="GAA746" s="213"/>
      <c r="GAB746" s="213"/>
      <c r="GAC746" s="213"/>
      <c r="GAD746" s="213"/>
      <c r="GAE746" s="213"/>
      <c r="GAF746" s="213"/>
      <c r="GAG746" s="213"/>
      <c r="GAH746" s="213"/>
      <c r="GAI746" s="213"/>
      <c r="GAJ746" s="213"/>
      <c r="GAK746" s="213"/>
      <c r="GAL746" s="213"/>
      <c r="GAM746" s="213"/>
      <c r="GAN746" s="213"/>
      <c r="GAO746" s="213"/>
      <c r="GAP746" s="213"/>
      <c r="GAQ746" s="213"/>
      <c r="GAR746" s="213"/>
      <c r="GAS746" s="213"/>
      <c r="GAT746" s="213"/>
      <c r="GAU746" s="213"/>
      <c r="GAV746" s="213"/>
      <c r="GAW746" s="213"/>
      <c r="GAX746" s="213"/>
      <c r="GAY746" s="213"/>
      <c r="GAZ746" s="213"/>
      <c r="GBA746" s="213"/>
      <c r="GBB746" s="213"/>
      <c r="GBC746" s="213"/>
      <c r="GBD746" s="213"/>
      <c r="GBE746" s="213"/>
      <c r="GBF746" s="213"/>
      <c r="GBG746" s="213"/>
      <c r="GBH746" s="213"/>
      <c r="GBI746" s="213"/>
      <c r="GBJ746" s="213"/>
      <c r="GBK746" s="213"/>
      <c r="GBL746" s="213"/>
      <c r="GBM746" s="213"/>
      <c r="GBN746" s="213"/>
      <c r="GBO746" s="213"/>
      <c r="GBP746" s="213"/>
      <c r="GBQ746" s="213"/>
      <c r="GBR746" s="213"/>
      <c r="GBS746" s="213"/>
      <c r="GBT746" s="213"/>
      <c r="GBU746" s="213"/>
      <c r="GBV746" s="213"/>
      <c r="GBW746" s="213"/>
      <c r="GBX746" s="213"/>
      <c r="GBY746" s="213"/>
      <c r="GBZ746" s="213"/>
      <c r="GCA746" s="213"/>
      <c r="GCB746" s="213"/>
      <c r="GCC746" s="213"/>
      <c r="GCD746" s="213"/>
      <c r="GCE746" s="213"/>
      <c r="GCF746" s="213"/>
      <c r="GCG746" s="213"/>
      <c r="GCH746" s="213"/>
      <c r="GCI746" s="213"/>
      <c r="GCJ746" s="213"/>
      <c r="GCK746" s="213"/>
      <c r="GCL746" s="213"/>
      <c r="GCM746" s="213"/>
      <c r="GCN746" s="213"/>
      <c r="GCO746" s="213"/>
      <c r="GCP746" s="213"/>
      <c r="GCQ746" s="213"/>
      <c r="GCR746" s="213"/>
      <c r="GCS746" s="213"/>
      <c r="GCT746" s="213"/>
      <c r="GCU746" s="213"/>
      <c r="GCV746" s="213"/>
      <c r="GCW746" s="213"/>
      <c r="GCX746" s="213"/>
      <c r="GCY746" s="213"/>
      <c r="GCZ746" s="213"/>
      <c r="GDA746" s="213"/>
      <c r="GDB746" s="213"/>
      <c r="GDC746" s="213"/>
      <c r="GDD746" s="213"/>
      <c r="GDE746" s="213"/>
      <c r="GDF746" s="213"/>
      <c r="GDG746" s="213"/>
      <c r="GDH746" s="213"/>
      <c r="GDI746" s="213"/>
      <c r="GDJ746" s="213"/>
      <c r="GDK746" s="213"/>
      <c r="GDL746" s="213"/>
      <c r="GDM746" s="213"/>
      <c r="GDN746" s="213"/>
      <c r="GDO746" s="213"/>
      <c r="GDP746" s="213"/>
      <c r="GDQ746" s="213"/>
      <c r="GDR746" s="213"/>
      <c r="GDS746" s="213"/>
      <c r="GDT746" s="213"/>
      <c r="GDU746" s="213"/>
      <c r="GDV746" s="213"/>
      <c r="GDW746" s="213"/>
      <c r="GDX746" s="213"/>
      <c r="GDY746" s="213"/>
      <c r="GDZ746" s="213"/>
      <c r="GEA746" s="213"/>
      <c r="GEB746" s="213"/>
      <c r="GEC746" s="213"/>
      <c r="GED746" s="213"/>
      <c r="GEE746" s="213"/>
      <c r="GEF746" s="213"/>
      <c r="GEG746" s="213"/>
      <c r="GEH746" s="213"/>
      <c r="GEI746" s="213"/>
      <c r="GEJ746" s="213"/>
      <c r="GEK746" s="213"/>
      <c r="GEL746" s="213"/>
      <c r="GEM746" s="213"/>
      <c r="GEN746" s="213"/>
      <c r="GEO746" s="213"/>
      <c r="GEP746" s="213"/>
      <c r="GEQ746" s="213"/>
      <c r="GER746" s="213"/>
      <c r="GES746" s="213"/>
      <c r="GET746" s="213"/>
      <c r="GEU746" s="213"/>
      <c r="GEV746" s="213"/>
      <c r="GEW746" s="213"/>
      <c r="GEX746" s="213"/>
      <c r="GEY746" s="213"/>
      <c r="GEZ746" s="213"/>
      <c r="GFA746" s="213"/>
      <c r="GFB746" s="213"/>
      <c r="GFC746" s="213"/>
      <c r="GFD746" s="213"/>
      <c r="GFE746" s="213"/>
      <c r="GFF746" s="213"/>
      <c r="GFG746" s="213"/>
      <c r="GFH746" s="213"/>
      <c r="GFI746" s="213"/>
      <c r="GFJ746" s="213"/>
      <c r="GFK746" s="213"/>
      <c r="GFL746" s="213"/>
      <c r="GFM746" s="213"/>
      <c r="GFN746" s="213"/>
      <c r="GFO746" s="213"/>
      <c r="GFP746" s="213"/>
      <c r="GFQ746" s="213"/>
      <c r="GFR746" s="213"/>
      <c r="GFS746" s="213"/>
      <c r="GFT746" s="213"/>
      <c r="GFU746" s="213"/>
      <c r="GFV746" s="213"/>
      <c r="GFW746" s="213"/>
      <c r="GFX746" s="213"/>
      <c r="GFY746" s="213"/>
      <c r="GFZ746" s="213"/>
      <c r="GGA746" s="213"/>
      <c r="GGB746" s="213"/>
      <c r="GGC746" s="213"/>
      <c r="GGD746" s="213"/>
      <c r="GGE746" s="213"/>
      <c r="GGF746" s="213"/>
      <c r="GGG746" s="213"/>
      <c r="GGH746" s="213"/>
      <c r="GGI746" s="213"/>
      <c r="GGJ746" s="213"/>
      <c r="GGK746" s="213"/>
      <c r="GGL746" s="213"/>
      <c r="GGM746" s="213"/>
      <c r="GGN746" s="213"/>
      <c r="GGO746" s="213"/>
      <c r="GGP746" s="213"/>
      <c r="GGQ746" s="213"/>
      <c r="GGR746" s="213"/>
      <c r="GGS746" s="213"/>
      <c r="GGT746" s="213"/>
      <c r="GGU746" s="213"/>
      <c r="GGV746" s="213"/>
      <c r="GGW746" s="213"/>
      <c r="GGX746" s="213"/>
      <c r="GGY746" s="213"/>
      <c r="GGZ746" s="213"/>
      <c r="GHA746" s="213"/>
      <c r="GHB746" s="213"/>
      <c r="GHC746" s="213"/>
      <c r="GHD746" s="213"/>
      <c r="GHE746" s="213"/>
      <c r="GHF746" s="213"/>
      <c r="GHG746" s="213"/>
      <c r="GHH746" s="213"/>
      <c r="GHI746" s="213"/>
      <c r="GHJ746" s="213"/>
      <c r="GHK746" s="213"/>
      <c r="GHL746" s="213"/>
      <c r="GHM746" s="213"/>
      <c r="GHN746" s="213"/>
      <c r="GHO746" s="213"/>
      <c r="GHP746" s="213"/>
      <c r="GHQ746" s="213"/>
      <c r="GHR746" s="213"/>
      <c r="GHS746" s="213"/>
      <c r="GHT746" s="213"/>
      <c r="GHU746" s="213"/>
      <c r="GHV746" s="213"/>
      <c r="GHW746" s="213"/>
      <c r="GHX746" s="213"/>
      <c r="GHY746" s="213"/>
      <c r="GHZ746" s="213"/>
      <c r="GIA746" s="213"/>
      <c r="GIB746" s="213"/>
      <c r="GIC746" s="213"/>
      <c r="GID746" s="213"/>
      <c r="GIE746" s="213"/>
      <c r="GIF746" s="213"/>
      <c r="GIG746" s="213"/>
      <c r="GIH746" s="213"/>
      <c r="GII746" s="213"/>
      <c r="GIJ746" s="213"/>
      <c r="GIK746" s="213"/>
      <c r="GIL746" s="213"/>
      <c r="GIM746" s="213"/>
      <c r="GIN746" s="213"/>
      <c r="GIO746" s="213"/>
      <c r="GIP746" s="213"/>
      <c r="GIQ746" s="213"/>
      <c r="GIR746" s="213"/>
      <c r="GIS746" s="213"/>
      <c r="GIT746" s="213"/>
      <c r="GIU746" s="213"/>
      <c r="GIV746" s="213"/>
      <c r="GIW746" s="213"/>
      <c r="GIX746" s="213"/>
      <c r="GIY746" s="213"/>
      <c r="GIZ746" s="213"/>
      <c r="GJA746" s="213"/>
      <c r="GJB746" s="213"/>
      <c r="GJC746" s="213"/>
      <c r="GJD746" s="213"/>
      <c r="GJE746" s="213"/>
      <c r="GJF746" s="213"/>
      <c r="GJG746" s="213"/>
      <c r="GJH746" s="213"/>
      <c r="GJI746" s="213"/>
      <c r="GJJ746" s="213"/>
      <c r="GJK746" s="213"/>
      <c r="GJL746" s="213"/>
      <c r="GJM746" s="213"/>
      <c r="GJN746" s="213"/>
      <c r="GJO746" s="213"/>
      <c r="GJP746" s="213"/>
      <c r="GJQ746" s="213"/>
      <c r="GJR746" s="213"/>
      <c r="GJS746" s="213"/>
      <c r="GJT746" s="213"/>
      <c r="GJU746" s="213"/>
      <c r="GJV746" s="213"/>
      <c r="GJW746" s="213"/>
      <c r="GJX746" s="213"/>
      <c r="GJY746" s="213"/>
      <c r="GJZ746" s="213"/>
      <c r="GKA746" s="213"/>
      <c r="GKB746" s="213"/>
      <c r="GKC746" s="213"/>
      <c r="GKD746" s="213"/>
      <c r="GKE746" s="213"/>
      <c r="GKF746" s="213"/>
      <c r="GKG746" s="213"/>
      <c r="GKH746" s="213"/>
      <c r="GKI746" s="213"/>
      <c r="GKJ746" s="213"/>
      <c r="GKK746" s="213"/>
      <c r="GKL746" s="213"/>
      <c r="GKM746" s="213"/>
      <c r="GKN746" s="213"/>
      <c r="GKO746" s="213"/>
      <c r="GKP746" s="213"/>
      <c r="GKQ746" s="213"/>
      <c r="GKR746" s="213"/>
      <c r="GKS746" s="213"/>
      <c r="GKT746" s="213"/>
      <c r="GKU746" s="213"/>
      <c r="GKV746" s="213"/>
      <c r="GKW746" s="213"/>
      <c r="GKX746" s="213"/>
      <c r="GKY746" s="213"/>
      <c r="GKZ746" s="213"/>
      <c r="GLA746" s="213"/>
      <c r="GLB746" s="213"/>
      <c r="GLC746" s="213"/>
      <c r="GLD746" s="213"/>
      <c r="GLE746" s="213"/>
      <c r="GLF746" s="213"/>
      <c r="GLG746" s="213"/>
      <c r="GLH746" s="213"/>
      <c r="GLI746" s="213"/>
      <c r="GLJ746" s="213"/>
      <c r="GLK746" s="213"/>
      <c r="GLL746" s="213"/>
      <c r="GLM746" s="213"/>
      <c r="GLN746" s="213"/>
      <c r="GLO746" s="213"/>
      <c r="GLP746" s="213"/>
      <c r="GLQ746" s="213"/>
      <c r="GLR746" s="213"/>
      <c r="GLS746" s="213"/>
      <c r="GLT746" s="213"/>
      <c r="GLU746" s="213"/>
      <c r="GLV746" s="213"/>
      <c r="GLW746" s="213"/>
      <c r="GLX746" s="213"/>
      <c r="GLY746" s="213"/>
      <c r="GLZ746" s="213"/>
      <c r="GMA746" s="213"/>
      <c r="GMB746" s="213"/>
      <c r="GMC746" s="213"/>
      <c r="GMD746" s="213"/>
      <c r="GME746" s="213"/>
      <c r="GMF746" s="213"/>
      <c r="GMG746" s="213"/>
      <c r="GMH746" s="213"/>
      <c r="GMI746" s="213"/>
      <c r="GMJ746" s="213"/>
      <c r="GMK746" s="213"/>
      <c r="GML746" s="213"/>
      <c r="GMM746" s="213"/>
      <c r="GMN746" s="213"/>
      <c r="GMO746" s="213"/>
      <c r="GMP746" s="213"/>
      <c r="GMQ746" s="213"/>
      <c r="GMR746" s="213"/>
      <c r="GMS746" s="213"/>
      <c r="GMT746" s="213"/>
      <c r="GMU746" s="213"/>
      <c r="GMV746" s="213"/>
      <c r="GMW746" s="213"/>
      <c r="GMX746" s="213"/>
      <c r="GMY746" s="213"/>
      <c r="GMZ746" s="213"/>
      <c r="GNA746" s="213"/>
      <c r="GNB746" s="213"/>
      <c r="GNC746" s="213"/>
      <c r="GND746" s="213"/>
      <c r="GNE746" s="213"/>
      <c r="GNF746" s="213"/>
      <c r="GNG746" s="213"/>
      <c r="GNH746" s="213"/>
      <c r="GNI746" s="213"/>
      <c r="GNJ746" s="213"/>
      <c r="GNK746" s="213"/>
      <c r="GNL746" s="213"/>
      <c r="GNM746" s="213"/>
      <c r="GNN746" s="213"/>
      <c r="GNO746" s="213"/>
      <c r="GNP746" s="213"/>
      <c r="GNQ746" s="213"/>
      <c r="GNR746" s="213"/>
      <c r="GNS746" s="213"/>
      <c r="GNT746" s="213"/>
      <c r="GNU746" s="213"/>
      <c r="GNV746" s="213"/>
      <c r="GNW746" s="213"/>
      <c r="GNX746" s="213"/>
      <c r="GNY746" s="213"/>
      <c r="GNZ746" s="213"/>
      <c r="GOA746" s="213"/>
      <c r="GOB746" s="213"/>
      <c r="GOC746" s="213"/>
      <c r="GOD746" s="213"/>
      <c r="GOE746" s="213"/>
      <c r="GOF746" s="213"/>
      <c r="GOG746" s="213"/>
      <c r="GOH746" s="213"/>
      <c r="GOI746" s="213"/>
      <c r="GOJ746" s="213"/>
      <c r="GOK746" s="213"/>
      <c r="GOL746" s="213"/>
      <c r="GOM746" s="213"/>
      <c r="GON746" s="213"/>
      <c r="GOO746" s="213"/>
      <c r="GOP746" s="213"/>
      <c r="GOQ746" s="213"/>
      <c r="GOR746" s="213"/>
      <c r="GOS746" s="213"/>
      <c r="GOT746" s="213"/>
      <c r="GOU746" s="213"/>
      <c r="GOV746" s="213"/>
      <c r="GOW746" s="213"/>
      <c r="GOX746" s="213"/>
      <c r="GOY746" s="213"/>
      <c r="GOZ746" s="213"/>
      <c r="GPA746" s="213"/>
      <c r="GPB746" s="213"/>
      <c r="GPC746" s="213"/>
      <c r="GPD746" s="213"/>
      <c r="GPE746" s="213"/>
      <c r="GPF746" s="213"/>
      <c r="GPG746" s="213"/>
      <c r="GPH746" s="213"/>
      <c r="GPI746" s="213"/>
      <c r="GPJ746" s="213"/>
      <c r="GPK746" s="213"/>
      <c r="GPL746" s="213"/>
      <c r="GPM746" s="213"/>
      <c r="GPN746" s="213"/>
      <c r="GPO746" s="213"/>
      <c r="GPP746" s="213"/>
      <c r="GPQ746" s="213"/>
      <c r="GPR746" s="213"/>
      <c r="GPS746" s="213"/>
      <c r="GPT746" s="213"/>
      <c r="GPU746" s="213"/>
      <c r="GPV746" s="213"/>
      <c r="GPW746" s="213"/>
      <c r="GPX746" s="213"/>
      <c r="GPY746" s="213"/>
      <c r="GPZ746" s="213"/>
      <c r="GQA746" s="213"/>
      <c r="GQB746" s="213"/>
      <c r="GQC746" s="213"/>
      <c r="GQD746" s="213"/>
      <c r="GQE746" s="213"/>
      <c r="GQF746" s="213"/>
      <c r="GQG746" s="213"/>
      <c r="GQH746" s="213"/>
      <c r="GQI746" s="213"/>
      <c r="GQJ746" s="213"/>
      <c r="GQK746" s="213"/>
      <c r="GQL746" s="213"/>
      <c r="GQM746" s="213"/>
      <c r="GQN746" s="213"/>
      <c r="GQO746" s="213"/>
      <c r="GQP746" s="213"/>
      <c r="GQQ746" s="213"/>
      <c r="GQR746" s="213"/>
      <c r="GQS746" s="213"/>
      <c r="GQT746" s="213"/>
      <c r="GQU746" s="213"/>
      <c r="GQV746" s="213"/>
      <c r="GQW746" s="213"/>
      <c r="GQX746" s="213"/>
      <c r="GQY746" s="213"/>
      <c r="GQZ746" s="213"/>
      <c r="GRA746" s="213"/>
      <c r="GRB746" s="213"/>
      <c r="GRC746" s="213"/>
      <c r="GRD746" s="213"/>
      <c r="GRE746" s="213"/>
      <c r="GRF746" s="213"/>
      <c r="GRG746" s="213"/>
      <c r="GRH746" s="213"/>
      <c r="GRI746" s="213"/>
      <c r="GRJ746" s="213"/>
      <c r="GRK746" s="213"/>
      <c r="GRL746" s="213"/>
      <c r="GRM746" s="213"/>
      <c r="GRN746" s="213"/>
      <c r="GRO746" s="213"/>
      <c r="GRP746" s="213"/>
      <c r="GRQ746" s="213"/>
      <c r="GRR746" s="213"/>
      <c r="GRS746" s="213"/>
      <c r="GRT746" s="213"/>
      <c r="GRU746" s="213"/>
      <c r="GRV746" s="213"/>
      <c r="GRW746" s="213"/>
      <c r="GRX746" s="213"/>
      <c r="GRY746" s="213"/>
      <c r="GRZ746" s="213"/>
      <c r="GSA746" s="213"/>
      <c r="GSB746" s="213"/>
      <c r="GSC746" s="213"/>
      <c r="GSD746" s="213"/>
      <c r="GSE746" s="213"/>
      <c r="GSF746" s="213"/>
      <c r="GSG746" s="213"/>
      <c r="GSH746" s="213"/>
      <c r="GSI746" s="213"/>
      <c r="GSJ746" s="213"/>
      <c r="GSK746" s="213"/>
      <c r="GSL746" s="213"/>
      <c r="GSM746" s="213"/>
      <c r="GSN746" s="213"/>
      <c r="GSO746" s="213"/>
      <c r="GSP746" s="213"/>
      <c r="GSQ746" s="213"/>
      <c r="GSR746" s="213"/>
      <c r="GSS746" s="213"/>
      <c r="GST746" s="213"/>
      <c r="GSU746" s="213"/>
      <c r="GSV746" s="213"/>
      <c r="GSW746" s="213"/>
      <c r="GSX746" s="213"/>
      <c r="GSY746" s="213"/>
      <c r="GSZ746" s="213"/>
      <c r="GTA746" s="213"/>
      <c r="GTB746" s="213"/>
      <c r="GTC746" s="213"/>
      <c r="GTD746" s="213"/>
      <c r="GTE746" s="213"/>
      <c r="GTF746" s="213"/>
      <c r="GTG746" s="213"/>
      <c r="GTH746" s="213"/>
      <c r="GTI746" s="213"/>
      <c r="GTJ746" s="213"/>
      <c r="GTK746" s="213"/>
      <c r="GTL746" s="213"/>
      <c r="GTM746" s="213"/>
      <c r="GTN746" s="213"/>
      <c r="GTO746" s="213"/>
      <c r="GTP746" s="213"/>
      <c r="GTQ746" s="213"/>
      <c r="GTR746" s="213"/>
      <c r="GTS746" s="213"/>
      <c r="GTT746" s="213"/>
      <c r="GTU746" s="213"/>
      <c r="GTV746" s="213"/>
      <c r="GTW746" s="213"/>
      <c r="GTX746" s="213"/>
      <c r="GTY746" s="213"/>
      <c r="GTZ746" s="213"/>
      <c r="GUA746" s="213"/>
      <c r="GUB746" s="213"/>
      <c r="GUC746" s="213"/>
      <c r="GUD746" s="213"/>
      <c r="GUE746" s="213"/>
      <c r="GUF746" s="213"/>
      <c r="GUG746" s="213"/>
      <c r="GUH746" s="213"/>
      <c r="GUI746" s="213"/>
      <c r="GUJ746" s="213"/>
      <c r="GUK746" s="213"/>
      <c r="GUL746" s="213"/>
      <c r="GUM746" s="213"/>
      <c r="GUN746" s="213"/>
      <c r="GUO746" s="213"/>
      <c r="GUP746" s="213"/>
      <c r="GUQ746" s="213"/>
      <c r="GUR746" s="213"/>
      <c r="GUS746" s="213"/>
      <c r="GUT746" s="213"/>
      <c r="GUU746" s="213"/>
      <c r="GUV746" s="213"/>
      <c r="GUW746" s="213"/>
      <c r="GUX746" s="213"/>
      <c r="GUY746" s="213"/>
      <c r="GUZ746" s="213"/>
      <c r="GVA746" s="213"/>
      <c r="GVB746" s="213"/>
      <c r="GVC746" s="213"/>
      <c r="GVD746" s="213"/>
      <c r="GVE746" s="213"/>
      <c r="GVF746" s="213"/>
      <c r="GVG746" s="213"/>
      <c r="GVH746" s="213"/>
      <c r="GVI746" s="213"/>
      <c r="GVJ746" s="213"/>
      <c r="GVK746" s="213"/>
      <c r="GVL746" s="213"/>
      <c r="GVM746" s="213"/>
      <c r="GVN746" s="213"/>
      <c r="GVO746" s="213"/>
      <c r="GVP746" s="213"/>
      <c r="GVQ746" s="213"/>
      <c r="GVR746" s="213"/>
      <c r="GVS746" s="213"/>
      <c r="GVT746" s="213"/>
      <c r="GVU746" s="213"/>
      <c r="GVV746" s="213"/>
      <c r="GVW746" s="213"/>
      <c r="GVX746" s="213"/>
      <c r="GVY746" s="213"/>
      <c r="GVZ746" s="213"/>
      <c r="GWA746" s="213"/>
      <c r="GWB746" s="213"/>
      <c r="GWC746" s="213"/>
      <c r="GWD746" s="213"/>
      <c r="GWE746" s="213"/>
      <c r="GWF746" s="213"/>
      <c r="GWG746" s="213"/>
      <c r="GWH746" s="213"/>
      <c r="GWI746" s="213"/>
      <c r="GWJ746" s="213"/>
      <c r="GWK746" s="213"/>
      <c r="GWL746" s="213"/>
      <c r="GWM746" s="213"/>
      <c r="GWN746" s="213"/>
      <c r="GWO746" s="213"/>
      <c r="GWP746" s="213"/>
      <c r="GWQ746" s="213"/>
      <c r="GWR746" s="213"/>
      <c r="GWS746" s="213"/>
      <c r="GWT746" s="213"/>
      <c r="GWU746" s="213"/>
      <c r="GWV746" s="213"/>
      <c r="GWW746" s="213"/>
      <c r="GWX746" s="213"/>
      <c r="GWY746" s="213"/>
      <c r="GWZ746" s="213"/>
      <c r="GXA746" s="213"/>
      <c r="GXB746" s="213"/>
      <c r="GXC746" s="213"/>
      <c r="GXD746" s="213"/>
      <c r="GXE746" s="213"/>
      <c r="GXF746" s="213"/>
      <c r="GXG746" s="213"/>
      <c r="GXH746" s="213"/>
      <c r="GXI746" s="213"/>
      <c r="GXJ746" s="213"/>
      <c r="GXK746" s="213"/>
      <c r="GXL746" s="213"/>
      <c r="GXM746" s="213"/>
      <c r="GXN746" s="213"/>
      <c r="GXO746" s="213"/>
      <c r="GXP746" s="213"/>
      <c r="GXQ746" s="213"/>
      <c r="GXR746" s="213"/>
      <c r="GXS746" s="213"/>
      <c r="GXT746" s="213"/>
      <c r="GXU746" s="213"/>
      <c r="GXV746" s="213"/>
      <c r="GXW746" s="213"/>
      <c r="GXX746" s="213"/>
      <c r="GXY746" s="213"/>
      <c r="GXZ746" s="213"/>
      <c r="GYA746" s="213"/>
      <c r="GYB746" s="213"/>
      <c r="GYC746" s="213"/>
      <c r="GYD746" s="213"/>
      <c r="GYE746" s="213"/>
      <c r="GYF746" s="213"/>
      <c r="GYG746" s="213"/>
      <c r="GYH746" s="213"/>
      <c r="GYI746" s="213"/>
      <c r="GYJ746" s="213"/>
      <c r="GYK746" s="213"/>
      <c r="GYL746" s="213"/>
      <c r="GYM746" s="213"/>
      <c r="GYN746" s="213"/>
      <c r="GYO746" s="213"/>
      <c r="GYP746" s="213"/>
      <c r="GYQ746" s="213"/>
      <c r="GYR746" s="213"/>
      <c r="GYS746" s="213"/>
      <c r="GYT746" s="213"/>
      <c r="GYU746" s="213"/>
      <c r="GYV746" s="213"/>
      <c r="GYW746" s="213"/>
      <c r="GYX746" s="213"/>
      <c r="GYY746" s="213"/>
      <c r="GYZ746" s="213"/>
      <c r="GZA746" s="213"/>
      <c r="GZB746" s="213"/>
      <c r="GZC746" s="213"/>
      <c r="GZD746" s="213"/>
      <c r="GZE746" s="213"/>
      <c r="GZF746" s="213"/>
      <c r="GZG746" s="213"/>
      <c r="GZH746" s="213"/>
      <c r="GZI746" s="213"/>
      <c r="GZJ746" s="213"/>
      <c r="GZK746" s="213"/>
      <c r="GZL746" s="213"/>
      <c r="GZM746" s="213"/>
      <c r="GZN746" s="213"/>
      <c r="GZO746" s="213"/>
      <c r="GZP746" s="213"/>
      <c r="GZQ746" s="213"/>
      <c r="GZR746" s="213"/>
      <c r="GZS746" s="213"/>
      <c r="GZT746" s="213"/>
      <c r="GZU746" s="213"/>
      <c r="GZV746" s="213"/>
      <c r="GZW746" s="213"/>
      <c r="GZX746" s="213"/>
      <c r="GZY746" s="213"/>
      <c r="GZZ746" s="213"/>
      <c r="HAA746" s="213"/>
      <c r="HAB746" s="213"/>
      <c r="HAC746" s="213"/>
      <c r="HAD746" s="213"/>
      <c r="HAE746" s="213"/>
      <c r="HAF746" s="213"/>
      <c r="HAG746" s="213"/>
      <c r="HAH746" s="213"/>
      <c r="HAI746" s="213"/>
      <c r="HAJ746" s="213"/>
      <c r="HAK746" s="213"/>
      <c r="HAL746" s="213"/>
      <c r="HAM746" s="213"/>
      <c r="HAN746" s="213"/>
      <c r="HAO746" s="213"/>
      <c r="HAP746" s="213"/>
      <c r="HAQ746" s="213"/>
      <c r="HAR746" s="213"/>
      <c r="HAS746" s="213"/>
      <c r="HAT746" s="213"/>
      <c r="HAU746" s="213"/>
      <c r="HAV746" s="213"/>
      <c r="HAW746" s="213"/>
      <c r="HAX746" s="213"/>
      <c r="HAY746" s="213"/>
      <c r="HAZ746" s="213"/>
      <c r="HBA746" s="213"/>
      <c r="HBB746" s="213"/>
      <c r="HBC746" s="213"/>
      <c r="HBD746" s="213"/>
      <c r="HBE746" s="213"/>
      <c r="HBF746" s="213"/>
      <c r="HBG746" s="213"/>
      <c r="HBH746" s="213"/>
      <c r="HBI746" s="213"/>
      <c r="HBJ746" s="213"/>
      <c r="HBK746" s="213"/>
      <c r="HBL746" s="213"/>
      <c r="HBM746" s="213"/>
      <c r="HBN746" s="213"/>
      <c r="HBO746" s="213"/>
      <c r="HBP746" s="213"/>
      <c r="HBQ746" s="213"/>
      <c r="HBR746" s="213"/>
      <c r="HBS746" s="213"/>
      <c r="HBT746" s="213"/>
      <c r="HBU746" s="213"/>
      <c r="HBV746" s="213"/>
      <c r="HBW746" s="213"/>
      <c r="HBX746" s="213"/>
      <c r="HBY746" s="213"/>
      <c r="HBZ746" s="213"/>
      <c r="HCA746" s="213"/>
      <c r="HCB746" s="213"/>
      <c r="HCC746" s="213"/>
      <c r="HCD746" s="213"/>
      <c r="HCE746" s="213"/>
      <c r="HCF746" s="213"/>
      <c r="HCG746" s="213"/>
      <c r="HCH746" s="213"/>
      <c r="HCI746" s="213"/>
      <c r="HCJ746" s="213"/>
      <c r="HCK746" s="213"/>
      <c r="HCL746" s="213"/>
      <c r="HCM746" s="213"/>
      <c r="HCN746" s="213"/>
      <c r="HCO746" s="213"/>
      <c r="HCP746" s="213"/>
      <c r="HCQ746" s="213"/>
      <c r="HCR746" s="213"/>
      <c r="HCS746" s="213"/>
      <c r="HCT746" s="213"/>
      <c r="HCU746" s="213"/>
      <c r="HCV746" s="213"/>
      <c r="HCW746" s="213"/>
      <c r="HCX746" s="213"/>
      <c r="HCY746" s="213"/>
      <c r="HCZ746" s="213"/>
      <c r="HDA746" s="213"/>
      <c r="HDB746" s="213"/>
      <c r="HDC746" s="213"/>
      <c r="HDD746" s="213"/>
      <c r="HDE746" s="213"/>
      <c r="HDF746" s="213"/>
      <c r="HDG746" s="213"/>
      <c r="HDH746" s="213"/>
      <c r="HDI746" s="213"/>
      <c r="HDJ746" s="213"/>
      <c r="HDK746" s="213"/>
      <c r="HDL746" s="213"/>
      <c r="HDM746" s="213"/>
      <c r="HDN746" s="213"/>
      <c r="HDO746" s="213"/>
      <c r="HDP746" s="213"/>
      <c r="HDQ746" s="213"/>
      <c r="HDR746" s="213"/>
      <c r="HDS746" s="213"/>
      <c r="HDT746" s="213"/>
      <c r="HDU746" s="213"/>
      <c r="HDV746" s="213"/>
      <c r="HDW746" s="213"/>
      <c r="HDX746" s="213"/>
      <c r="HDY746" s="213"/>
      <c r="HDZ746" s="213"/>
      <c r="HEA746" s="213"/>
      <c r="HEB746" s="213"/>
      <c r="HEC746" s="213"/>
      <c r="HED746" s="213"/>
      <c r="HEE746" s="213"/>
      <c r="HEF746" s="213"/>
      <c r="HEG746" s="213"/>
      <c r="HEH746" s="213"/>
      <c r="HEI746" s="213"/>
      <c r="HEJ746" s="213"/>
      <c r="HEK746" s="213"/>
      <c r="HEL746" s="213"/>
      <c r="HEM746" s="213"/>
      <c r="HEN746" s="213"/>
      <c r="HEO746" s="213"/>
      <c r="HEP746" s="213"/>
      <c r="HEQ746" s="213"/>
      <c r="HER746" s="213"/>
      <c r="HES746" s="213"/>
      <c r="HET746" s="213"/>
      <c r="HEU746" s="213"/>
      <c r="HEV746" s="213"/>
      <c r="HEW746" s="213"/>
      <c r="HEX746" s="213"/>
      <c r="HEY746" s="213"/>
      <c r="HEZ746" s="213"/>
      <c r="HFA746" s="213"/>
      <c r="HFB746" s="213"/>
      <c r="HFC746" s="213"/>
      <c r="HFD746" s="213"/>
      <c r="HFE746" s="213"/>
      <c r="HFF746" s="213"/>
      <c r="HFG746" s="213"/>
      <c r="HFH746" s="213"/>
      <c r="HFI746" s="213"/>
      <c r="HFJ746" s="213"/>
      <c r="HFK746" s="213"/>
      <c r="HFL746" s="213"/>
      <c r="HFM746" s="213"/>
      <c r="HFN746" s="213"/>
      <c r="HFO746" s="213"/>
      <c r="HFP746" s="213"/>
      <c r="HFQ746" s="213"/>
      <c r="HFR746" s="213"/>
      <c r="HFS746" s="213"/>
      <c r="HFT746" s="213"/>
      <c r="HFU746" s="213"/>
      <c r="HFV746" s="213"/>
      <c r="HFW746" s="213"/>
      <c r="HFX746" s="213"/>
      <c r="HFY746" s="213"/>
      <c r="HFZ746" s="213"/>
      <c r="HGA746" s="213"/>
      <c r="HGB746" s="213"/>
      <c r="HGC746" s="213"/>
      <c r="HGD746" s="213"/>
      <c r="HGE746" s="213"/>
      <c r="HGF746" s="213"/>
      <c r="HGG746" s="213"/>
      <c r="HGH746" s="213"/>
      <c r="HGI746" s="213"/>
      <c r="HGJ746" s="213"/>
      <c r="HGK746" s="213"/>
      <c r="HGL746" s="213"/>
      <c r="HGM746" s="213"/>
      <c r="HGN746" s="213"/>
      <c r="HGO746" s="213"/>
      <c r="HGP746" s="213"/>
      <c r="HGQ746" s="213"/>
      <c r="HGR746" s="213"/>
      <c r="HGS746" s="213"/>
      <c r="HGT746" s="213"/>
      <c r="HGU746" s="213"/>
      <c r="HGV746" s="213"/>
      <c r="HGW746" s="213"/>
      <c r="HGX746" s="213"/>
      <c r="HGY746" s="213"/>
      <c r="HGZ746" s="213"/>
      <c r="HHA746" s="213"/>
      <c r="HHB746" s="213"/>
      <c r="HHC746" s="213"/>
      <c r="HHD746" s="213"/>
      <c r="HHE746" s="213"/>
      <c r="HHF746" s="213"/>
      <c r="HHG746" s="213"/>
      <c r="HHH746" s="213"/>
      <c r="HHI746" s="213"/>
      <c r="HHJ746" s="213"/>
      <c r="HHK746" s="213"/>
      <c r="HHL746" s="213"/>
      <c r="HHM746" s="213"/>
      <c r="HHN746" s="213"/>
      <c r="HHO746" s="213"/>
      <c r="HHP746" s="213"/>
      <c r="HHQ746" s="213"/>
      <c r="HHR746" s="213"/>
      <c r="HHS746" s="213"/>
      <c r="HHT746" s="213"/>
      <c r="HHU746" s="213"/>
      <c r="HHV746" s="213"/>
      <c r="HHW746" s="213"/>
      <c r="HHX746" s="213"/>
      <c r="HHY746" s="213"/>
      <c r="HHZ746" s="213"/>
      <c r="HIA746" s="213"/>
      <c r="HIB746" s="213"/>
      <c r="HIC746" s="213"/>
      <c r="HID746" s="213"/>
      <c r="HIE746" s="213"/>
      <c r="HIF746" s="213"/>
      <c r="HIG746" s="213"/>
      <c r="HIH746" s="213"/>
      <c r="HII746" s="213"/>
      <c r="HIJ746" s="213"/>
      <c r="HIK746" s="213"/>
      <c r="HIL746" s="213"/>
      <c r="HIM746" s="213"/>
      <c r="HIN746" s="213"/>
      <c r="HIO746" s="213"/>
      <c r="HIP746" s="213"/>
      <c r="HIQ746" s="213"/>
      <c r="HIR746" s="213"/>
      <c r="HIS746" s="213"/>
      <c r="HIT746" s="213"/>
      <c r="HIU746" s="213"/>
      <c r="HIV746" s="213"/>
      <c r="HIW746" s="213"/>
      <c r="HIX746" s="213"/>
      <c r="HIY746" s="213"/>
      <c r="HIZ746" s="213"/>
      <c r="HJA746" s="213"/>
      <c r="HJB746" s="213"/>
      <c r="HJC746" s="213"/>
      <c r="HJD746" s="213"/>
      <c r="HJE746" s="213"/>
      <c r="HJF746" s="213"/>
      <c r="HJG746" s="213"/>
      <c r="HJH746" s="213"/>
      <c r="HJI746" s="213"/>
      <c r="HJJ746" s="213"/>
      <c r="HJK746" s="213"/>
      <c r="HJL746" s="213"/>
      <c r="HJM746" s="213"/>
      <c r="HJN746" s="213"/>
      <c r="HJO746" s="213"/>
      <c r="HJP746" s="213"/>
      <c r="HJQ746" s="213"/>
      <c r="HJR746" s="213"/>
      <c r="HJS746" s="213"/>
      <c r="HJT746" s="213"/>
      <c r="HJU746" s="213"/>
      <c r="HJV746" s="213"/>
      <c r="HJW746" s="213"/>
      <c r="HJX746" s="213"/>
      <c r="HJY746" s="213"/>
      <c r="HJZ746" s="213"/>
      <c r="HKA746" s="213"/>
      <c r="HKB746" s="213"/>
      <c r="HKC746" s="213"/>
      <c r="HKD746" s="213"/>
      <c r="HKE746" s="213"/>
      <c r="HKF746" s="213"/>
      <c r="HKG746" s="213"/>
      <c r="HKH746" s="213"/>
      <c r="HKI746" s="213"/>
      <c r="HKJ746" s="213"/>
      <c r="HKK746" s="213"/>
      <c r="HKL746" s="213"/>
      <c r="HKM746" s="213"/>
      <c r="HKN746" s="213"/>
      <c r="HKO746" s="213"/>
      <c r="HKP746" s="213"/>
      <c r="HKQ746" s="213"/>
      <c r="HKR746" s="213"/>
      <c r="HKS746" s="213"/>
      <c r="HKT746" s="213"/>
      <c r="HKU746" s="213"/>
      <c r="HKV746" s="213"/>
      <c r="HKW746" s="213"/>
      <c r="HKX746" s="213"/>
      <c r="HKY746" s="213"/>
      <c r="HKZ746" s="213"/>
      <c r="HLA746" s="213"/>
      <c r="HLB746" s="213"/>
      <c r="HLC746" s="213"/>
      <c r="HLD746" s="213"/>
      <c r="HLE746" s="213"/>
      <c r="HLF746" s="213"/>
      <c r="HLG746" s="213"/>
      <c r="HLH746" s="213"/>
      <c r="HLI746" s="213"/>
      <c r="HLJ746" s="213"/>
      <c r="HLK746" s="213"/>
      <c r="HLL746" s="213"/>
      <c r="HLM746" s="213"/>
      <c r="HLN746" s="213"/>
      <c r="HLO746" s="213"/>
      <c r="HLP746" s="213"/>
      <c r="HLQ746" s="213"/>
      <c r="HLR746" s="213"/>
      <c r="HLS746" s="213"/>
      <c r="HLT746" s="213"/>
      <c r="HLU746" s="213"/>
      <c r="HLV746" s="213"/>
      <c r="HLW746" s="213"/>
      <c r="HLX746" s="213"/>
      <c r="HLY746" s="213"/>
      <c r="HLZ746" s="213"/>
      <c r="HMA746" s="213"/>
      <c r="HMB746" s="213"/>
      <c r="HMC746" s="213"/>
      <c r="HMD746" s="213"/>
      <c r="HME746" s="213"/>
      <c r="HMF746" s="213"/>
      <c r="HMG746" s="213"/>
      <c r="HMH746" s="213"/>
      <c r="HMI746" s="213"/>
      <c r="HMJ746" s="213"/>
      <c r="HMK746" s="213"/>
      <c r="HML746" s="213"/>
      <c r="HMM746" s="213"/>
      <c r="HMN746" s="213"/>
      <c r="HMO746" s="213"/>
      <c r="HMP746" s="213"/>
      <c r="HMQ746" s="213"/>
      <c r="HMR746" s="213"/>
      <c r="HMS746" s="213"/>
      <c r="HMT746" s="213"/>
      <c r="HMU746" s="213"/>
      <c r="HMV746" s="213"/>
      <c r="HMW746" s="213"/>
      <c r="HMX746" s="213"/>
      <c r="HMY746" s="213"/>
      <c r="HMZ746" s="213"/>
      <c r="HNA746" s="213"/>
      <c r="HNB746" s="213"/>
      <c r="HNC746" s="213"/>
      <c r="HND746" s="213"/>
      <c r="HNE746" s="213"/>
      <c r="HNF746" s="213"/>
      <c r="HNG746" s="213"/>
      <c r="HNH746" s="213"/>
      <c r="HNI746" s="213"/>
      <c r="HNJ746" s="213"/>
      <c r="HNK746" s="213"/>
      <c r="HNL746" s="213"/>
      <c r="HNM746" s="213"/>
      <c r="HNN746" s="213"/>
      <c r="HNO746" s="213"/>
      <c r="HNP746" s="213"/>
      <c r="HNQ746" s="213"/>
      <c r="HNR746" s="213"/>
      <c r="HNS746" s="213"/>
      <c r="HNT746" s="213"/>
      <c r="HNU746" s="213"/>
      <c r="HNV746" s="213"/>
      <c r="HNW746" s="213"/>
      <c r="HNX746" s="213"/>
      <c r="HNY746" s="213"/>
      <c r="HNZ746" s="213"/>
      <c r="HOA746" s="213"/>
      <c r="HOB746" s="213"/>
      <c r="HOC746" s="213"/>
      <c r="HOD746" s="213"/>
      <c r="HOE746" s="213"/>
      <c r="HOF746" s="213"/>
      <c r="HOG746" s="213"/>
      <c r="HOH746" s="213"/>
      <c r="HOI746" s="213"/>
      <c r="HOJ746" s="213"/>
      <c r="HOK746" s="213"/>
      <c r="HOL746" s="213"/>
      <c r="HOM746" s="213"/>
      <c r="HON746" s="213"/>
      <c r="HOO746" s="213"/>
      <c r="HOP746" s="213"/>
      <c r="HOQ746" s="213"/>
      <c r="HOR746" s="213"/>
      <c r="HOS746" s="213"/>
      <c r="HOT746" s="213"/>
      <c r="HOU746" s="213"/>
      <c r="HOV746" s="213"/>
      <c r="HOW746" s="213"/>
      <c r="HOX746" s="213"/>
      <c r="HOY746" s="213"/>
      <c r="HOZ746" s="213"/>
      <c r="HPA746" s="213"/>
      <c r="HPB746" s="213"/>
      <c r="HPC746" s="213"/>
      <c r="HPD746" s="213"/>
      <c r="HPE746" s="213"/>
      <c r="HPF746" s="213"/>
      <c r="HPG746" s="213"/>
      <c r="HPH746" s="213"/>
      <c r="HPI746" s="213"/>
      <c r="HPJ746" s="213"/>
      <c r="HPK746" s="213"/>
      <c r="HPL746" s="213"/>
      <c r="HPM746" s="213"/>
      <c r="HPN746" s="213"/>
      <c r="HPO746" s="213"/>
      <c r="HPP746" s="213"/>
      <c r="HPQ746" s="213"/>
      <c r="HPR746" s="213"/>
      <c r="HPS746" s="213"/>
      <c r="HPT746" s="213"/>
      <c r="HPU746" s="213"/>
      <c r="HPV746" s="213"/>
      <c r="HPW746" s="213"/>
      <c r="HPX746" s="213"/>
      <c r="HPY746" s="213"/>
      <c r="HPZ746" s="213"/>
      <c r="HQA746" s="213"/>
      <c r="HQB746" s="213"/>
      <c r="HQC746" s="213"/>
      <c r="HQD746" s="213"/>
      <c r="HQE746" s="213"/>
      <c r="HQF746" s="213"/>
      <c r="HQG746" s="213"/>
      <c r="HQH746" s="213"/>
      <c r="HQI746" s="213"/>
      <c r="HQJ746" s="213"/>
      <c r="HQK746" s="213"/>
      <c r="HQL746" s="213"/>
      <c r="HQM746" s="213"/>
      <c r="HQN746" s="213"/>
      <c r="HQO746" s="213"/>
      <c r="HQP746" s="213"/>
      <c r="HQQ746" s="213"/>
      <c r="HQR746" s="213"/>
      <c r="HQS746" s="213"/>
      <c r="HQT746" s="213"/>
      <c r="HQU746" s="213"/>
      <c r="HQV746" s="213"/>
      <c r="HQW746" s="213"/>
      <c r="HQX746" s="213"/>
      <c r="HQY746" s="213"/>
      <c r="HQZ746" s="213"/>
      <c r="HRA746" s="213"/>
      <c r="HRB746" s="213"/>
      <c r="HRC746" s="213"/>
      <c r="HRD746" s="213"/>
      <c r="HRE746" s="213"/>
      <c r="HRF746" s="213"/>
      <c r="HRG746" s="213"/>
      <c r="HRH746" s="213"/>
      <c r="HRI746" s="213"/>
      <c r="HRJ746" s="213"/>
      <c r="HRK746" s="213"/>
      <c r="HRL746" s="213"/>
      <c r="HRM746" s="213"/>
      <c r="HRN746" s="213"/>
      <c r="HRO746" s="213"/>
      <c r="HRP746" s="213"/>
      <c r="HRQ746" s="213"/>
      <c r="HRR746" s="213"/>
      <c r="HRS746" s="213"/>
      <c r="HRT746" s="213"/>
      <c r="HRU746" s="213"/>
      <c r="HRV746" s="213"/>
      <c r="HRW746" s="213"/>
      <c r="HRX746" s="213"/>
      <c r="HRY746" s="213"/>
      <c r="HRZ746" s="213"/>
      <c r="HSA746" s="213"/>
      <c r="HSB746" s="213"/>
      <c r="HSC746" s="213"/>
      <c r="HSD746" s="213"/>
      <c r="HSE746" s="213"/>
      <c r="HSF746" s="213"/>
      <c r="HSG746" s="213"/>
      <c r="HSH746" s="213"/>
      <c r="HSI746" s="213"/>
      <c r="HSJ746" s="213"/>
      <c r="HSK746" s="213"/>
      <c r="HSL746" s="213"/>
      <c r="HSM746" s="213"/>
      <c r="HSN746" s="213"/>
      <c r="HSO746" s="213"/>
      <c r="HSP746" s="213"/>
      <c r="HSQ746" s="213"/>
      <c r="HSR746" s="213"/>
      <c r="HSS746" s="213"/>
      <c r="HST746" s="213"/>
      <c r="HSU746" s="213"/>
      <c r="HSV746" s="213"/>
      <c r="HSW746" s="213"/>
      <c r="HSX746" s="213"/>
      <c r="HSY746" s="213"/>
      <c r="HSZ746" s="213"/>
      <c r="HTA746" s="213"/>
      <c r="HTB746" s="213"/>
      <c r="HTC746" s="213"/>
      <c r="HTD746" s="213"/>
      <c r="HTE746" s="213"/>
      <c r="HTF746" s="213"/>
      <c r="HTG746" s="213"/>
      <c r="HTH746" s="213"/>
      <c r="HTI746" s="213"/>
      <c r="HTJ746" s="213"/>
      <c r="HTK746" s="213"/>
      <c r="HTL746" s="213"/>
      <c r="HTM746" s="213"/>
      <c r="HTN746" s="213"/>
      <c r="HTO746" s="213"/>
      <c r="HTP746" s="213"/>
      <c r="HTQ746" s="213"/>
      <c r="HTR746" s="213"/>
      <c r="HTS746" s="213"/>
      <c r="HTT746" s="213"/>
      <c r="HTU746" s="213"/>
      <c r="HTV746" s="213"/>
      <c r="HTW746" s="213"/>
      <c r="HTX746" s="213"/>
      <c r="HTY746" s="213"/>
      <c r="HTZ746" s="213"/>
      <c r="HUA746" s="213"/>
      <c r="HUB746" s="213"/>
      <c r="HUC746" s="213"/>
      <c r="HUD746" s="213"/>
      <c r="HUE746" s="213"/>
      <c r="HUF746" s="213"/>
      <c r="HUG746" s="213"/>
      <c r="HUH746" s="213"/>
      <c r="HUI746" s="213"/>
      <c r="HUJ746" s="213"/>
      <c r="HUK746" s="213"/>
      <c r="HUL746" s="213"/>
      <c r="HUM746" s="213"/>
      <c r="HUN746" s="213"/>
      <c r="HUO746" s="213"/>
      <c r="HUP746" s="213"/>
      <c r="HUQ746" s="213"/>
      <c r="HUR746" s="213"/>
      <c r="HUS746" s="213"/>
      <c r="HUT746" s="213"/>
      <c r="HUU746" s="213"/>
      <c r="HUV746" s="213"/>
      <c r="HUW746" s="213"/>
      <c r="HUX746" s="213"/>
      <c r="HUY746" s="213"/>
      <c r="HUZ746" s="213"/>
      <c r="HVA746" s="213"/>
      <c r="HVB746" s="213"/>
      <c r="HVC746" s="213"/>
      <c r="HVD746" s="213"/>
      <c r="HVE746" s="213"/>
      <c r="HVF746" s="213"/>
      <c r="HVG746" s="213"/>
      <c r="HVH746" s="213"/>
      <c r="HVI746" s="213"/>
      <c r="HVJ746" s="213"/>
      <c r="HVK746" s="213"/>
      <c r="HVL746" s="213"/>
      <c r="HVM746" s="213"/>
      <c r="HVN746" s="213"/>
      <c r="HVO746" s="213"/>
      <c r="HVP746" s="213"/>
      <c r="HVQ746" s="213"/>
      <c r="HVR746" s="213"/>
      <c r="HVS746" s="213"/>
      <c r="HVT746" s="213"/>
      <c r="HVU746" s="213"/>
      <c r="HVV746" s="213"/>
      <c r="HVW746" s="213"/>
      <c r="HVX746" s="213"/>
      <c r="HVY746" s="213"/>
      <c r="HVZ746" s="213"/>
      <c r="HWA746" s="213"/>
      <c r="HWB746" s="213"/>
      <c r="HWC746" s="213"/>
      <c r="HWD746" s="213"/>
      <c r="HWE746" s="213"/>
      <c r="HWF746" s="213"/>
      <c r="HWG746" s="213"/>
      <c r="HWH746" s="213"/>
      <c r="HWI746" s="213"/>
      <c r="HWJ746" s="213"/>
      <c r="HWK746" s="213"/>
      <c r="HWL746" s="213"/>
      <c r="HWM746" s="213"/>
      <c r="HWN746" s="213"/>
      <c r="HWO746" s="213"/>
      <c r="HWP746" s="213"/>
      <c r="HWQ746" s="213"/>
      <c r="HWR746" s="213"/>
      <c r="HWS746" s="213"/>
      <c r="HWT746" s="213"/>
      <c r="HWU746" s="213"/>
      <c r="HWV746" s="213"/>
      <c r="HWW746" s="213"/>
      <c r="HWX746" s="213"/>
      <c r="HWY746" s="213"/>
      <c r="HWZ746" s="213"/>
      <c r="HXA746" s="213"/>
      <c r="HXB746" s="213"/>
      <c r="HXC746" s="213"/>
      <c r="HXD746" s="213"/>
      <c r="HXE746" s="213"/>
      <c r="HXF746" s="213"/>
      <c r="HXG746" s="213"/>
      <c r="HXH746" s="213"/>
      <c r="HXI746" s="213"/>
      <c r="HXJ746" s="213"/>
      <c r="HXK746" s="213"/>
      <c r="HXL746" s="213"/>
      <c r="HXM746" s="213"/>
      <c r="HXN746" s="213"/>
      <c r="HXO746" s="213"/>
      <c r="HXP746" s="213"/>
      <c r="HXQ746" s="213"/>
      <c r="HXR746" s="213"/>
      <c r="HXS746" s="213"/>
      <c r="HXT746" s="213"/>
      <c r="HXU746" s="213"/>
      <c r="HXV746" s="213"/>
      <c r="HXW746" s="213"/>
      <c r="HXX746" s="213"/>
      <c r="HXY746" s="213"/>
      <c r="HXZ746" s="213"/>
      <c r="HYA746" s="213"/>
      <c r="HYB746" s="213"/>
      <c r="HYC746" s="213"/>
      <c r="HYD746" s="213"/>
      <c r="HYE746" s="213"/>
      <c r="HYF746" s="213"/>
      <c r="HYG746" s="213"/>
      <c r="HYH746" s="213"/>
      <c r="HYI746" s="213"/>
      <c r="HYJ746" s="213"/>
      <c r="HYK746" s="213"/>
      <c r="HYL746" s="213"/>
      <c r="HYM746" s="213"/>
      <c r="HYN746" s="213"/>
      <c r="HYO746" s="213"/>
      <c r="HYP746" s="213"/>
      <c r="HYQ746" s="213"/>
      <c r="HYR746" s="213"/>
      <c r="HYS746" s="213"/>
      <c r="HYT746" s="213"/>
      <c r="HYU746" s="213"/>
      <c r="HYV746" s="213"/>
      <c r="HYW746" s="213"/>
      <c r="HYX746" s="213"/>
      <c r="HYY746" s="213"/>
      <c r="HYZ746" s="213"/>
      <c r="HZA746" s="213"/>
      <c r="HZB746" s="213"/>
      <c r="HZC746" s="213"/>
      <c r="HZD746" s="213"/>
      <c r="HZE746" s="213"/>
      <c r="HZF746" s="213"/>
      <c r="HZG746" s="213"/>
      <c r="HZH746" s="213"/>
      <c r="HZI746" s="213"/>
      <c r="HZJ746" s="213"/>
      <c r="HZK746" s="213"/>
      <c r="HZL746" s="213"/>
      <c r="HZM746" s="213"/>
      <c r="HZN746" s="213"/>
      <c r="HZO746" s="213"/>
      <c r="HZP746" s="213"/>
      <c r="HZQ746" s="213"/>
      <c r="HZR746" s="213"/>
      <c r="HZS746" s="213"/>
      <c r="HZT746" s="213"/>
      <c r="HZU746" s="213"/>
      <c r="HZV746" s="213"/>
      <c r="HZW746" s="213"/>
      <c r="HZX746" s="213"/>
      <c r="HZY746" s="213"/>
      <c r="HZZ746" s="213"/>
      <c r="IAA746" s="213"/>
      <c r="IAB746" s="213"/>
      <c r="IAC746" s="213"/>
      <c r="IAD746" s="213"/>
      <c r="IAE746" s="213"/>
      <c r="IAF746" s="213"/>
      <c r="IAG746" s="213"/>
      <c r="IAH746" s="213"/>
      <c r="IAI746" s="213"/>
      <c r="IAJ746" s="213"/>
      <c r="IAK746" s="213"/>
      <c r="IAL746" s="213"/>
      <c r="IAM746" s="213"/>
      <c r="IAN746" s="213"/>
      <c r="IAO746" s="213"/>
      <c r="IAP746" s="213"/>
      <c r="IAQ746" s="213"/>
      <c r="IAR746" s="213"/>
      <c r="IAS746" s="213"/>
      <c r="IAT746" s="213"/>
      <c r="IAU746" s="213"/>
      <c r="IAV746" s="213"/>
      <c r="IAW746" s="213"/>
      <c r="IAX746" s="213"/>
      <c r="IAY746" s="213"/>
      <c r="IAZ746" s="213"/>
      <c r="IBA746" s="213"/>
      <c r="IBB746" s="213"/>
      <c r="IBC746" s="213"/>
      <c r="IBD746" s="213"/>
      <c r="IBE746" s="213"/>
      <c r="IBF746" s="213"/>
      <c r="IBG746" s="213"/>
      <c r="IBH746" s="213"/>
      <c r="IBI746" s="213"/>
      <c r="IBJ746" s="213"/>
      <c r="IBK746" s="213"/>
      <c r="IBL746" s="213"/>
      <c r="IBM746" s="213"/>
      <c r="IBN746" s="213"/>
      <c r="IBO746" s="213"/>
      <c r="IBP746" s="213"/>
      <c r="IBQ746" s="213"/>
      <c r="IBR746" s="213"/>
      <c r="IBS746" s="213"/>
      <c r="IBT746" s="213"/>
      <c r="IBU746" s="213"/>
      <c r="IBV746" s="213"/>
      <c r="IBW746" s="213"/>
      <c r="IBX746" s="213"/>
      <c r="IBY746" s="213"/>
      <c r="IBZ746" s="213"/>
      <c r="ICA746" s="213"/>
      <c r="ICB746" s="213"/>
      <c r="ICC746" s="213"/>
      <c r="ICD746" s="213"/>
      <c r="ICE746" s="213"/>
      <c r="ICF746" s="213"/>
      <c r="ICG746" s="213"/>
      <c r="ICH746" s="213"/>
      <c r="ICI746" s="213"/>
      <c r="ICJ746" s="213"/>
      <c r="ICK746" s="213"/>
      <c r="ICL746" s="213"/>
      <c r="ICM746" s="213"/>
      <c r="ICN746" s="213"/>
      <c r="ICO746" s="213"/>
      <c r="ICP746" s="213"/>
      <c r="ICQ746" s="213"/>
      <c r="ICR746" s="213"/>
      <c r="ICS746" s="213"/>
      <c r="ICT746" s="213"/>
      <c r="ICU746" s="213"/>
      <c r="ICV746" s="213"/>
      <c r="ICW746" s="213"/>
      <c r="ICX746" s="213"/>
      <c r="ICY746" s="213"/>
      <c r="ICZ746" s="213"/>
      <c r="IDA746" s="213"/>
      <c r="IDB746" s="213"/>
      <c r="IDC746" s="213"/>
      <c r="IDD746" s="213"/>
      <c r="IDE746" s="213"/>
      <c r="IDF746" s="213"/>
      <c r="IDG746" s="213"/>
      <c r="IDH746" s="213"/>
      <c r="IDI746" s="213"/>
      <c r="IDJ746" s="213"/>
      <c r="IDK746" s="213"/>
      <c r="IDL746" s="213"/>
      <c r="IDM746" s="213"/>
      <c r="IDN746" s="213"/>
      <c r="IDO746" s="213"/>
      <c r="IDP746" s="213"/>
      <c r="IDQ746" s="213"/>
      <c r="IDR746" s="213"/>
      <c r="IDS746" s="213"/>
      <c r="IDT746" s="213"/>
      <c r="IDU746" s="213"/>
      <c r="IDV746" s="213"/>
      <c r="IDW746" s="213"/>
      <c r="IDX746" s="213"/>
      <c r="IDY746" s="213"/>
      <c r="IDZ746" s="213"/>
      <c r="IEA746" s="213"/>
      <c r="IEB746" s="213"/>
      <c r="IEC746" s="213"/>
      <c r="IED746" s="213"/>
      <c r="IEE746" s="213"/>
      <c r="IEF746" s="213"/>
      <c r="IEG746" s="213"/>
      <c r="IEH746" s="213"/>
      <c r="IEI746" s="213"/>
      <c r="IEJ746" s="213"/>
      <c r="IEK746" s="213"/>
      <c r="IEL746" s="213"/>
      <c r="IEM746" s="213"/>
      <c r="IEN746" s="213"/>
      <c r="IEO746" s="213"/>
      <c r="IEP746" s="213"/>
      <c r="IEQ746" s="213"/>
      <c r="IER746" s="213"/>
      <c r="IES746" s="213"/>
      <c r="IET746" s="213"/>
      <c r="IEU746" s="213"/>
      <c r="IEV746" s="213"/>
      <c r="IEW746" s="213"/>
      <c r="IEX746" s="213"/>
      <c r="IEY746" s="213"/>
      <c r="IEZ746" s="213"/>
      <c r="IFA746" s="213"/>
      <c r="IFB746" s="213"/>
      <c r="IFC746" s="213"/>
      <c r="IFD746" s="213"/>
      <c r="IFE746" s="213"/>
      <c r="IFF746" s="213"/>
      <c r="IFG746" s="213"/>
      <c r="IFH746" s="213"/>
      <c r="IFI746" s="213"/>
      <c r="IFJ746" s="213"/>
      <c r="IFK746" s="213"/>
      <c r="IFL746" s="213"/>
      <c r="IFM746" s="213"/>
      <c r="IFN746" s="213"/>
      <c r="IFO746" s="213"/>
      <c r="IFP746" s="213"/>
      <c r="IFQ746" s="213"/>
      <c r="IFR746" s="213"/>
      <c r="IFS746" s="213"/>
      <c r="IFT746" s="213"/>
      <c r="IFU746" s="213"/>
      <c r="IFV746" s="213"/>
      <c r="IFW746" s="213"/>
      <c r="IFX746" s="213"/>
      <c r="IFY746" s="213"/>
      <c r="IFZ746" s="213"/>
      <c r="IGA746" s="213"/>
      <c r="IGB746" s="213"/>
      <c r="IGC746" s="213"/>
      <c r="IGD746" s="213"/>
      <c r="IGE746" s="213"/>
      <c r="IGF746" s="213"/>
      <c r="IGG746" s="213"/>
      <c r="IGH746" s="213"/>
      <c r="IGI746" s="213"/>
      <c r="IGJ746" s="213"/>
      <c r="IGK746" s="213"/>
      <c r="IGL746" s="213"/>
      <c r="IGM746" s="213"/>
      <c r="IGN746" s="213"/>
      <c r="IGO746" s="213"/>
      <c r="IGP746" s="213"/>
      <c r="IGQ746" s="213"/>
      <c r="IGR746" s="213"/>
      <c r="IGS746" s="213"/>
      <c r="IGT746" s="213"/>
      <c r="IGU746" s="213"/>
      <c r="IGV746" s="213"/>
      <c r="IGW746" s="213"/>
      <c r="IGX746" s="213"/>
      <c r="IGY746" s="213"/>
      <c r="IGZ746" s="213"/>
      <c r="IHA746" s="213"/>
      <c r="IHB746" s="213"/>
      <c r="IHC746" s="213"/>
      <c r="IHD746" s="213"/>
      <c r="IHE746" s="213"/>
      <c r="IHF746" s="213"/>
      <c r="IHG746" s="213"/>
      <c r="IHH746" s="213"/>
      <c r="IHI746" s="213"/>
      <c r="IHJ746" s="213"/>
      <c r="IHK746" s="213"/>
      <c r="IHL746" s="213"/>
      <c r="IHM746" s="213"/>
      <c r="IHN746" s="213"/>
      <c r="IHO746" s="213"/>
      <c r="IHP746" s="213"/>
      <c r="IHQ746" s="213"/>
      <c r="IHR746" s="213"/>
      <c r="IHS746" s="213"/>
      <c r="IHT746" s="213"/>
      <c r="IHU746" s="213"/>
      <c r="IHV746" s="213"/>
      <c r="IHW746" s="213"/>
      <c r="IHX746" s="213"/>
      <c r="IHY746" s="213"/>
      <c r="IHZ746" s="213"/>
      <c r="IIA746" s="213"/>
      <c r="IIB746" s="213"/>
      <c r="IIC746" s="213"/>
      <c r="IID746" s="213"/>
      <c r="IIE746" s="213"/>
      <c r="IIF746" s="213"/>
      <c r="IIG746" s="213"/>
      <c r="IIH746" s="213"/>
      <c r="III746" s="213"/>
      <c r="IIJ746" s="213"/>
      <c r="IIK746" s="213"/>
      <c r="IIL746" s="213"/>
      <c r="IIM746" s="213"/>
      <c r="IIN746" s="213"/>
      <c r="IIO746" s="213"/>
      <c r="IIP746" s="213"/>
      <c r="IIQ746" s="213"/>
      <c r="IIR746" s="213"/>
      <c r="IIS746" s="213"/>
      <c r="IIT746" s="213"/>
      <c r="IIU746" s="213"/>
      <c r="IIV746" s="213"/>
      <c r="IIW746" s="213"/>
      <c r="IIX746" s="213"/>
      <c r="IIY746" s="213"/>
      <c r="IIZ746" s="213"/>
      <c r="IJA746" s="213"/>
      <c r="IJB746" s="213"/>
      <c r="IJC746" s="213"/>
      <c r="IJD746" s="213"/>
      <c r="IJE746" s="213"/>
      <c r="IJF746" s="213"/>
      <c r="IJG746" s="213"/>
      <c r="IJH746" s="213"/>
      <c r="IJI746" s="213"/>
      <c r="IJJ746" s="213"/>
      <c r="IJK746" s="213"/>
      <c r="IJL746" s="213"/>
      <c r="IJM746" s="213"/>
      <c r="IJN746" s="213"/>
      <c r="IJO746" s="213"/>
      <c r="IJP746" s="213"/>
      <c r="IJQ746" s="213"/>
      <c r="IJR746" s="213"/>
      <c r="IJS746" s="213"/>
      <c r="IJT746" s="213"/>
      <c r="IJU746" s="213"/>
      <c r="IJV746" s="213"/>
      <c r="IJW746" s="213"/>
      <c r="IJX746" s="213"/>
      <c r="IJY746" s="213"/>
      <c r="IJZ746" s="213"/>
      <c r="IKA746" s="213"/>
      <c r="IKB746" s="213"/>
      <c r="IKC746" s="213"/>
      <c r="IKD746" s="213"/>
      <c r="IKE746" s="213"/>
      <c r="IKF746" s="213"/>
      <c r="IKG746" s="213"/>
      <c r="IKH746" s="213"/>
      <c r="IKI746" s="213"/>
      <c r="IKJ746" s="213"/>
      <c r="IKK746" s="213"/>
      <c r="IKL746" s="213"/>
      <c r="IKM746" s="213"/>
      <c r="IKN746" s="213"/>
      <c r="IKO746" s="213"/>
      <c r="IKP746" s="213"/>
      <c r="IKQ746" s="213"/>
      <c r="IKR746" s="213"/>
      <c r="IKS746" s="213"/>
      <c r="IKT746" s="213"/>
      <c r="IKU746" s="213"/>
      <c r="IKV746" s="213"/>
      <c r="IKW746" s="213"/>
      <c r="IKX746" s="213"/>
      <c r="IKY746" s="213"/>
      <c r="IKZ746" s="213"/>
      <c r="ILA746" s="213"/>
      <c r="ILB746" s="213"/>
      <c r="ILC746" s="213"/>
      <c r="ILD746" s="213"/>
      <c r="ILE746" s="213"/>
      <c r="ILF746" s="213"/>
      <c r="ILG746" s="213"/>
      <c r="ILH746" s="213"/>
      <c r="ILI746" s="213"/>
      <c r="ILJ746" s="213"/>
      <c r="ILK746" s="213"/>
      <c r="ILL746" s="213"/>
      <c r="ILM746" s="213"/>
      <c r="ILN746" s="213"/>
      <c r="ILO746" s="213"/>
      <c r="ILP746" s="213"/>
      <c r="ILQ746" s="213"/>
      <c r="ILR746" s="213"/>
      <c r="ILS746" s="213"/>
      <c r="ILT746" s="213"/>
      <c r="ILU746" s="213"/>
      <c r="ILV746" s="213"/>
      <c r="ILW746" s="213"/>
      <c r="ILX746" s="213"/>
      <c r="ILY746" s="213"/>
      <c r="ILZ746" s="213"/>
      <c r="IMA746" s="213"/>
      <c r="IMB746" s="213"/>
      <c r="IMC746" s="213"/>
      <c r="IMD746" s="213"/>
      <c r="IME746" s="213"/>
      <c r="IMF746" s="213"/>
      <c r="IMG746" s="213"/>
      <c r="IMH746" s="213"/>
      <c r="IMI746" s="213"/>
      <c r="IMJ746" s="213"/>
      <c r="IMK746" s="213"/>
      <c r="IML746" s="213"/>
      <c r="IMM746" s="213"/>
      <c r="IMN746" s="213"/>
      <c r="IMO746" s="213"/>
      <c r="IMP746" s="213"/>
      <c r="IMQ746" s="213"/>
      <c r="IMR746" s="213"/>
      <c r="IMS746" s="213"/>
      <c r="IMT746" s="213"/>
      <c r="IMU746" s="213"/>
      <c r="IMV746" s="213"/>
      <c r="IMW746" s="213"/>
      <c r="IMX746" s="213"/>
      <c r="IMY746" s="213"/>
      <c r="IMZ746" s="213"/>
      <c r="INA746" s="213"/>
      <c r="INB746" s="213"/>
      <c r="INC746" s="213"/>
      <c r="IND746" s="213"/>
      <c r="INE746" s="213"/>
      <c r="INF746" s="213"/>
      <c r="ING746" s="213"/>
      <c r="INH746" s="213"/>
      <c r="INI746" s="213"/>
      <c r="INJ746" s="213"/>
      <c r="INK746" s="213"/>
      <c r="INL746" s="213"/>
      <c r="INM746" s="213"/>
      <c r="INN746" s="213"/>
      <c r="INO746" s="213"/>
      <c r="INP746" s="213"/>
      <c r="INQ746" s="213"/>
      <c r="INR746" s="213"/>
      <c r="INS746" s="213"/>
      <c r="INT746" s="213"/>
      <c r="INU746" s="213"/>
      <c r="INV746" s="213"/>
      <c r="INW746" s="213"/>
      <c r="INX746" s="213"/>
      <c r="INY746" s="213"/>
      <c r="INZ746" s="213"/>
      <c r="IOA746" s="213"/>
      <c r="IOB746" s="213"/>
      <c r="IOC746" s="213"/>
      <c r="IOD746" s="213"/>
      <c r="IOE746" s="213"/>
      <c r="IOF746" s="213"/>
      <c r="IOG746" s="213"/>
      <c r="IOH746" s="213"/>
      <c r="IOI746" s="213"/>
      <c r="IOJ746" s="213"/>
      <c r="IOK746" s="213"/>
      <c r="IOL746" s="213"/>
      <c r="IOM746" s="213"/>
      <c r="ION746" s="213"/>
      <c r="IOO746" s="213"/>
      <c r="IOP746" s="213"/>
      <c r="IOQ746" s="213"/>
      <c r="IOR746" s="213"/>
      <c r="IOS746" s="213"/>
      <c r="IOT746" s="213"/>
      <c r="IOU746" s="213"/>
      <c r="IOV746" s="213"/>
      <c r="IOW746" s="213"/>
      <c r="IOX746" s="213"/>
      <c r="IOY746" s="213"/>
      <c r="IOZ746" s="213"/>
      <c r="IPA746" s="213"/>
      <c r="IPB746" s="213"/>
      <c r="IPC746" s="213"/>
      <c r="IPD746" s="213"/>
      <c r="IPE746" s="213"/>
      <c r="IPF746" s="213"/>
      <c r="IPG746" s="213"/>
      <c r="IPH746" s="213"/>
      <c r="IPI746" s="213"/>
      <c r="IPJ746" s="213"/>
      <c r="IPK746" s="213"/>
      <c r="IPL746" s="213"/>
      <c r="IPM746" s="213"/>
      <c r="IPN746" s="213"/>
      <c r="IPO746" s="213"/>
      <c r="IPP746" s="213"/>
      <c r="IPQ746" s="213"/>
      <c r="IPR746" s="213"/>
      <c r="IPS746" s="213"/>
      <c r="IPT746" s="213"/>
      <c r="IPU746" s="213"/>
      <c r="IPV746" s="213"/>
      <c r="IPW746" s="213"/>
      <c r="IPX746" s="213"/>
      <c r="IPY746" s="213"/>
      <c r="IPZ746" s="213"/>
      <c r="IQA746" s="213"/>
      <c r="IQB746" s="213"/>
      <c r="IQC746" s="213"/>
      <c r="IQD746" s="213"/>
      <c r="IQE746" s="213"/>
      <c r="IQF746" s="213"/>
      <c r="IQG746" s="213"/>
      <c r="IQH746" s="213"/>
      <c r="IQI746" s="213"/>
      <c r="IQJ746" s="213"/>
      <c r="IQK746" s="213"/>
      <c r="IQL746" s="213"/>
      <c r="IQM746" s="213"/>
      <c r="IQN746" s="213"/>
      <c r="IQO746" s="213"/>
      <c r="IQP746" s="213"/>
      <c r="IQQ746" s="213"/>
      <c r="IQR746" s="213"/>
      <c r="IQS746" s="213"/>
      <c r="IQT746" s="213"/>
      <c r="IQU746" s="213"/>
      <c r="IQV746" s="213"/>
      <c r="IQW746" s="213"/>
      <c r="IQX746" s="213"/>
      <c r="IQY746" s="213"/>
      <c r="IQZ746" s="213"/>
      <c r="IRA746" s="213"/>
      <c r="IRB746" s="213"/>
      <c r="IRC746" s="213"/>
      <c r="IRD746" s="213"/>
      <c r="IRE746" s="213"/>
      <c r="IRF746" s="213"/>
      <c r="IRG746" s="213"/>
      <c r="IRH746" s="213"/>
      <c r="IRI746" s="213"/>
      <c r="IRJ746" s="213"/>
      <c r="IRK746" s="213"/>
      <c r="IRL746" s="213"/>
      <c r="IRM746" s="213"/>
      <c r="IRN746" s="213"/>
      <c r="IRO746" s="213"/>
      <c r="IRP746" s="213"/>
      <c r="IRQ746" s="213"/>
      <c r="IRR746" s="213"/>
      <c r="IRS746" s="213"/>
      <c r="IRT746" s="213"/>
      <c r="IRU746" s="213"/>
      <c r="IRV746" s="213"/>
      <c r="IRW746" s="213"/>
      <c r="IRX746" s="213"/>
      <c r="IRY746" s="213"/>
      <c r="IRZ746" s="213"/>
      <c r="ISA746" s="213"/>
      <c r="ISB746" s="213"/>
      <c r="ISC746" s="213"/>
      <c r="ISD746" s="213"/>
      <c r="ISE746" s="213"/>
      <c r="ISF746" s="213"/>
      <c r="ISG746" s="213"/>
      <c r="ISH746" s="213"/>
      <c r="ISI746" s="213"/>
      <c r="ISJ746" s="213"/>
      <c r="ISK746" s="213"/>
      <c r="ISL746" s="213"/>
      <c r="ISM746" s="213"/>
      <c r="ISN746" s="213"/>
      <c r="ISO746" s="213"/>
      <c r="ISP746" s="213"/>
      <c r="ISQ746" s="213"/>
      <c r="ISR746" s="213"/>
      <c r="ISS746" s="213"/>
      <c r="IST746" s="213"/>
      <c r="ISU746" s="213"/>
      <c r="ISV746" s="213"/>
      <c r="ISW746" s="213"/>
      <c r="ISX746" s="213"/>
      <c r="ISY746" s="213"/>
      <c r="ISZ746" s="213"/>
      <c r="ITA746" s="213"/>
      <c r="ITB746" s="213"/>
      <c r="ITC746" s="213"/>
      <c r="ITD746" s="213"/>
      <c r="ITE746" s="213"/>
      <c r="ITF746" s="213"/>
      <c r="ITG746" s="213"/>
      <c r="ITH746" s="213"/>
      <c r="ITI746" s="213"/>
      <c r="ITJ746" s="213"/>
      <c r="ITK746" s="213"/>
      <c r="ITL746" s="213"/>
      <c r="ITM746" s="213"/>
      <c r="ITN746" s="213"/>
      <c r="ITO746" s="213"/>
      <c r="ITP746" s="213"/>
      <c r="ITQ746" s="213"/>
      <c r="ITR746" s="213"/>
      <c r="ITS746" s="213"/>
      <c r="ITT746" s="213"/>
      <c r="ITU746" s="213"/>
      <c r="ITV746" s="213"/>
      <c r="ITW746" s="213"/>
      <c r="ITX746" s="213"/>
      <c r="ITY746" s="213"/>
      <c r="ITZ746" s="213"/>
      <c r="IUA746" s="213"/>
      <c r="IUB746" s="213"/>
      <c r="IUC746" s="213"/>
      <c r="IUD746" s="213"/>
      <c r="IUE746" s="213"/>
      <c r="IUF746" s="213"/>
      <c r="IUG746" s="213"/>
      <c r="IUH746" s="213"/>
      <c r="IUI746" s="213"/>
      <c r="IUJ746" s="213"/>
      <c r="IUK746" s="213"/>
      <c r="IUL746" s="213"/>
      <c r="IUM746" s="213"/>
      <c r="IUN746" s="213"/>
      <c r="IUO746" s="213"/>
      <c r="IUP746" s="213"/>
      <c r="IUQ746" s="213"/>
      <c r="IUR746" s="213"/>
      <c r="IUS746" s="213"/>
      <c r="IUT746" s="213"/>
      <c r="IUU746" s="213"/>
      <c r="IUV746" s="213"/>
      <c r="IUW746" s="213"/>
      <c r="IUX746" s="213"/>
      <c r="IUY746" s="213"/>
      <c r="IUZ746" s="213"/>
      <c r="IVA746" s="213"/>
      <c r="IVB746" s="213"/>
      <c r="IVC746" s="213"/>
      <c r="IVD746" s="213"/>
      <c r="IVE746" s="213"/>
      <c r="IVF746" s="213"/>
      <c r="IVG746" s="213"/>
      <c r="IVH746" s="213"/>
      <c r="IVI746" s="213"/>
      <c r="IVJ746" s="213"/>
      <c r="IVK746" s="213"/>
      <c r="IVL746" s="213"/>
      <c r="IVM746" s="213"/>
      <c r="IVN746" s="213"/>
      <c r="IVO746" s="213"/>
      <c r="IVP746" s="213"/>
      <c r="IVQ746" s="213"/>
      <c r="IVR746" s="213"/>
      <c r="IVS746" s="213"/>
      <c r="IVT746" s="213"/>
      <c r="IVU746" s="213"/>
      <c r="IVV746" s="213"/>
      <c r="IVW746" s="213"/>
      <c r="IVX746" s="213"/>
      <c r="IVY746" s="213"/>
      <c r="IVZ746" s="213"/>
      <c r="IWA746" s="213"/>
      <c r="IWB746" s="213"/>
      <c r="IWC746" s="213"/>
      <c r="IWD746" s="213"/>
      <c r="IWE746" s="213"/>
      <c r="IWF746" s="213"/>
      <c r="IWG746" s="213"/>
      <c r="IWH746" s="213"/>
      <c r="IWI746" s="213"/>
      <c r="IWJ746" s="213"/>
      <c r="IWK746" s="213"/>
      <c r="IWL746" s="213"/>
      <c r="IWM746" s="213"/>
      <c r="IWN746" s="213"/>
      <c r="IWO746" s="213"/>
      <c r="IWP746" s="213"/>
      <c r="IWQ746" s="213"/>
      <c r="IWR746" s="213"/>
      <c r="IWS746" s="213"/>
      <c r="IWT746" s="213"/>
      <c r="IWU746" s="213"/>
      <c r="IWV746" s="213"/>
      <c r="IWW746" s="213"/>
      <c r="IWX746" s="213"/>
      <c r="IWY746" s="213"/>
      <c r="IWZ746" s="213"/>
      <c r="IXA746" s="213"/>
      <c r="IXB746" s="213"/>
      <c r="IXC746" s="213"/>
      <c r="IXD746" s="213"/>
      <c r="IXE746" s="213"/>
      <c r="IXF746" s="213"/>
      <c r="IXG746" s="213"/>
      <c r="IXH746" s="213"/>
      <c r="IXI746" s="213"/>
      <c r="IXJ746" s="213"/>
      <c r="IXK746" s="213"/>
      <c r="IXL746" s="213"/>
      <c r="IXM746" s="213"/>
      <c r="IXN746" s="213"/>
      <c r="IXO746" s="213"/>
      <c r="IXP746" s="213"/>
      <c r="IXQ746" s="213"/>
      <c r="IXR746" s="213"/>
      <c r="IXS746" s="213"/>
      <c r="IXT746" s="213"/>
      <c r="IXU746" s="213"/>
      <c r="IXV746" s="213"/>
      <c r="IXW746" s="213"/>
      <c r="IXX746" s="213"/>
      <c r="IXY746" s="213"/>
      <c r="IXZ746" s="213"/>
      <c r="IYA746" s="213"/>
      <c r="IYB746" s="213"/>
      <c r="IYC746" s="213"/>
      <c r="IYD746" s="213"/>
      <c r="IYE746" s="213"/>
      <c r="IYF746" s="213"/>
      <c r="IYG746" s="213"/>
      <c r="IYH746" s="213"/>
      <c r="IYI746" s="213"/>
      <c r="IYJ746" s="213"/>
      <c r="IYK746" s="213"/>
      <c r="IYL746" s="213"/>
      <c r="IYM746" s="213"/>
      <c r="IYN746" s="213"/>
      <c r="IYO746" s="213"/>
      <c r="IYP746" s="213"/>
      <c r="IYQ746" s="213"/>
      <c r="IYR746" s="213"/>
      <c r="IYS746" s="213"/>
      <c r="IYT746" s="213"/>
      <c r="IYU746" s="213"/>
      <c r="IYV746" s="213"/>
      <c r="IYW746" s="213"/>
      <c r="IYX746" s="213"/>
      <c r="IYY746" s="213"/>
      <c r="IYZ746" s="213"/>
      <c r="IZA746" s="213"/>
      <c r="IZB746" s="213"/>
      <c r="IZC746" s="213"/>
      <c r="IZD746" s="213"/>
      <c r="IZE746" s="213"/>
      <c r="IZF746" s="213"/>
      <c r="IZG746" s="213"/>
      <c r="IZH746" s="213"/>
      <c r="IZI746" s="213"/>
      <c r="IZJ746" s="213"/>
      <c r="IZK746" s="213"/>
      <c r="IZL746" s="213"/>
      <c r="IZM746" s="213"/>
      <c r="IZN746" s="213"/>
      <c r="IZO746" s="213"/>
      <c r="IZP746" s="213"/>
      <c r="IZQ746" s="213"/>
      <c r="IZR746" s="213"/>
      <c r="IZS746" s="213"/>
      <c r="IZT746" s="213"/>
      <c r="IZU746" s="213"/>
      <c r="IZV746" s="213"/>
      <c r="IZW746" s="213"/>
      <c r="IZX746" s="213"/>
      <c r="IZY746" s="213"/>
      <c r="IZZ746" s="213"/>
      <c r="JAA746" s="213"/>
      <c r="JAB746" s="213"/>
      <c r="JAC746" s="213"/>
      <c r="JAD746" s="213"/>
      <c r="JAE746" s="213"/>
      <c r="JAF746" s="213"/>
      <c r="JAG746" s="213"/>
      <c r="JAH746" s="213"/>
      <c r="JAI746" s="213"/>
      <c r="JAJ746" s="213"/>
      <c r="JAK746" s="213"/>
      <c r="JAL746" s="213"/>
      <c r="JAM746" s="213"/>
      <c r="JAN746" s="213"/>
      <c r="JAO746" s="213"/>
      <c r="JAP746" s="213"/>
      <c r="JAQ746" s="213"/>
      <c r="JAR746" s="213"/>
      <c r="JAS746" s="213"/>
      <c r="JAT746" s="213"/>
      <c r="JAU746" s="213"/>
      <c r="JAV746" s="213"/>
      <c r="JAW746" s="213"/>
      <c r="JAX746" s="213"/>
      <c r="JAY746" s="213"/>
      <c r="JAZ746" s="213"/>
      <c r="JBA746" s="213"/>
      <c r="JBB746" s="213"/>
      <c r="JBC746" s="213"/>
      <c r="JBD746" s="213"/>
      <c r="JBE746" s="213"/>
      <c r="JBF746" s="213"/>
      <c r="JBG746" s="213"/>
      <c r="JBH746" s="213"/>
      <c r="JBI746" s="213"/>
      <c r="JBJ746" s="213"/>
      <c r="JBK746" s="213"/>
      <c r="JBL746" s="213"/>
      <c r="JBM746" s="213"/>
      <c r="JBN746" s="213"/>
      <c r="JBO746" s="213"/>
      <c r="JBP746" s="213"/>
      <c r="JBQ746" s="213"/>
      <c r="JBR746" s="213"/>
      <c r="JBS746" s="213"/>
      <c r="JBT746" s="213"/>
      <c r="JBU746" s="213"/>
      <c r="JBV746" s="213"/>
      <c r="JBW746" s="213"/>
      <c r="JBX746" s="213"/>
      <c r="JBY746" s="213"/>
      <c r="JBZ746" s="213"/>
      <c r="JCA746" s="213"/>
      <c r="JCB746" s="213"/>
      <c r="JCC746" s="213"/>
      <c r="JCD746" s="213"/>
      <c r="JCE746" s="213"/>
      <c r="JCF746" s="213"/>
      <c r="JCG746" s="213"/>
      <c r="JCH746" s="213"/>
      <c r="JCI746" s="213"/>
      <c r="JCJ746" s="213"/>
      <c r="JCK746" s="213"/>
      <c r="JCL746" s="213"/>
      <c r="JCM746" s="213"/>
      <c r="JCN746" s="213"/>
      <c r="JCO746" s="213"/>
      <c r="JCP746" s="213"/>
      <c r="JCQ746" s="213"/>
      <c r="JCR746" s="213"/>
      <c r="JCS746" s="213"/>
      <c r="JCT746" s="213"/>
      <c r="JCU746" s="213"/>
      <c r="JCV746" s="213"/>
      <c r="JCW746" s="213"/>
      <c r="JCX746" s="213"/>
      <c r="JCY746" s="213"/>
      <c r="JCZ746" s="213"/>
      <c r="JDA746" s="213"/>
      <c r="JDB746" s="213"/>
      <c r="JDC746" s="213"/>
      <c r="JDD746" s="213"/>
      <c r="JDE746" s="213"/>
      <c r="JDF746" s="213"/>
      <c r="JDG746" s="213"/>
      <c r="JDH746" s="213"/>
      <c r="JDI746" s="213"/>
      <c r="JDJ746" s="213"/>
      <c r="JDK746" s="213"/>
      <c r="JDL746" s="213"/>
      <c r="JDM746" s="213"/>
      <c r="JDN746" s="213"/>
      <c r="JDO746" s="213"/>
      <c r="JDP746" s="213"/>
      <c r="JDQ746" s="213"/>
      <c r="JDR746" s="213"/>
      <c r="JDS746" s="213"/>
      <c r="JDT746" s="213"/>
      <c r="JDU746" s="213"/>
      <c r="JDV746" s="213"/>
      <c r="JDW746" s="213"/>
      <c r="JDX746" s="213"/>
      <c r="JDY746" s="213"/>
      <c r="JDZ746" s="213"/>
      <c r="JEA746" s="213"/>
      <c r="JEB746" s="213"/>
      <c r="JEC746" s="213"/>
      <c r="JED746" s="213"/>
      <c r="JEE746" s="213"/>
      <c r="JEF746" s="213"/>
      <c r="JEG746" s="213"/>
      <c r="JEH746" s="213"/>
      <c r="JEI746" s="213"/>
      <c r="JEJ746" s="213"/>
      <c r="JEK746" s="213"/>
      <c r="JEL746" s="213"/>
      <c r="JEM746" s="213"/>
      <c r="JEN746" s="213"/>
      <c r="JEO746" s="213"/>
      <c r="JEP746" s="213"/>
      <c r="JEQ746" s="213"/>
      <c r="JER746" s="213"/>
      <c r="JES746" s="213"/>
      <c r="JET746" s="213"/>
      <c r="JEU746" s="213"/>
      <c r="JEV746" s="213"/>
      <c r="JEW746" s="213"/>
      <c r="JEX746" s="213"/>
      <c r="JEY746" s="213"/>
      <c r="JEZ746" s="213"/>
      <c r="JFA746" s="213"/>
      <c r="JFB746" s="213"/>
      <c r="JFC746" s="213"/>
      <c r="JFD746" s="213"/>
      <c r="JFE746" s="213"/>
      <c r="JFF746" s="213"/>
      <c r="JFG746" s="213"/>
      <c r="JFH746" s="213"/>
      <c r="JFI746" s="213"/>
      <c r="JFJ746" s="213"/>
      <c r="JFK746" s="213"/>
      <c r="JFL746" s="213"/>
      <c r="JFM746" s="213"/>
      <c r="JFN746" s="213"/>
      <c r="JFO746" s="213"/>
      <c r="JFP746" s="213"/>
      <c r="JFQ746" s="213"/>
      <c r="JFR746" s="213"/>
      <c r="JFS746" s="213"/>
      <c r="JFT746" s="213"/>
      <c r="JFU746" s="213"/>
      <c r="JFV746" s="213"/>
      <c r="JFW746" s="213"/>
      <c r="JFX746" s="213"/>
      <c r="JFY746" s="213"/>
      <c r="JFZ746" s="213"/>
      <c r="JGA746" s="213"/>
      <c r="JGB746" s="213"/>
      <c r="JGC746" s="213"/>
      <c r="JGD746" s="213"/>
      <c r="JGE746" s="213"/>
      <c r="JGF746" s="213"/>
      <c r="JGG746" s="213"/>
      <c r="JGH746" s="213"/>
      <c r="JGI746" s="213"/>
      <c r="JGJ746" s="213"/>
      <c r="JGK746" s="213"/>
      <c r="JGL746" s="213"/>
      <c r="JGM746" s="213"/>
      <c r="JGN746" s="213"/>
      <c r="JGO746" s="213"/>
      <c r="JGP746" s="213"/>
      <c r="JGQ746" s="213"/>
      <c r="JGR746" s="213"/>
      <c r="JGS746" s="213"/>
      <c r="JGT746" s="213"/>
      <c r="JGU746" s="213"/>
      <c r="JGV746" s="213"/>
      <c r="JGW746" s="213"/>
      <c r="JGX746" s="213"/>
      <c r="JGY746" s="213"/>
      <c r="JGZ746" s="213"/>
      <c r="JHA746" s="213"/>
      <c r="JHB746" s="213"/>
      <c r="JHC746" s="213"/>
      <c r="JHD746" s="213"/>
      <c r="JHE746" s="213"/>
      <c r="JHF746" s="213"/>
      <c r="JHG746" s="213"/>
      <c r="JHH746" s="213"/>
      <c r="JHI746" s="213"/>
      <c r="JHJ746" s="213"/>
      <c r="JHK746" s="213"/>
      <c r="JHL746" s="213"/>
      <c r="JHM746" s="213"/>
      <c r="JHN746" s="213"/>
      <c r="JHO746" s="213"/>
      <c r="JHP746" s="213"/>
      <c r="JHQ746" s="213"/>
      <c r="JHR746" s="213"/>
      <c r="JHS746" s="213"/>
      <c r="JHT746" s="213"/>
      <c r="JHU746" s="213"/>
      <c r="JHV746" s="213"/>
      <c r="JHW746" s="213"/>
      <c r="JHX746" s="213"/>
      <c r="JHY746" s="213"/>
      <c r="JHZ746" s="213"/>
      <c r="JIA746" s="213"/>
      <c r="JIB746" s="213"/>
      <c r="JIC746" s="213"/>
      <c r="JID746" s="213"/>
      <c r="JIE746" s="213"/>
      <c r="JIF746" s="213"/>
      <c r="JIG746" s="213"/>
      <c r="JIH746" s="213"/>
      <c r="JII746" s="213"/>
      <c r="JIJ746" s="213"/>
      <c r="JIK746" s="213"/>
      <c r="JIL746" s="213"/>
      <c r="JIM746" s="213"/>
      <c r="JIN746" s="213"/>
      <c r="JIO746" s="213"/>
      <c r="JIP746" s="213"/>
      <c r="JIQ746" s="213"/>
      <c r="JIR746" s="213"/>
      <c r="JIS746" s="213"/>
      <c r="JIT746" s="213"/>
      <c r="JIU746" s="213"/>
      <c r="JIV746" s="213"/>
      <c r="JIW746" s="213"/>
      <c r="JIX746" s="213"/>
      <c r="JIY746" s="213"/>
      <c r="JIZ746" s="213"/>
      <c r="JJA746" s="213"/>
      <c r="JJB746" s="213"/>
      <c r="JJC746" s="213"/>
      <c r="JJD746" s="213"/>
      <c r="JJE746" s="213"/>
      <c r="JJF746" s="213"/>
      <c r="JJG746" s="213"/>
      <c r="JJH746" s="213"/>
      <c r="JJI746" s="213"/>
      <c r="JJJ746" s="213"/>
      <c r="JJK746" s="213"/>
      <c r="JJL746" s="213"/>
      <c r="JJM746" s="213"/>
      <c r="JJN746" s="213"/>
      <c r="JJO746" s="213"/>
      <c r="JJP746" s="213"/>
      <c r="JJQ746" s="213"/>
      <c r="JJR746" s="213"/>
      <c r="JJS746" s="213"/>
      <c r="JJT746" s="213"/>
      <c r="JJU746" s="213"/>
      <c r="JJV746" s="213"/>
      <c r="JJW746" s="213"/>
      <c r="JJX746" s="213"/>
      <c r="JJY746" s="213"/>
      <c r="JJZ746" s="213"/>
      <c r="JKA746" s="213"/>
      <c r="JKB746" s="213"/>
      <c r="JKC746" s="213"/>
      <c r="JKD746" s="213"/>
      <c r="JKE746" s="213"/>
      <c r="JKF746" s="213"/>
      <c r="JKG746" s="213"/>
      <c r="JKH746" s="213"/>
      <c r="JKI746" s="213"/>
      <c r="JKJ746" s="213"/>
      <c r="JKK746" s="213"/>
      <c r="JKL746" s="213"/>
      <c r="JKM746" s="213"/>
      <c r="JKN746" s="213"/>
      <c r="JKO746" s="213"/>
      <c r="JKP746" s="213"/>
      <c r="JKQ746" s="213"/>
      <c r="JKR746" s="213"/>
      <c r="JKS746" s="213"/>
      <c r="JKT746" s="213"/>
      <c r="JKU746" s="213"/>
      <c r="JKV746" s="213"/>
      <c r="JKW746" s="213"/>
      <c r="JKX746" s="213"/>
      <c r="JKY746" s="213"/>
      <c r="JKZ746" s="213"/>
      <c r="JLA746" s="213"/>
      <c r="JLB746" s="213"/>
      <c r="JLC746" s="213"/>
      <c r="JLD746" s="213"/>
      <c r="JLE746" s="213"/>
      <c r="JLF746" s="213"/>
      <c r="JLG746" s="213"/>
      <c r="JLH746" s="213"/>
      <c r="JLI746" s="213"/>
      <c r="JLJ746" s="213"/>
      <c r="JLK746" s="213"/>
      <c r="JLL746" s="213"/>
      <c r="JLM746" s="213"/>
      <c r="JLN746" s="213"/>
      <c r="JLO746" s="213"/>
      <c r="JLP746" s="213"/>
      <c r="JLQ746" s="213"/>
      <c r="JLR746" s="213"/>
      <c r="JLS746" s="213"/>
      <c r="JLT746" s="213"/>
      <c r="JLU746" s="213"/>
      <c r="JLV746" s="213"/>
      <c r="JLW746" s="213"/>
      <c r="JLX746" s="213"/>
      <c r="JLY746" s="213"/>
      <c r="JLZ746" s="213"/>
      <c r="JMA746" s="213"/>
      <c r="JMB746" s="213"/>
      <c r="JMC746" s="213"/>
      <c r="JMD746" s="213"/>
      <c r="JME746" s="213"/>
      <c r="JMF746" s="213"/>
      <c r="JMG746" s="213"/>
      <c r="JMH746" s="213"/>
      <c r="JMI746" s="213"/>
      <c r="JMJ746" s="213"/>
      <c r="JMK746" s="213"/>
      <c r="JML746" s="213"/>
      <c r="JMM746" s="213"/>
      <c r="JMN746" s="213"/>
      <c r="JMO746" s="213"/>
      <c r="JMP746" s="213"/>
      <c r="JMQ746" s="213"/>
      <c r="JMR746" s="213"/>
      <c r="JMS746" s="213"/>
      <c r="JMT746" s="213"/>
      <c r="JMU746" s="213"/>
      <c r="JMV746" s="213"/>
      <c r="JMW746" s="213"/>
      <c r="JMX746" s="213"/>
      <c r="JMY746" s="213"/>
      <c r="JMZ746" s="213"/>
      <c r="JNA746" s="213"/>
      <c r="JNB746" s="213"/>
      <c r="JNC746" s="213"/>
      <c r="JND746" s="213"/>
      <c r="JNE746" s="213"/>
      <c r="JNF746" s="213"/>
      <c r="JNG746" s="213"/>
      <c r="JNH746" s="213"/>
      <c r="JNI746" s="213"/>
      <c r="JNJ746" s="213"/>
      <c r="JNK746" s="213"/>
      <c r="JNL746" s="213"/>
      <c r="JNM746" s="213"/>
      <c r="JNN746" s="213"/>
      <c r="JNO746" s="213"/>
      <c r="JNP746" s="213"/>
      <c r="JNQ746" s="213"/>
      <c r="JNR746" s="213"/>
      <c r="JNS746" s="213"/>
      <c r="JNT746" s="213"/>
      <c r="JNU746" s="213"/>
      <c r="JNV746" s="213"/>
      <c r="JNW746" s="213"/>
      <c r="JNX746" s="213"/>
      <c r="JNY746" s="213"/>
      <c r="JNZ746" s="213"/>
      <c r="JOA746" s="213"/>
      <c r="JOB746" s="213"/>
      <c r="JOC746" s="213"/>
      <c r="JOD746" s="213"/>
      <c r="JOE746" s="213"/>
      <c r="JOF746" s="213"/>
      <c r="JOG746" s="213"/>
      <c r="JOH746" s="213"/>
      <c r="JOI746" s="213"/>
      <c r="JOJ746" s="213"/>
      <c r="JOK746" s="213"/>
      <c r="JOL746" s="213"/>
      <c r="JOM746" s="213"/>
      <c r="JON746" s="213"/>
      <c r="JOO746" s="213"/>
      <c r="JOP746" s="213"/>
      <c r="JOQ746" s="213"/>
      <c r="JOR746" s="213"/>
      <c r="JOS746" s="213"/>
      <c r="JOT746" s="213"/>
      <c r="JOU746" s="213"/>
      <c r="JOV746" s="213"/>
      <c r="JOW746" s="213"/>
      <c r="JOX746" s="213"/>
      <c r="JOY746" s="213"/>
      <c r="JOZ746" s="213"/>
      <c r="JPA746" s="213"/>
      <c r="JPB746" s="213"/>
      <c r="JPC746" s="213"/>
      <c r="JPD746" s="213"/>
      <c r="JPE746" s="213"/>
      <c r="JPF746" s="213"/>
      <c r="JPG746" s="213"/>
      <c r="JPH746" s="213"/>
      <c r="JPI746" s="213"/>
      <c r="JPJ746" s="213"/>
      <c r="JPK746" s="213"/>
      <c r="JPL746" s="213"/>
      <c r="JPM746" s="213"/>
      <c r="JPN746" s="213"/>
      <c r="JPO746" s="213"/>
      <c r="JPP746" s="213"/>
      <c r="JPQ746" s="213"/>
      <c r="JPR746" s="213"/>
      <c r="JPS746" s="213"/>
      <c r="JPT746" s="213"/>
      <c r="JPU746" s="213"/>
      <c r="JPV746" s="213"/>
      <c r="JPW746" s="213"/>
      <c r="JPX746" s="213"/>
      <c r="JPY746" s="213"/>
      <c r="JPZ746" s="213"/>
      <c r="JQA746" s="213"/>
      <c r="JQB746" s="213"/>
      <c r="JQC746" s="213"/>
      <c r="JQD746" s="213"/>
      <c r="JQE746" s="213"/>
      <c r="JQF746" s="213"/>
      <c r="JQG746" s="213"/>
      <c r="JQH746" s="213"/>
      <c r="JQI746" s="213"/>
      <c r="JQJ746" s="213"/>
      <c r="JQK746" s="213"/>
      <c r="JQL746" s="213"/>
      <c r="JQM746" s="213"/>
      <c r="JQN746" s="213"/>
      <c r="JQO746" s="213"/>
      <c r="JQP746" s="213"/>
      <c r="JQQ746" s="213"/>
      <c r="JQR746" s="213"/>
      <c r="JQS746" s="213"/>
      <c r="JQT746" s="213"/>
      <c r="JQU746" s="213"/>
      <c r="JQV746" s="213"/>
      <c r="JQW746" s="213"/>
      <c r="JQX746" s="213"/>
      <c r="JQY746" s="213"/>
      <c r="JQZ746" s="213"/>
      <c r="JRA746" s="213"/>
      <c r="JRB746" s="213"/>
      <c r="JRC746" s="213"/>
      <c r="JRD746" s="213"/>
      <c r="JRE746" s="213"/>
      <c r="JRF746" s="213"/>
      <c r="JRG746" s="213"/>
      <c r="JRH746" s="213"/>
      <c r="JRI746" s="213"/>
      <c r="JRJ746" s="213"/>
      <c r="JRK746" s="213"/>
      <c r="JRL746" s="213"/>
      <c r="JRM746" s="213"/>
      <c r="JRN746" s="213"/>
      <c r="JRO746" s="213"/>
      <c r="JRP746" s="213"/>
      <c r="JRQ746" s="213"/>
      <c r="JRR746" s="213"/>
      <c r="JRS746" s="213"/>
      <c r="JRT746" s="213"/>
      <c r="JRU746" s="213"/>
      <c r="JRV746" s="213"/>
      <c r="JRW746" s="213"/>
      <c r="JRX746" s="213"/>
      <c r="JRY746" s="213"/>
      <c r="JRZ746" s="213"/>
      <c r="JSA746" s="213"/>
      <c r="JSB746" s="213"/>
      <c r="JSC746" s="213"/>
      <c r="JSD746" s="213"/>
      <c r="JSE746" s="213"/>
      <c r="JSF746" s="213"/>
      <c r="JSG746" s="213"/>
      <c r="JSH746" s="213"/>
      <c r="JSI746" s="213"/>
      <c r="JSJ746" s="213"/>
      <c r="JSK746" s="213"/>
      <c r="JSL746" s="213"/>
      <c r="JSM746" s="213"/>
      <c r="JSN746" s="213"/>
      <c r="JSO746" s="213"/>
      <c r="JSP746" s="213"/>
      <c r="JSQ746" s="213"/>
      <c r="JSR746" s="213"/>
      <c r="JSS746" s="213"/>
      <c r="JST746" s="213"/>
      <c r="JSU746" s="213"/>
      <c r="JSV746" s="213"/>
      <c r="JSW746" s="213"/>
      <c r="JSX746" s="213"/>
      <c r="JSY746" s="213"/>
      <c r="JSZ746" s="213"/>
      <c r="JTA746" s="213"/>
      <c r="JTB746" s="213"/>
      <c r="JTC746" s="213"/>
      <c r="JTD746" s="213"/>
      <c r="JTE746" s="213"/>
      <c r="JTF746" s="213"/>
      <c r="JTG746" s="213"/>
      <c r="JTH746" s="213"/>
      <c r="JTI746" s="213"/>
      <c r="JTJ746" s="213"/>
      <c r="JTK746" s="213"/>
      <c r="JTL746" s="213"/>
      <c r="JTM746" s="213"/>
      <c r="JTN746" s="213"/>
      <c r="JTO746" s="213"/>
      <c r="JTP746" s="213"/>
      <c r="JTQ746" s="213"/>
      <c r="JTR746" s="213"/>
      <c r="JTS746" s="213"/>
      <c r="JTT746" s="213"/>
      <c r="JTU746" s="213"/>
      <c r="JTV746" s="213"/>
      <c r="JTW746" s="213"/>
      <c r="JTX746" s="213"/>
      <c r="JTY746" s="213"/>
      <c r="JTZ746" s="213"/>
      <c r="JUA746" s="213"/>
      <c r="JUB746" s="213"/>
      <c r="JUC746" s="213"/>
      <c r="JUD746" s="213"/>
      <c r="JUE746" s="213"/>
      <c r="JUF746" s="213"/>
      <c r="JUG746" s="213"/>
      <c r="JUH746" s="213"/>
      <c r="JUI746" s="213"/>
      <c r="JUJ746" s="213"/>
      <c r="JUK746" s="213"/>
      <c r="JUL746" s="213"/>
      <c r="JUM746" s="213"/>
      <c r="JUN746" s="213"/>
      <c r="JUO746" s="213"/>
      <c r="JUP746" s="213"/>
      <c r="JUQ746" s="213"/>
      <c r="JUR746" s="213"/>
      <c r="JUS746" s="213"/>
      <c r="JUT746" s="213"/>
      <c r="JUU746" s="213"/>
      <c r="JUV746" s="213"/>
      <c r="JUW746" s="213"/>
      <c r="JUX746" s="213"/>
      <c r="JUY746" s="213"/>
      <c r="JUZ746" s="213"/>
      <c r="JVA746" s="213"/>
      <c r="JVB746" s="213"/>
      <c r="JVC746" s="213"/>
      <c r="JVD746" s="213"/>
      <c r="JVE746" s="213"/>
      <c r="JVF746" s="213"/>
      <c r="JVG746" s="213"/>
      <c r="JVH746" s="213"/>
      <c r="JVI746" s="213"/>
      <c r="JVJ746" s="213"/>
      <c r="JVK746" s="213"/>
      <c r="JVL746" s="213"/>
      <c r="JVM746" s="213"/>
      <c r="JVN746" s="213"/>
      <c r="JVO746" s="213"/>
      <c r="JVP746" s="213"/>
      <c r="JVQ746" s="213"/>
      <c r="JVR746" s="213"/>
      <c r="JVS746" s="213"/>
      <c r="JVT746" s="213"/>
      <c r="JVU746" s="213"/>
      <c r="JVV746" s="213"/>
      <c r="JVW746" s="213"/>
      <c r="JVX746" s="213"/>
      <c r="JVY746" s="213"/>
      <c r="JVZ746" s="213"/>
      <c r="JWA746" s="213"/>
      <c r="JWB746" s="213"/>
      <c r="JWC746" s="213"/>
      <c r="JWD746" s="213"/>
      <c r="JWE746" s="213"/>
      <c r="JWF746" s="213"/>
      <c r="JWG746" s="213"/>
      <c r="JWH746" s="213"/>
      <c r="JWI746" s="213"/>
      <c r="JWJ746" s="213"/>
      <c r="JWK746" s="213"/>
      <c r="JWL746" s="213"/>
      <c r="JWM746" s="213"/>
      <c r="JWN746" s="213"/>
      <c r="JWO746" s="213"/>
      <c r="JWP746" s="213"/>
      <c r="JWQ746" s="213"/>
      <c r="JWR746" s="213"/>
      <c r="JWS746" s="213"/>
      <c r="JWT746" s="213"/>
      <c r="JWU746" s="213"/>
      <c r="JWV746" s="213"/>
      <c r="JWW746" s="213"/>
      <c r="JWX746" s="213"/>
      <c r="JWY746" s="213"/>
      <c r="JWZ746" s="213"/>
      <c r="JXA746" s="213"/>
      <c r="JXB746" s="213"/>
      <c r="JXC746" s="213"/>
      <c r="JXD746" s="213"/>
      <c r="JXE746" s="213"/>
      <c r="JXF746" s="213"/>
      <c r="JXG746" s="213"/>
      <c r="JXH746" s="213"/>
      <c r="JXI746" s="213"/>
      <c r="JXJ746" s="213"/>
      <c r="JXK746" s="213"/>
      <c r="JXL746" s="213"/>
      <c r="JXM746" s="213"/>
      <c r="JXN746" s="213"/>
      <c r="JXO746" s="213"/>
      <c r="JXP746" s="213"/>
      <c r="JXQ746" s="213"/>
      <c r="JXR746" s="213"/>
      <c r="JXS746" s="213"/>
      <c r="JXT746" s="213"/>
      <c r="JXU746" s="213"/>
      <c r="JXV746" s="213"/>
      <c r="JXW746" s="213"/>
      <c r="JXX746" s="213"/>
      <c r="JXY746" s="213"/>
      <c r="JXZ746" s="213"/>
      <c r="JYA746" s="213"/>
      <c r="JYB746" s="213"/>
      <c r="JYC746" s="213"/>
      <c r="JYD746" s="213"/>
      <c r="JYE746" s="213"/>
      <c r="JYF746" s="213"/>
      <c r="JYG746" s="213"/>
      <c r="JYH746" s="213"/>
      <c r="JYI746" s="213"/>
      <c r="JYJ746" s="213"/>
      <c r="JYK746" s="213"/>
      <c r="JYL746" s="213"/>
      <c r="JYM746" s="213"/>
      <c r="JYN746" s="213"/>
      <c r="JYO746" s="213"/>
      <c r="JYP746" s="213"/>
      <c r="JYQ746" s="213"/>
      <c r="JYR746" s="213"/>
      <c r="JYS746" s="213"/>
      <c r="JYT746" s="213"/>
      <c r="JYU746" s="213"/>
      <c r="JYV746" s="213"/>
      <c r="JYW746" s="213"/>
      <c r="JYX746" s="213"/>
      <c r="JYY746" s="213"/>
      <c r="JYZ746" s="213"/>
      <c r="JZA746" s="213"/>
      <c r="JZB746" s="213"/>
      <c r="JZC746" s="213"/>
      <c r="JZD746" s="213"/>
      <c r="JZE746" s="213"/>
      <c r="JZF746" s="213"/>
      <c r="JZG746" s="213"/>
      <c r="JZH746" s="213"/>
      <c r="JZI746" s="213"/>
      <c r="JZJ746" s="213"/>
      <c r="JZK746" s="213"/>
      <c r="JZL746" s="213"/>
      <c r="JZM746" s="213"/>
      <c r="JZN746" s="213"/>
      <c r="JZO746" s="213"/>
      <c r="JZP746" s="213"/>
      <c r="JZQ746" s="213"/>
      <c r="JZR746" s="213"/>
      <c r="JZS746" s="213"/>
      <c r="JZT746" s="213"/>
      <c r="JZU746" s="213"/>
      <c r="JZV746" s="213"/>
      <c r="JZW746" s="213"/>
      <c r="JZX746" s="213"/>
      <c r="JZY746" s="213"/>
      <c r="JZZ746" s="213"/>
      <c r="KAA746" s="213"/>
      <c r="KAB746" s="213"/>
      <c r="KAC746" s="213"/>
      <c r="KAD746" s="213"/>
      <c r="KAE746" s="213"/>
      <c r="KAF746" s="213"/>
      <c r="KAG746" s="213"/>
      <c r="KAH746" s="213"/>
      <c r="KAI746" s="213"/>
      <c r="KAJ746" s="213"/>
      <c r="KAK746" s="213"/>
      <c r="KAL746" s="213"/>
      <c r="KAM746" s="213"/>
      <c r="KAN746" s="213"/>
      <c r="KAO746" s="213"/>
      <c r="KAP746" s="213"/>
      <c r="KAQ746" s="213"/>
      <c r="KAR746" s="213"/>
      <c r="KAS746" s="213"/>
      <c r="KAT746" s="213"/>
      <c r="KAU746" s="213"/>
      <c r="KAV746" s="213"/>
      <c r="KAW746" s="213"/>
      <c r="KAX746" s="213"/>
      <c r="KAY746" s="213"/>
      <c r="KAZ746" s="213"/>
      <c r="KBA746" s="213"/>
      <c r="KBB746" s="213"/>
      <c r="KBC746" s="213"/>
      <c r="KBD746" s="213"/>
      <c r="KBE746" s="213"/>
      <c r="KBF746" s="213"/>
      <c r="KBG746" s="213"/>
      <c r="KBH746" s="213"/>
      <c r="KBI746" s="213"/>
      <c r="KBJ746" s="213"/>
      <c r="KBK746" s="213"/>
      <c r="KBL746" s="213"/>
      <c r="KBM746" s="213"/>
      <c r="KBN746" s="213"/>
      <c r="KBO746" s="213"/>
      <c r="KBP746" s="213"/>
      <c r="KBQ746" s="213"/>
      <c r="KBR746" s="213"/>
      <c r="KBS746" s="213"/>
      <c r="KBT746" s="213"/>
      <c r="KBU746" s="213"/>
      <c r="KBV746" s="213"/>
      <c r="KBW746" s="213"/>
      <c r="KBX746" s="213"/>
      <c r="KBY746" s="213"/>
      <c r="KBZ746" s="213"/>
      <c r="KCA746" s="213"/>
      <c r="KCB746" s="213"/>
      <c r="KCC746" s="213"/>
      <c r="KCD746" s="213"/>
      <c r="KCE746" s="213"/>
      <c r="KCF746" s="213"/>
      <c r="KCG746" s="213"/>
      <c r="KCH746" s="213"/>
      <c r="KCI746" s="213"/>
      <c r="KCJ746" s="213"/>
      <c r="KCK746" s="213"/>
      <c r="KCL746" s="213"/>
      <c r="KCM746" s="213"/>
      <c r="KCN746" s="213"/>
      <c r="KCO746" s="213"/>
      <c r="KCP746" s="213"/>
      <c r="KCQ746" s="213"/>
      <c r="KCR746" s="213"/>
      <c r="KCS746" s="213"/>
      <c r="KCT746" s="213"/>
      <c r="KCU746" s="213"/>
      <c r="KCV746" s="213"/>
      <c r="KCW746" s="213"/>
      <c r="KCX746" s="213"/>
      <c r="KCY746" s="213"/>
      <c r="KCZ746" s="213"/>
      <c r="KDA746" s="213"/>
      <c r="KDB746" s="213"/>
      <c r="KDC746" s="213"/>
      <c r="KDD746" s="213"/>
      <c r="KDE746" s="213"/>
      <c r="KDF746" s="213"/>
      <c r="KDG746" s="213"/>
      <c r="KDH746" s="213"/>
      <c r="KDI746" s="213"/>
      <c r="KDJ746" s="213"/>
      <c r="KDK746" s="213"/>
      <c r="KDL746" s="213"/>
      <c r="KDM746" s="213"/>
      <c r="KDN746" s="213"/>
      <c r="KDO746" s="213"/>
      <c r="KDP746" s="213"/>
      <c r="KDQ746" s="213"/>
      <c r="KDR746" s="213"/>
      <c r="KDS746" s="213"/>
      <c r="KDT746" s="213"/>
      <c r="KDU746" s="213"/>
      <c r="KDV746" s="213"/>
      <c r="KDW746" s="213"/>
      <c r="KDX746" s="213"/>
      <c r="KDY746" s="213"/>
      <c r="KDZ746" s="213"/>
      <c r="KEA746" s="213"/>
      <c r="KEB746" s="213"/>
      <c r="KEC746" s="213"/>
      <c r="KED746" s="213"/>
      <c r="KEE746" s="213"/>
      <c r="KEF746" s="213"/>
      <c r="KEG746" s="213"/>
      <c r="KEH746" s="213"/>
      <c r="KEI746" s="213"/>
      <c r="KEJ746" s="213"/>
      <c r="KEK746" s="213"/>
      <c r="KEL746" s="213"/>
      <c r="KEM746" s="213"/>
      <c r="KEN746" s="213"/>
      <c r="KEO746" s="213"/>
      <c r="KEP746" s="213"/>
      <c r="KEQ746" s="213"/>
      <c r="KER746" s="213"/>
      <c r="KES746" s="213"/>
      <c r="KET746" s="213"/>
      <c r="KEU746" s="213"/>
      <c r="KEV746" s="213"/>
      <c r="KEW746" s="213"/>
      <c r="KEX746" s="213"/>
      <c r="KEY746" s="213"/>
      <c r="KEZ746" s="213"/>
      <c r="KFA746" s="213"/>
      <c r="KFB746" s="213"/>
      <c r="KFC746" s="213"/>
      <c r="KFD746" s="213"/>
      <c r="KFE746" s="213"/>
      <c r="KFF746" s="213"/>
      <c r="KFG746" s="213"/>
      <c r="KFH746" s="213"/>
      <c r="KFI746" s="213"/>
      <c r="KFJ746" s="213"/>
      <c r="KFK746" s="213"/>
      <c r="KFL746" s="213"/>
      <c r="KFM746" s="213"/>
      <c r="KFN746" s="213"/>
      <c r="KFO746" s="213"/>
      <c r="KFP746" s="213"/>
      <c r="KFQ746" s="213"/>
      <c r="KFR746" s="213"/>
      <c r="KFS746" s="213"/>
      <c r="KFT746" s="213"/>
      <c r="KFU746" s="213"/>
      <c r="KFV746" s="213"/>
      <c r="KFW746" s="213"/>
      <c r="KFX746" s="213"/>
      <c r="KFY746" s="213"/>
      <c r="KFZ746" s="213"/>
      <c r="KGA746" s="213"/>
      <c r="KGB746" s="213"/>
      <c r="KGC746" s="213"/>
      <c r="KGD746" s="213"/>
      <c r="KGE746" s="213"/>
      <c r="KGF746" s="213"/>
      <c r="KGG746" s="213"/>
      <c r="KGH746" s="213"/>
      <c r="KGI746" s="213"/>
      <c r="KGJ746" s="213"/>
      <c r="KGK746" s="213"/>
      <c r="KGL746" s="213"/>
      <c r="KGM746" s="213"/>
      <c r="KGN746" s="213"/>
      <c r="KGO746" s="213"/>
      <c r="KGP746" s="213"/>
      <c r="KGQ746" s="213"/>
      <c r="KGR746" s="213"/>
      <c r="KGS746" s="213"/>
      <c r="KGT746" s="213"/>
      <c r="KGU746" s="213"/>
      <c r="KGV746" s="213"/>
      <c r="KGW746" s="213"/>
      <c r="KGX746" s="213"/>
      <c r="KGY746" s="213"/>
      <c r="KGZ746" s="213"/>
      <c r="KHA746" s="213"/>
      <c r="KHB746" s="213"/>
      <c r="KHC746" s="213"/>
      <c r="KHD746" s="213"/>
      <c r="KHE746" s="213"/>
      <c r="KHF746" s="213"/>
      <c r="KHG746" s="213"/>
      <c r="KHH746" s="213"/>
      <c r="KHI746" s="213"/>
      <c r="KHJ746" s="213"/>
      <c r="KHK746" s="213"/>
      <c r="KHL746" s="213"/>
      <c r="KHM746" s="213"/>
      <c r="KHN746" s="213"/>
      <c r="KHO746" s="213"/>
      <c r="KHP746" s="213"/>
      <c r="KHQ746" s="213"/>
      <c r="KHR746" s="213"/>
      <c r="KHS746" s="213"/>
      <c r="KHT746" s="213"/>
      <c r="KHU746" s="213"/>
      <c r="KHV746" s="213"/>
      <c r="KHW746" s="213"/>
      <c r="KHX746" s="213"/>
      <c r="KHY746" s="213"/>
      <c r="KHZ746" s="213"/>
      <c r="KIA746" s="213"/>
      <c r="KIB746" s="213"/>
      <c r="KIC746" s="213"/>
      <c r="KID746" s="213"/>
      <c r="KIE746" s="213"/>
      <c r="KIF746" s="213"/>
      <c r="KIG746" s="213"/>
      <c r="KIH746" s="213"/>
      <c r="KII746" s="213"/>
      <c r="KIJ746" s="213"/>
      <c r="KIK746" s="213"/>
      <c r="KIL746" s="213"/>
      <c r="KIM746" s="213"/>
      <c r="KIN746" s="213"/>
      <c r="KIO746" s="213"/>
      <c r="KIP746" s="213"/>
      <c r="KIQ746" s="213"/>
      <c r="KIR746" s="213"/>
      <c r="KIS746" s="213"/>
      <c r="KIT746" s="213"/>
      <c r="KIU746" s="213"/>
      <c r="KIV746" s="213"/>
      <c r="KIW746" s="213"/>
      <c r="KIX746" s="213"/>
      <c r="KIY746" s="213"/>
      <c r="KIZ746" s="213"/>
      <c r="KJA746" s="213"/>
      <c r="KJB746" s="213"/>
      <c r="KJC746" s="213"/>
      <c r="KJD746" s="213"/>
      <c r="KJE746" s="213"/>
      <c r="KJF746" s="213"/>
      <c r="KJG746" s="213"/>
      <c r="KJH746" s="213"/>
      <c r="KJI746" s="213"/>
      <c r="KJJ746" s="213"/>
      <c r="KJK746" s="213"/>
      <c r="KJL746" s="213"/>
      <c r="KJM746" s="213"/>
      <c r="KJN746" s="213"/>
      <c r="KJO746" s="213"/>
      <c r="KJP746" s="213"/>
      <c r="KJQ746" s="213"/>
      <c r="KJR746" s="213"/>
      <c r="KJS746" s="213"/>
      <c r="KJT746" s="213"/>
      <c r="KJU746" s="213"/>
      <c r="KJV746" s="213"/>
      <c r="KJW746" s="213"/>
      <c r="KJX746" s="213"/>
      <c r="KJY746" s="213"/>
      <c r="KJZ746" s="213"/>
      <c r="KKA746" s="213"/>
      <c r="KKB746" s="213"/>
      <c r="KKC746" s="213"/>
      <c r="KKD746" s="213"/>
      <c r="KKE746" s="213"/>
      <c r="KKF746" s="213"/>
      <c r="KKG746" s="213"/>
      <c r="KKH746" s="213"/>
      <c r="KKI746" s="213"/>
      <c r="KKJ746" s="213"/>
      <c r="KKK746" s="213"/>
      <c r="KKL746" s="213"/>
      <c r="KKM746" s="213"/>
      <c r="KKN746" s="213"/>
      <c r="KKO746" s="213"/>
      <c r="KKP746" s="213"/>
      <c r="KKQ746" s="213"/>
      <c r="KKR746" s="213"/>
      <c r="KKS746" s="213"/>
      <c r="KKT746" s="213"/>
      <c r="KKU746" s="213"/>
      <c r="KKV746" s="213"/>
      <c r="KKW746" s="213"/>
      <c r="KKX746" s="213"/>
      <c r="KKY746" s="213"/>
      <c r="KKZ746" s="213"/>
      <c r="KLA746" s="213"/>
      <c r="KLB746" s="213"/>
      <c r="KLC746" s="213"/>
      <c r="KLD746" s="213"/>
      <c r="KLE746" s="213"/>
      <c r="KLF746" s="213"/>
      <c r="KLG746" s="213"/>
      <c r="KLH746" s="213"/>
      <c r="KLI746" s="213"/>
      <c r="KLJ746" s="213"/>
      <c r="KLK746" s="213"/>
      <c r="KLL746" s="213"/>
      <c r="KLM746" s="213"/>
      <c r="KLN746" s="213"/>
      <c r="KLO746" s="213"/>
      <c r="KLP746" s="213"/>
      <c r="KLQ746" s="213"/>
      <c r="KLR746" s="213"/>
      <c r="KLS746" s="213"/>
      <c r="KLT746" s="213"/>
      <c r="KLU746" s="213"/>
      <c r="KLV746" s="213"/>
      <c r="KLW746" s="213"/>
      <c r="KLX746" s="213"/>
      <c r="KLY746" s="213"/>
      <c r="KLZ746" s="213"/>
      <c r="KMA746" s="213"/>
      <c r="KMB746" s="213"/>
      <c r="KMC746" s="213"/>
      <c r="KMD746" s="213"/>
      <c r="KME746" s="213"/>
      <c r="KMF746" s="213"/>
      <c r="KMG746" s="213"/>
      <c r="KMH746" s="213"/>
      <c r="KMI746" s="213"/>
      <c r="KMJ746" s="213"/>
      <c r="KMK746" s="213"/>
      <c r="KML746" s="213"/>
      <c r="KMM746" s="213"/>
      <c r="KMN746" s="213"/>
      <c r="KMO746" s="213"/>
      <c r="KMP746" s="213"/>
      <c r="KMQ746" s="213"/>
      <c r="KMR746" s="213"/>
      <c r="KMS746" s="213"/>
      <c r="KMT746" s="213"/>
      <c r="KMU746" s="213"/>
      <c r="KMV746" s="213"/>
      <c r="KMW746" s="213"/>
      <c r="KMX746" s="213"/>
      <c r="KMY746" s="213"/>
      <c r="KMZ746" s="213"/>
      <c r="KNA746" s="213"/>
      <c r="KNB746" s="213"/>
      <c r="KNC746" s="213"/>
      <c r="KND746" s="213"/>
      <c r="KNE746" s="213"/>
      <c r="KNF746" s="213"/>
      <c r="KNG746" s="213"/>
      <c r="KNH746" s="213"/>
      <c r="KNI746" s="213"/>
      <c r="KNJ746" s="213"/>
      <c r="KNK746" s="213"/>
      <c r="KNL746" s="213"/>
      <c r="KNM746" s="213"/>
      <c r="KNN746" s="213"/>
      <c r="KNO746" s="213"/>
      <c r="KNP746" s="213"/>
      <c r="KNQ746" s="213"/>
      <c r="KNR746" s="213"/>
      <c r="KNS746" s="213"/>
      <c r="KNT746" s="213"/>
      <c r="KNU746" s="213"/>
      <c r="KNV746" s="213"/>
      <c r="KNW746" s="213"/>
      <c r="KNX746" s="213"/>
      <c r="KNY746" s="213"/>
      <c r="KNZ746" s="213"/>
      <c r="KOA746" s="213"/>
      <c r="KOB746" s="213"/>
      <c r="KOC746" s="213"/>
      <c r="KOD746" s="213"/>
      <c r="KOE746" s="213"/>
      <c r="KOF746" s="213"/>
      <c r="KOG746" s="213"/>
      <c r="KOH746" s="213"/>
      <c r="KOI746" s="213"/>
      <c r="KOJ746" s="213"/>
      <c r="KOK746" s="213"/>
      <c r="KOL746" s="213"/>
      <c r="KOM746" s="213"/>
      <c r="KON746" s="213"/>
      <c r="KOO746" s="213"/>
      <c r="KOP746" s="213"/>
      <c r="KOQ746" s="213"/>
      <c r="KOR746" s="213"/>
      <c r="KOS746" s="213"/>
      <c r="KOT746" s="213"/>
      <c r="KOU746" s="213"/>
      <c r="KOV746" s="213"/>
      <c r="KOW746" s="213"/>
      <c r="KOX746" s="213"/>
      <c r="KOY746" s="213"/>
      <c r="KOZ746" s="213"/>
      <c r="KPA746" s="213"/>
      <c r="KPB746" s="213"/>
      <c r="KPC746" s="213"/>
      <c r="KPD746" s="213"/>
      <c r="KPE746" s="213"/>
      <c r="KPF746" s="213"/>
      <c r="KPG746" s="213"/>
      <c r="KPH746" s="213"/>
      <c r="KPI746" s="213"/>
      <c r="KPJ746" s="213"/>
      <c r="KPK746" s="213"/>
      <c r="KPL746" s="213"/>
      <c r="KPM746" s="213"/>
      <c r="KPN746" s="213"/>
      <c r="KPO746" s="213"/>
      <c r="KPP746" s="213"/>
      <c r="KPQ746" s="213"/>
      <c r="KPR746" s="213"/>
      <c r="KPS746" s="213"/>
      <c r="KPT746" s="213"/>
      <c r="KPU746" s="213"/>
      <c r="KPV746" s="213"/>
      <c r="KPW746" s="213"/>
      <c r="KPX746" s="213"/>
      <c r="KPY746" s="213"/>
      <c r="KPZ746" s="213"/>
      <c r="KQA746" s="213"/>
      <c r="KQB746" s="213"/>
      <c r="KQC746" s="213"/>
      <c r="KQD746" s="213"/>
      <c r="KQE746" s="213"/>
      <c r="KQF746" s="213"/>
      <c r="KQG746" s="213"/>
      <c r="KQH746" s="213"/>
      <c r="KQI746" s="213"/>
      <c r="KQJ746" s="213"/>
      <c r="KQK746" s="213"/>
      <c r="KQL746" s="213"/>
      <c r="KQM746" s="213"/>
      <c r="KQN746" s="213"/>
      <c r="KQO746" s="213"/>
      <c r="KQP746" s="213"/>
      <c r="KQQ746" s="213"/>
      <c r="KQR746" s="213"/>
      <c r="KQS746" s="213"/>
      <c r="KQT746" s="213"/>
      <c r="KQU746" s="213"/>
      <c r="KQV746" s="213"/>
      <c r="KQW746" s="213"/>
      <c r="KQX746" s="213"/>
      <c r="KQY746" s="213"/>
      <c r="KQZ746" s="213"/>
      <c r="KRA746" s="213"/>
      <c r="KRB746" s="213"/>
      <c r="KRC746" s="213"/>
      <c r="KRD746" s="213"/>
      <c r="KRE746" s="213"/>
      <c r="KRF746" s="213"/>
      <c r="KRG746" s="213"/>
      <c r="KRH746" s="213"/>
      <c r="KRI746" s="213"/>
      <c r="KRJ746" s="213"/>
      <c r="KRK746" s="213"/>
      <c r="KRL746" s="213"/>
      <c r="KRM746" s="213"/>
      <c r="KRN746" s="213"/>
      <c r="KRO746" s="213"/>
      <c r="KRP746" s="213"/>
      <c r="KRQ746" s="213"/>
      <c r="KRR746" s="213"/>
      <c r="KRS746" s="213"/>
      <c r="KRT746" s="213"/>
      <c r="KRU746" s="213"/>
      <c r="KRV746" s="213"/>
      <c r="KRW746" s="213"/>
      <c r="KRX746" s="213"/>
      <c r="KRY746" s="213"/>
      <c r="KRZ746" s="213"/>
      <c r="KSA746" s="213"/>
      <c r="KSB746" s="213"/>
      <c r="KSC746" s="213"/>
      <c r="KSD746" s="213"/>
      <c r="KSE746" s="213"/>
      <c r="KSF746" s="213"/>
      <c r="KSG746" s="213"/>
      <c r="KSH746" s="213"/>
      <c r="KSI746" s="213"/>
      <c r="KSJ746" s="213"/>
      <c r="KSK746" s="213"/>
      <c r="KSL746" s="213"/>
      <c r="KSM746" s="213"/>
      <c r="KSN746" s="213"/>
      <c r="KSO746" s="213"/>
      <c r="KSP746" s="213"/>
      <c r="KSQ746" s="213"/>
      <c r="KSR746" s="213"/>
      <c r="KSS746" s="213"/>
      <c r="KST746" s="213"/>
      <c r="KSU746" s="213"/>
      <c r="KSV746" s="213"/>
      <c r="KSW746" s="213"/>
      <c r="KSX746" s="213"/>
      <c r="KSY746" s="213"/>
      <c r="KSZ746" s="213"/>
      <c r="KTA746" s="213"/>
      <c r="KTB746" s="213"/>
      <c r="KTC746" s="213"/>
      <c r="KTD746" s="213"/>
      <c r="KTE746" s="213"/>
      <c r="KTF746" s="213"/>
      <c r="KTG746" s="213"/>
      <c r="KTH746" s="213"/>
      <c r="KTI746" s="213"/>
      <c r="KTJ746" s="213"/>
      <c r="KTK746" s="213"/>
      <c r="KTL746" s="213"/>
      <c r="KTM746" s="213"/>
      <c r="KTN746" s="213"/>
      <c r="KTO746" s="213"/>
      <c r="KTP746" s="213"/>
      <c r="KTQ746" s="213"/>
      <c r="KTR746" s="213"/>
      <c r="KTS746" s="213"/>
      <c r="KTT746" s="213"/>
      <c r="KTU746" s="213"/>
      <c r="KTV746" s="213"/>
      <c r="KTW746" s="213"/>
      <c r="KTX746" s="213"/>
      <c r="KTY746" s="213"/>
      <c r="KTZ746" s="213"/>
      <c r="KUA746" s="213"/>
      <c r="KUB746" s="213"/>
      <c r="KUC746" s="213"/>
      <c r="KUD746" s="213"/>
      <c r="KUE746" s="213"/>
      <c r="KUF746" s="213"/>
      <c r="KUG746" s="213"/>
      <c r="KUH746" s="213"/>
      <c r="KUI746" s="213"/>
      <c r="KUJ746" s="213"/>
      <c r="KUK746" s="213"/>
      <c r="KUL746" s="213"/>
      <c r="KUM746" s="213"/>
      <c r="KUN746" s="213"/>
      <c r="KUO746" s="213"/>
      <c r="KUP746" s="213"/>
      <c r="KUQ746" s="213"/>
      <c r="KUR746" s="213"/>
      <c r="KUS746" s="213"/>
      <c r="KUT746" s="213"/>
      <c r="KUU746" s="213"/>
      <c r="KUV746" s="213"/>
      <c r="KUW746" s="213"/>
      <c r="KUX746" s="213"/>
      <c r="KUY746" s="213"/>
      <c r="KUZ746" s="213"/>
      <c r="KVA746" s="213"/>
      <c r="KVB746" s="213"/>
      <c r="KVC746" s="213"/>
      <c r="KVD746" s="213"/>
      <c r="KVE746" s="213"/>
      <c r="KVF746" s="213"/>
      <c r="KVG746" s="213"/>
      <c r="KVH746" s="213"/>
      <c r="KVI746" s="213"/>
      <c r="KVJ746" s="213"/>
      <c r="KVK746" s="213"/>
      <c r="KVL746" s="213"/>
      <c r="KVM746" s="213"/>
      <c r="KVN746" s="213"/>
      <c r="KVO746" s="213"/>
      <c r="KVP746" s="213"/>
      <c r="KVQ746" s="213"/>
      <c r="KVR746" s="213"/>
      <c r="KVS746" s="213"/>
      <c r="KVT746" s="213"/>
      <c r="KVU746" s="213"/>
      <c r="KVV746" s="213"/>
      <c r="KVW746" s="213"/>
      <c r="KVX746" s="213"/>
      <c r="KVY746" s="213"/>
      <c r="KVZ746" s="213"/>
      <c r="KWA746" s="213"/>
      <c r="KWB746" s="213"/>
      <c r="KWC746" s="213"/>
      <c r="KWD746" s="213"/>
      <c r="KWE746" s="213"/>
      <c r="KWF746" s="213"/>
      <c r="KWG746" s="213"/>
      <c r="KWH746" s="213"/>
      <c r="KWI746" s="213"/>
      <c r="KWJ746" s="213"/>
      <c r="KWK746" s="213"/>
      <c r="KWL746" s="213"/>
      <c r="KWM746" s="213"/>
      <c r="KWN746" s="213"/>
      <c r="KWO746" s="213"/>
      <c r="KWP746" s="213"/>
      <c r="KWQ746" s="213"/>
      <c r="KWR746" s="213"/>
      <c r="KWS746" s="213"/>
      <c r="KWT746" s="213"/>
      <c r="KWU746" s="213"/>
      <c r="KWV746" s="213"/>
      <c r="KWW746" s="213"/>
      <c r="KWX746" s="213"/>
      <c r="KWY746" s="213"/>
      <c r="KWZ746" s="213"/>
      <c r="KXA746" s="213"/>
      <c r="KXB746" s="213"/>
      <c r="KXC746" s="213"/>
      <c r="KXD746" s="213"/>
      <c r="KXE746" s="213"/>
      <c r="KXF746" s="213"/>
      <c r="KXG746" s="213"/>
      <c r="KXH746" s="213"/>
      <c r="KXI746" s="213"/>
      <c r="KXJ746" s="213"/>
      <c r="KXK746" s="213"/>
      <c r="KXL746" s="213"/>
      <c r="KXM746" s="213"/>
      <c r="KXN746" s="213"/>
      <c r="KXO746" s="213"/>
      <c r="KXP746" s="213"/>
      <c r="KXQ746" s="213"/>
      <c r="KXR746" s="213"/>
      <c r="KXS746" s="213"/>
      <c r="KXT746" s="213"/>
      <c r="KXU746" s="213"/>
      <c r="KXV746" s="213"/>
      <c r="KXW746" s="213"/>
      <c r="KXX746" s="213"/>
      <c r="KXY746" s="213"/>
      <c r="KXZ746" s="213"/>
      <c r="KYA746" s="213"/>
      <c r="KYB746" s="213"/>
      <c r="KYC746" s="213"/>
      <c r="KYD746" s="213"/>
      <c r="KYE746" s="213"/>
      <c r="KYF746" s="213"/>
      <c r="KYG746" s="213"/>
      <c r="KYH746" s="213"/>
      <c r="KYI746" s="213"/>
      <c r="KYJ746" s="213"/>
      <c r="KYK746" s="213"/>
      <c r="KYL746" s="213"/>
      <c r="KYM746" s="213"/>
      <c r="KYN746" s="213"/>
      <c r="KYO746" s="213"/>
      <c r="KYP746" s="213"/>
      <c r="KYQ746" s="213"/>
      <c r="KYR746" s="213"/>
      <c r="KYS746" s="213"/>
      <c r="KYT746" s="213"/>
      <c r="KYU746" s="213"/>
      <c r="KYV746" s="213"/>
      <c r="KYW746" s="213"/>
      <c r="KYX746" s="213"/>
      <c r="KYY746" s="213"/>
      <c r="KYZ746" s="213"/>
      <c r="KZA746" s="213"/>
      <c r="KZB746" s="213"/>
      <c r="KZC746" s="213"/>
      <c r="KZD746" s="213"/>
      <c r="KZE746" s="213"/>
      <c r="KZF746" s="213"/>
      <c r="KZG746" s="213"/>
      <c r="KZH746" s="213"/>
      <c r="KZI746" s="213"/>
      <c r="KZJ746" s="213"/>
      <c r="KZK746" s="213"/>
      <c r="KZL746" s="213"/>
      <c r="KZM746" s="213"/>
      <c r="KZN746" s="213"/>
      <c r="KZO746" s="213"/>
      <c r="KZP746" s="213"/>
      <c r="KZQ746" s="213"/>
      <c r="KZR746" s="213"/>
      <c r="KZS746" s="213"/>
      <c r="KZT746" s="213"/>
      <c r="KZU746" s="213"/>
      <c r="KZV746" s="213"/>
      <c r="KZW746" s="213"/>
      <c r="KZX746" s="213"/>
      <c r="KZY746" s="213"/>
      <c r="KZZ746" s="213"/>
      <c r="LAA746" s="213"/>
      <c r="LAB746" s="213"/>
      <c r="LAC746" s="213"/>
      <c r="LAD746" s="213"/>
      <c r="LAE746" s="213"/>
      <c r="LAF746" s="213"/>
      <c r="LAG746" s="213"/>
      <c r="LAH746" s="213"/>
      <c r="LAI746" s="213"/>
      <c r="LAJ746" s="213"/>
      <c r="LAK746" s="213"/>
      <c r="LAL746" s="213"/>
      <c r="LAM746" s="213"/>
      <c r="LAN746" s="213"/>
      <c r="LAO746" s="213"/>
      <c r="LAP746" s="213"/>
      <c r="LAQ746" s="213"/>
      <c r="LAR746" s="213"/>
      <c r="LAS746" s="213"/>
      <c r="LAT746" s="213"/>
      <c r="LAU746" s="213"/>
      <c r="LAV746" s="213"/>
      <c r="LAW746" s="213"/>
      <c r="LAX746" s="213"/>
      <c r="LAY746" s="213"/>
      <c r="LAZ746" s="213"/>
      <c r="LBA746" s="213"/>
      <c r="LBB746" s="213"/>
      <c r="LBC746" s="213"/>
      <c r="LBD746" s="213"/>
      <c r="LBE746" s="213"/>
      <c r="LBF746" s="213"/>
      <c r="LBG746" s="213"/>
      <c r="LBH746" s="213"/>
      <c r="LBI746" s="213"/>
      <c r="LBJ746" s="213"/>
      <c r="LBK746" s="213"/>
      <c r="LBL746" s="213"/>
      <c r="LBM746" s="213"/>
      <c r="LBN746" s="213"/>
      <c r="LBO746" s="213"/>
      <c r="LBP746" s="213"/>
      <c r="LBQ746" s="213"/>
      <c r="LBR746" s="213"/>
      <c r="LBS746" s="213"/>
      <c r="LBT746" s="213"/>
      <c r="LBU746" s="213"/>
      <c r="LBV746" s="213"/>
      <c r="LBW746" s="213"/>
      <c r="LBX746" s="213"/>
      <c r="LBY746" s="213"/>
      <c r="LBZ746" s="213"/>
      <c r="LCA746" s="213"/>
      <c r="LCB746" s="213"/>
      <c r="LCC746" s="213"/>
      <c r="LCD746" s="213"/>
      <c r="LCE746" s="213"/>
      <c r="LCF746" s="213"/>
      <c r="LCG746" s="213"/>
      <c r="LCH746" s="213"/>
      <c r="LCI746" s="213"/>
      <c r="LCJ746" s="213"/>
      <c r="LCK746" s="213"/>
      <c r="LCL746" s="213"/>
      <c r="LCM746" s="213"/>
      <c r="LCN746" s="213"/>
      <c r="LCO746" s="213"/>
      <c r="LCP746" s="213"/>
      <c r="LCQ746" s="213"/>
      <c r="LCR746" s="213"/>
      <c r="LCS746" s="213"/>
      <c r="LCT746" s="213"/>
      <c r="LCU746" s="213"/>
      <c r="LCV746" s="213"/>
      <c r="LCW746" s="213"/>
      <c r="LCX746" s="213"/>
      <c r="LCY746" s="213"/>
      <c r="LCZ746" s="213"/>
      <c r="LDA746" s="213"/>
      <c r="LDB746" s="213"/>
      <c r="LDC746" s="213"/>
      <c r="LDD746" s="213"/>
      <c r="LDE746" s="213"/>
      <c r="LDF746" s="213"/>
      <c r="LDG746" s="213"/>
      <c r="LDH746" s="213"/>
      <c r="LDI746" s="213"/>
      <c r="LDJ746" s="213"/>
      <c r="LDK746" s="213"/>
      <c r="LDL746" s="213"/>
      <c r="LDM746" s="213"/>
      <c r="LDN746" s="213"/>
      <c r="LDO746" s="213"/>
      <c r="LDP746" s="213"/>
      <c r="LDQ746" s="213"/>
      <c r="LDR746" s="213"/>
      <c r="LDS746" s="213"/>
      <c r="LDT746" s="213"/>
      <c r="LDU746" s="213"/>
      <c r="LDV746" s="213"/>
      <c r="LDW746" s="213"/>
      <c r="LDX746" s="213"/>
      <c r="LDY746" s="213"/>
      <c r="LDZ746" s="213"/>
      <c r="LEA746" s="213"/>
      <c r="LEB746" s="213"/>
      <c r="LEC746" s="213"/>
      <c r="LED746" s="213"/>
      <c r="LEE746" s="213"/>
      <c r="LEF746" s="213"/>
      <c r="LEG746" s="213"/>
      <c r="LEH746" s="213"/>
      <c r="LEI746" s="213"/>
      <c r="LEJ746" s="213"/>
      <c r="LEK746" s="213"/>
      <c r="LEL746" s="213"/>
      <c r="LEM746" s="213"/>
      <c r="LEN746" s="213"/>
      <c r="LEO746" s="213"/>
      <c r="LEP746" s="213"/>
      <c r="LEQ746" s="213"/>
      <c r="LER746" s="213"/>
      <c r="LES746" s="213"/>
      <c r="LET746" s="213"/>
      <c r="LEU746" s="213"/>
      <c r="LEV746" s="213"/>
      <c r="LEW746" s="213"/>
      <c r="LEX746" s="213"/>
      <c r="LEY746" s="213"/>
      <c r="LEZ746" s="213"/>
      <c r="LFA746" s="213"/>
      <c r="LFB746" s="213"/>
      <c r="LFC746" s="213"/>
      <c r="LFD746" s="213"/>
      <c r="LFE746" s="213"/>
      <c r="LFF746" s="213"/>
      <c r="LFG746" s="213"/>
      <c r="LFH746" s="213"/>
      <c r="LFI746" s="213"/>
      <c r="LFJ746" s="213"/>
      <c r="LFK746" s="213"/>
      <c r="LFL746" s="213"/>
      <c r="LFM746" s="213"/>
      <c r="LFN746" s="213"/>
      <c r="LFO746" s="213"/>
      <c r="LFP746" s="213"/>
      <c r="LFQ746" s="213"/>
      <c r="LFR746" s="213"/>
      <c r="LFS746" s="213"/>
      <c r="LFT746" s="213"/>
      <c r="LFU746" s="213"/>
      <c r="LFV746" s="213"/>
      <c r="LFW746" s="213"/>
      <c r="LFX746" s="213"/>
      <c r="LFY746" s="213"/>
      <c r="LFZ746" s="213"/>
      <c r="LGA746" s="213"/>
      <c r="LGB746" s="213"/>
      <c r="LGC746" s="213"/>
      <c r="LGD746" s="213"/>
      <c r="LGE746" s="213"/>
      <c r="LGF746" s="213"/>
      <c r="LGG746" s="213"/>
      <c r="LGH746" s="213"/>
      <c r="LGI746" s="213"/>
      <c r="LGJ746" s="213"/>
      <c r="LGK746" s="213"/>
      <c r="LGL746" s="213"/>
      <c r="LGM746" s="213"/>
      <c r="LGN746" s="213"/>
      <c r="LGO746" s="213"/>
      <c r="LGP746" s="213"/>
      <c r="LGQ746" s="213"/>
      <c r="LGR746" s="213"/>
      <c r="LGS746" s="213"/>
      <c r="LGT746" s="213"/>
      <c r="LGU746" s="213"/>
      <c r="LGV746" s="213"/>
      <c r="LGW746" s="213"/>
      <c r="LGX746" s="213"/>
      <c r="LGY746" s="213"/>
      <c r="LGZ746" s="213"/>
      <c r="LHA746" s="213"/>
      <c r="LHB746" s="213"/>
      <c r="LHC746" s="213"/>
      <c r="LHD746" s="213"/>
      <c r="LHE746" s="213"/>
      <c r="LHF746" s="213"/>
      <c r="LHG746" s="213"/>
      <c r="LHH746" s="213"/>
      <c r="LHI746" s="213"/>
      <c r="LHJ746" s="213"/>
      <c r="LHK746" s="213"/>
      <c r="LHL746" s="213"/>
      <c r="LHM746" s="213"/>
      <c r="LHN746" s="213"/>
      <c r="LHO746" s="213"/>
      <c r="LHP746" s="213"/>
      <c r="LHQ746" s="213"/>
      <c r="LHR746" s="213"/>
      <c r="LHS746" s="213"/>
      <c r="LHT746" s="213"/>
      <c r="LHU746" s="213"/>
      <c r="LHV746" s="213"/>
      <c r="LHW746" s="213"/>
      <c r="LHX746" s="213"/>
      <c r="LHY746" s="213"/>
      <c r="LHZ746" s="213"/>
      <c r="LIA746" s="213"/>
      <c r="LIB746" s="213"/>
      <c r="LIC746" s="213"/>
      <c r="LID746" s="213"/>
      <c r="LIE746" s="213"/>
      <c r="LIF746" s="213"/>
      <c r="LIG746" s="213"/>
      <c r="LIH746" s="213"/>
      <c r="LII746" s="213"/>
      <c r="LIJ746" s="213"/>
      <c r="LIK746" s="213"/>
      <c r="LIL746" s="213"/>
      <c r="LIM746" s="213"/>
      <c r="LIN746" s="213"/>
      <c r="LIO746" s="213"/>
      <c r="LIP746" s="213"/>
      <c r="LIQ746" s="213"/>
      <c r="LIR746" s="213"/>
      <c r="LIS746" s="213"/>
      <c r="LIT746" s="213"/>
      <c r="LIU746" s="213"/>
      <c r="LIV746" s="213"/>
      <c r="LIW746" s="213"/>
      <c r="LIX746" s="213"/>
      <c r="LIY746" s="213"/>
      <c r="LIZ746" s="213"/>
      <c r="LJA746" s="213"/>
      <c r="LJB746" s="213"/>
      <c r="LJC746" s="213"/>
      <c r="LJD746" s="213"/>
      <c r="LJE746" s="213"/>
      <c r="LJF746" s="213"/>
      <c r="LJG746" s="213"/>
      <c r="LJH746" s="213"/>
      <c r="LJI746" s="213"/>
      <c r="LJJ746" s="213"/>
      <c r="LJK746" s="213"/>
      <c r="LJL746" s="213"/>
      <c r="LJM746" s="213"/>
      <c r="LJN746" s="213"/>
      <c r="LJO746" s="213"/>
      <c r="LJP746" s="213"/>
      <c r="LJQ746" s="213"/>
      <c r="LJR746" s="213"/>
      <c r="LJS746" s="213"/>
      <c r="LJT746" s="213"/>
      <c r="LJU746" s="213"/>
      <c r="LJV746" s="213"/>
      <c r="LJW746" s="213"/>
      <c r="LJX746" s="213"/>
      <c r="LJY746" s="213"/>
      <c r="LJZ746" s="213"/>
      <c r="LKA746" s="213"/>
      <c r="LKB746" s="213"/>
      <c r="LKC746" s="213"/>
      <c r="LKD746" s="213"/>
      <c r="LKE746" s="213"/>
      <c r="LKF746" s="213"/>
      <c r="LKG746" s="213"/>
      <c r="LKH746" s="213"/>
      <c r="LKI746" s="213"/>
      <c r="LKJ746" s="213"/>
      <c r="LKK746" s="213"/>
      <c r="LKL746" s="213"/>
      <c r="LKM746" s="213"/>
      <c r="LKN746" s="213"/>
      <c r="LKO746" s="213"/>
      <c r="LKP746" s="213"/>
      <c r="LKQ746" s="213"/>
      <c r="LKR746" s="213"/>
      <c r="LKS746" s="213"/>
      <c r="LKT746" s="213"/>
      <c r="LKU746" s="213"/>
      <c r="LKV746" s="213"/>
      <c r="LKW746" s="213"/>
      <c r="LKX746" s="213"/>
      <c r="LKY746" s="213"/>
      <c r="LKZ746" s="213"/>
      <c r="LLA746" s="213"/>
      <c r="LLB746" s="213"/>
      <c r="LLC746" s="213"/>
      <c r="LLD746" s="213"/>
      <c r="LLE746" s="213"/>
      <c r="LLF746" s="213"/>
      <c r="LLG746" s="213"/>
      <c r="LLH746" s="213"/>
      <c r="LLI746" s="213"/>
      <c r="LLJ746" s="213"/>
      <c r="LLK746" s="213"/>
      <c r="LLL746" s="213"/>
      <c r="LLM746" s="213"/>
      <c r="LLN746" s="213"/>
      <c r="LLO746" s="213"/>
      <c r="LLP746" s="213"/>
      <c r="LLQ746" s="213"/>
      <c r="LLR746" s="213"/>
      <c r="LLS746" s="213"/>
      <c r="LLT746" s="213"/>
      <c r="LLU746" s="213"/>
      <c r="LLV746" s="213"/>
      <c r="LLW746" s="213"/>
      <c r="LLX746" s="213"/>
      <c r="LLY746" s="213"/>
      <c r="LLZ746" s="213"/>
      <c r="LMA746" s="213"/>
      <c r="LMB746" s="213"/>
      <c r="LMC746" s="213"/>
      <c r="LMD746" s="213"/>
      <c r="LME746" s="213"/>
      <c r="LMF746" s="213"/>
      <c r="LMG746" s="213"/>
      <c r="LMH746" s="213"/>
      <c r="LMI746" s="213"/>
      <c r="LMJ746" s="213"/>
      <c r="LMK746" s="213"/>
      <c r="LML746" s="213"/>
      <c r="LMM746" s="213"/>
      <c r="LMN746" s="213"/>
      <c r="LMO746" s="213"/>
      <c r="LMP746" s="213"/>
      <c r="LMQ746" s="213"/>
      <c r="LMR746" s="213"/>
      <c r="LMS746" s="213"/>
      <c r="LMT746" s="213"/>
      <c r="LMU746" s="213"/>
      <c r="LMV746" s="213"/>
      <c r="LMW746" s="213"/>
      <c r="LMX746" s="213"/>
      <c r="LMY746" s="213"/>
      <c r="LMZ746" s="213"/>
      <c r="LNA746" s="213"/>
      <c r="LNB746" s="213"/>
      <c r="LNC746" s="213"/>
      <c r="LND746" s="213"/>
      <c r="LNE746" s="213"/>
      <c r="LNF746" s="213"/>
      <c r="LNG746" s="213"/>
      <c r="LNH746" s="213"/>
      <c r="LNI746" s="213"/>
      <c r="LNJ746" s="213"/>
      <c r="LNK746" s="213"/>
      <c r="LNL746" s="213"/>
      <c r="LNM746" s="213"/>
      <c r="LNN746" s="213"/>
      <c r="LNO746" s="213"/>
      <c r="LNP746" s="213"/>
      <c r="LNQ746" s="213"/>
      <c r="LNR746" s="213"/>
      <c r="LNS746" s="213"/>
      <c r="LNT746" s="213"/>
      <c r="LNU746" s="213"/>
      <c r="LNV746" s="213"/>
      <c r="LNW746" s="213"/>
      <c r="LNX746" s="213"/>
      <c r="LNY746" s="213"/>
      <c r="LNZ746" s="213"/>
      <c r="LOA746" s="213"/>
      <c r="LOB746" s="213"/>
      <c r="LOC746" s="213"/>
      <c r="LOD746" s="213"/>
      <c r="LOE746" s="213"/>
      <c r="LOF746" s="213"/>
      <c r="LOG746" s="213"/>
      <c r="LOH746" s="213"/>
      <c r="LOI746" s="213"/>
      <c r="LOJ746" s="213"/>
      <c r="LOK746" s="213"/>
      <c r="LOL746" s="213"/>
      <c r="LOM746" s="213"/>
      <c r="LON746" s="213"/>
      <c r="LOO746" s="213"/>
      <c r="LOP746" s="213"/>
      <c r="LOQ746" s="213"/>
      <c r="LOR746" s="213"/>
      <c r="LOS746" s="213"/>
      <c r="LOT746" s="213"/>
      <c r="LOU746" s="213"/>
      <c r="LOV746" s="213"/>
      <c r="LOW746" s="213"/>
      <c r="LOX746" s="213"/>
      <c r="LOY746" s="213"/>
      <c r="LOZ746" s="213"/>
      <c r="LPA746" s="213"/>
      <c r="LPB746" s="213"/>
      <c r="LPC746" s="213"/>
      <c r="LPD746" s="213"/>
      <c r="LPE746" s="213"/>
      <c r="LPF746" s="213"/>
      <c r="LPG746" s="213"/>
      <c r="LPH746" s="213"/>
      <c r="LPI746" s="213"/>
      <c r="LPJ746" s="213"/>
      <c r="LPK746" s="213"/>
      <c r="LPL746" s="213"/>
      <c r="LPM746" s="213"/>
      <c r="LPN746" s="213"/>
      <c r="LPO746" s="213"/>
      <c r="LPP746" s="213"/>
      <c r="LPQ746" s="213"/>
      <c r="LPR746" s="213"/>
      <c r="LPS746" s="213"/>
      <c r="LPT746" s="213"/>
      <c r="LPU746" s="213"/>
      <c r="LPV746" s="213"/>
      <c r="LPW746" s="213"/>
      <c r="LPX746" s="213"/>
      <c r="LPY746" s="213"/>
      <c r="LPZ746" s="213"/>
      <c r="LQA746" s="213"/>
      <c r="LQB746" s="213"/>
      <c r="LQC746" s="213"/>
      <c r="LQD746" s="213"/>
      <c r="LQE746" s="213"/>
      <c r="LQF746" s="213"/>
      <c r="LQG746" s="213"/>
      <c r="LQH746" s="213"/>
      <c r="LQI746" s="213"/>
      <c r="LQJ746" s="213"/>
      <c r="LQK746" s="213"/>
      <c r="LQL746" s="213"/>
      <c r="LQM746" s="213"/>
      <c r="LQN746" s="213"/>
      <c r="LQO746" s="213"/>
      <c r="LQP746" s="213"/>
      <c r="LQQ746" s="213"/>
      <c r="LQR746" s="213"/>
      <c r="LQS746" s="213"/>
      <c r="LQT746" s="213"/>
      <c r="LQU746" s="213"/>
      <c r="LQV746" s="213"/>
      <c r="LQW746" s="213"/>
      <c r="LQX746" s="213"/>
      <c r="LQY746" s="213"/>
      <c r="LQZ746" s="213"/>
      <c r="LRA746" s="213"/>
      <c r="LRB746" s="213"/>
      <c r="LRC746" s="213"/>
      <c r="LRD746" s="213"/>
      <c r="LRE746" s="213"/>
      <c r="LRF746" s="213"/>
      <c r="LRG746" s="213"/>
      <c r="LRH746" s="213"/>
      <c r="LRI746" s="213"/>
      <c r="LRJ746" s="213"/>
      <c r="LRK746" s="213"/>
      <c r="LRL746" s="213"/>
      <c r="LRM746" s="213"/>
      <c r="LRN746" s="213"/>
      <c r="LRO746" s="213"/>
      <c r="LRP746" s="213"/>
      <c r="LRQ746" s="213"/>
      <c r="LRR746" s="213"/>
      <c r="LRS746" s="213"/>
      <c r="LRT746" s="213"/>
      <c r="LRU746" s="213"/>
      <c r="LRV746" s="213"/>
      <c r="LRW746" s="213"/>
      <c r="LRX746" s="213"/>
      <c r="LRY746" s="213"/>
      <c r="LRZ746" s="213"/>
      <c r="LSA746" s="213"/>
      <c r="LSB746" s="213"/>
      <c r="LSC746" s="213"/>
      <c r="LSD746" s="213"/>
      <c r="LSE746" s="213"/>
      <c r="LSF746" s="213"/>
      <c r="LSG746" s="213"/>
      <c r="LSH746" s="213"/>
      <c r="LSI746" s="213"/>
      <c r="LSJ746" s="213"/>
      <c r="LSK746" s="213"/>
      <c r="LSL746" s="213"/>
      <c r="LSM746" s="213"/>
      <c r="LSN746" s="213"/>
      <c r="LSO746" s="213"/>
      <c r="LSP746" s="213"/>
      <c r="LSQ746" s="213"/>
      <c r="LSR746" s="213"/>
      <c r="LSS746" s="213"/>
      <c r="LST746" s="213"/>
      <c r="LSU746" s="213"/>
      <c r="LSV746" s="213"/>
      <c r="LSW746" s="213"/>
      <c r="LSX746" s="213"/>
      <c r="LSY746" s="213"/>
      <c r="LSZ746" s="213"/>
      <c r="LTA746" s="213"/>
      <c r="LTB746" s="213"/>
      <c r="LTC746" s="213"/>
      <c r="LTD746" s="213"/>
      <c r="LTE746" s="213"/>
      <c r="LTF746" s="213"/>
      <c r="LTG746" s="213"/>
      <c r="LTH746" s="213"/>
      <c r="LTI746" s="213"/>
      <c r="LTJ746" s="213"/>
      <c r="LTK746" s="213"/>
      <c r="LTL746" s="213"/>
      <c r="LTM746" s="213"/>
      <c r="LTN746" s="213"/>
      <c r="LTO746" s="213"/>
      <c r="LTP746" s="213"/>
      <c r="LTQ746" s="213"/>
      <c r="LTR746" s="213"/>
      <c r="LTS746" s="213"/>
      <c r="LTT746" s="213"/>
      <c r="LTU746" s="213"/>
      <c r="LTV746" s="213"/>
      <c r="LTW746" s="213"/>
      <c r="LTX746" s="213"/>
      <c r="LTY746" s="213"/>
      <c r="LTZ746" s="213"/>
      <c r="LUA746" s="213"/>
      <c r="LUB746" s="213"/>
      <c r="LUC746" s="213"/>
      <c r="LUD746" s="213"/>
      <c r="LUE746" s="213"/>
      <c r="LUF746" s="213"/>
      <c r="LUG746" s="213"/>
      <c r="LUH746" s="213"/>
      <c r="LUI746" s="213"/>
      <c r="LUJ746" s="213"/>
      <c r="LUK746" s="213"/>
      <c r="LUL746" s="213"/>
      <c r="LUM746" s="213"/>
      <c r="LUN746" s="213"/>
      <c r="LUO746" s="213"/>
      <c r="LUP746" s="213"/>
      <c r="LUQ746" s="213"/>
      <c r="LUR746" s="213"/>
      <c r="LUS746" s="213"/>
      <c r="LUT746" s="213"/>
      <c r="LUU746" s="213"/>
      <c r="LUV746" s="213"/>
      <c r="LUW746" s="213"/>
      <c r="LUX746" s="213"/>
      <c r="LUY746" s="213"/>
      <c r="LUZ746" s="213"/>
      <c r="LVA746" s="213"/>
      <c r="LVB746" s="213"/>
      <c r="LVC746" s="213"/>
      <c r="LVD746" s="213"/>
      <c r="LVE746" s="213"/>
      <c r="LVF746" s="213"/>
      <c r="LVG746" s="213"/>
      <c r="LVH746" s="213"/>
      <c r="LVI746" s="213"/>
      <c r="LVJ746" s="213"/>
      <c r="LVK746" s="213"/>
      <c r="LVL746" s="213"/>
      <c r="LVM746" s="213"/>
      <c r="LVN746" s="213"/>
      <c r="LVO746" s="213"/>
      <c r="LVP746" s="213"/>
      <c r="LVQ746" s="213"/>
      <c r="LVR746" s="213"/>
      <c r="LVS746" s="213"/>
      <c r="LVT746" s="213"/>
      <c r="LVU746" s="213"/>
      <c r="LVV746" s="213"/>
      <c r="LVW746" s="213"/>
      <c r="LVX746" s="213"/>
      <c r="LVY746" s="213"/>
      <c r="LVZ746" s="213"/>
      <c r="LWA746" s="213"/>
      <c r="LWB746" s="213"/>
      <c r="LWC746" s="213"/>
      <c r="LWD746" s="213"/>
      <c r="LWE746" s="213"/>
      <c r="LWF746" s="213"/>
      <c r="LWG746" s="213"/>
      <c r="LWH746" s="213"/>
      <c r="LWI746" s="213"/>
      <c r="LWJ746" s="213"/>
      <c r="LWK746" s="213"/>
      <c r="LWL746" s="213"/>
      <c r="LWM746" s="213"/>
      <c r="LWN746" s="213"/>
      <c r="LWO746" s="213"/>
      <c r="LWP746" s="213"/>
      <c r="LWQ746" s="213"/>
      <c r="LWR746" s="213"/>
      <c r="LWS746" s="213"/>
      <c r="LWT746" s="213"/>
      <c r="LWU746" s="213"/>
      <c r="LWV746" s="213"/>
      <c r="LWW746" s="213"/>
      <c r="LWX746" s="213"/>
      <c r="LWY746" s="213"/>
      <c r="LWZ746" s="213"/>
      <c r="LXA746" s="213"/>
      <c r="LXB746" s="213"/>
      <c r="LXC746" s="213"/>
      <c r="LXD746" s="213"/>
      <c r="LXE746" s="213"/>
      <c r="LXF746" s="213"/>
      <c r="LXG746" s="213"/>
      <c r="LXH746" s="213"/>
      <c r="LXI746" s="213"/>
      <c r="LXJ746" s="213"/>
      <c r="LXK746" s="213"/>
      <c r="LXL746" s="213"/>
      <c r="LXM746" s="213"/>
      <c r="LXN746" s="213"/>
      <c r="LXO746" s="213"/>
      <c r="LXP746" s="213"/>
      <c r="LXQ746" s="213"/>
      <c r="LXR746" s="213"/>
      <c r="LXS746" s="213"/>
      <c r="LXT746" s="213"/>
      <c r="LXU746" s="213"/>
      <c r="LXV746" s="213"/>
      <c r="LXW746" s="213"/>
      <c r="LXX746" s="213"/>
      <c r="LXY746" s="213"/>
      <c r="LXZ746" s="213"/>
      <c r="LYA746" s="213"/>
      <c r="LYB746" s="213"/>
      <c r="LYC746" s="213"/>
      <c r="LYD746" s="213"/>
      <c r="LYE746" s="213"/>
      <c r="LYF746" s="213"/>
      <c r="LYG746" s="213"/>
      <c r="LYH746" s="213"/>
      <c r="LYI746" s="213"/>
      <c r="LYJ746" s="213"/>
      <c r="LYK746" s="213"/>
      <c r="LYL746" s="213"/>
      <c r="LYM746" s="213"/>
      <c r="LYN746" s="213"/>
      <c r="LYO746" s="213"/>
      <c r="LYP746" s="213"/>
      <c r="LYQ746" s="213"/>
      <c r="LYR746" s="213"/>
      <c r="LYS746" s="213"/>
      <c r="LYT746" s="213"/>
      <c r="LYU746" s="213"/>
      <c r="LYV746" s="213"/>
      <c r="LYW746" s="213"/>
      <c r="LYX746" s="213"/>
      <c r="LYY746" s="213"/>
      <c r="LYZ746" s="213"/>
      <c r="LZA746" s="213"/>
      <c r="LZB746" s="213"/>
      <c r="LZC746" s="213"/>
      <c r="LZD746" s="213"/>
      <c r="LZE746" s="213"/>
      <c r="LZF746" s="213"/>
      <c r="LZG746" s="213"/>
      <c r="LZH746" s="213"/>
      <c r="LZI746" s="213"/>
      <c r="LZJ746" s="213"/>
      <c r="LZK746" s="213"/>
      <c r="LZL746" s="213"/>
      <c r="LZM746" s="213"/>
      <c r="LZN746" s="213"/>
      <c r="LZO746" s="213"/>
      <c r="LZP746" s="213"/>
      <c r="LZQ746" s="213"/>
      <c r="LZR746" s="213"/>
      <c r="LZS746" s="213"/>
      <c r="LZT746" s="213"/>
      <c r="LZU746" s="213"/>
      <c r="LZV746" s="213"/>
      <c r="LZW746" s="213"/>
      <c r="LZX746" s="213"/>
      <c r="LZY746" s="213"/>
      <c r="LZZ746" s="213"/>
      <c r="MAA746" s="213"/>
      <c r="MAB746" s="213"/>
      <c r="MAC746" s="213"/>
      <c r="MAD746" s="213"/>
      <c r="MAE746" s="213"/>
      <c r="MAF746" s="213"/>
      <c r="MAG746" s="213"/>
      <c r="MAH746" s="213"/>
      <c r="MAI746" s="213"/>
      <c r="MAJ746" s="213"/>
      <c r="MAK746" s="213"/>
      <c r="MAL746" s="213"/>
      <c r="MAM746" s="213"/>
      <c r="MAN746" s="213"/>
      <c r="MAO746" s="213"/>
      <c r="MAP746" s="213"/>
      <c r="MAQ746" s="213"/>
      <c r="MAR746" s="213"/>
      <c r="MAS746" s="213"/>
      <c r="MAT746" s="213"/>
      <c r="MAU746" s="213"/>
      <c r="MAV746" s="213"/>
      <c r="MAW746" s="213"/>
      <c r="MAX746" s="213"/>
      <c r="MAY746" s="213"/>
      <c r="MAZ746" s="213"/>
      <c r="MBA746" s="213"/>
      <c r="MBB746" s="213"/>
      <c r="MBC746" s="213"/>
      <c r="MBD746" s="213"/>
      <c r="MBE746" s="213"/>
      <c r="MBF746" s="213"/>
      <c r="MBG746" s="213"/>
      <c r="MBH746" s="213"/>
      <c r="MBI746" s="213"/>
      <c r="MBJ746" s="213"/>
      <c r="MBK746" s="213"/>
      <c r="MBL746" s="213"/>
      <c r="MBM746" s="213"/>
      <c r="MBN746" s="213"/>
      <c r="MBO746" s="213"/>
      <c r="MBP746" s="213"/>
      <c r="MBQ746" s="213"/>
      <c r="MBR746" s="213"/>
      <c r="MBS746" s="213"/>
      <c r="MBT746" s="213"/>
      <c r="MBU746" s="213"/>
      <c r="MBV746" s="213"/>
      <c r="MBW746" s="213"/>
      <c r="MBX746" s="213"/>
      <c r="MBY746" s="213"/>
      <c r="MBZ746" s="213"/>
      <c r="MCA746" s="213"/>
      <c r="MCB746" s="213"/>
      <c r="MCC746" s="213"/>
      <c r="MCD746" s="213"/>
      <c r="MCE746" s="213"/>
      <c r="MCF746" s="213"/>
      <c r="MCG746" s="213"/>
      <c r="MCH746" s="213"/>
      <c r="MCI746" s="213"/>
      <c r="MCJ746" s="213"/>
      <c r="MCK746" s="213"/>
      <c r="MCL746" s="213"/>
      <c r="MCM746" s="213"/>
      <c r="MCN746" s="213"/>
      <c r="MCO746" s="213"/>
      <c r="MCP746" s="213"/>
      <c r="MCQ746" s="213"/>
      <c r="MCR746" s="213"/>
      <c r="MCS746" s="213"/>
      <c r="MCT746" s="213"/>
      <c r="MCU746" s="213"/>
      <c r="MCV746" s="213"/>
      <c r="MCW746" s="213"/>
      <c r="MCX746" s="213"/>
      <c r="MCY746" s="213"/>
      <c r="MCZ746" s="213"/>
      <c r="MDA746" s="213"/>
      <c r="MDB746" s="213"/>
      <c r="MDC746" s="213"/>
      <c r="MDD746" s="213"/>
      <c r="MDE746" s="213"/>
      <c r="MDF746" s="213"/>
      <c r="MDG746" s="213"/>
      <c r="MDH746" s="213"/>
      <c r="MDI746" s="213"/>
      <c r="MDJ746" s="213"/>
      <c r="MDK746" s="213"/>
      <c r="MDL746" s="213"/>
      <c r="MDM746" s="213"/>
      <c r="MDN746" s="213"/>
      <c r="MDO746" s="213"/>
      <c r="MDP746" s="213"/>
      <c r="MDQ746" s="213"/>
      <c r="MDR746" s="213"/>
      <c r="MDS746" s="213"/>
      <c r="MDT746" s="213"/>
      <c r="MDU746" s="213"/>
      <c r="MDV746" s="213"/>
      <c r="MDW746" s="213"/>
      <c r="MDX746" s="213"/>
      <c r="MDY746" s="213"/>
      <c r="MDZ746" s="213"/>
      <c r="MEA746" s="213"/>
      <c r="MEB746" s="213"/>
      <c r="MEC746" s="213"/>
      <c r="MED746" s="213"/>
      <c r="MEE746" s="213"/>
      <c r="MEF746" s="213"/>
      <c r="MEG746" s="213"/>
      <c r="MEH746" s="213"/>
      <c r="MEI746" s="213"/>
      <c r="MEJ746" s="213"/>
      <c r="MEK746" s="213"/>
      <c r="MEL746" s="213"/>
      <c r="MEM746" s="213"/>
      <c r="MEN746" s="213"/>
      <c r="MEO746" s="213"/>
      <c r="MEP746" s="213"/>
      <c r="MEQ746" s="213"/>
      <c r="MER746" s="213"/>
      <c r="MES746" s="213"/>
      <c r="MET746" s="213"/>
      <c r="MEU746" s="213"/>
      <c r="MEV746" s="213"/>
      <c r="MEW746" s="213"/>
      <c r="MEX746" s="213"/>
      <c r="MEY746" s="213"/>
      <c r="MEZ746" s="213"/>
      <c r="MFA746" s="213"/>
      <c r="MFB746" s="213"/>
      <c r="MFC746" s="213"/>
      <c r="MFD746" s="213"/>
      <c r="MFE746" s="213"/>
      <c r="MFF746" s="213"/>
      <c r="MFG746" s="213"/>
      <c r="MFH746" s="213"/>
      <c r="MFI746" s="213"/>
      <c r="MFJ746" s="213"/>
      <c r="MFK746" s="213"/>
      <c r="MFL746" s="213"/>
      <c r="MFM746" s="213"/>
      <c r="MFN746" s="213"/>
      <c r="MFO746" s="213"/>
      <c r="MFP746" s="213"/>
      <c r="MFQ746" s="213"/>
      <c r="MFR746" s="213"/>
      <c r="MFS746" s="213"/>
      <c r="MFT746" s="213"/>
      <c r="MFU746" s="213"/>
      <c r="MFV746" s="213"/>
      <c r="MFW746" s="213"/>
      <c r="MFX746" s="213"/>
      <c r="MFY746" s="213"/>
      <c r="MFZ746" s="213"/>
      <c r="MGA746" s="213"/>
      <c r="MGB746" s="213"/>
      <c r="MGC746" s="213"/>
      <c r="MGD746" s="213"/>
      <c r="MGE746" s="213"/>
      <c r="MGF746" s="213"/>
      <c r="MGG746" s="213"/>
      <c r="MGH746" s="213"/>
      <c r="MGI746" s="213"/>
      <c r="MGJ746" s="213"/>
      <c r="MGK746" s="213"/>
      <c r="MGL746" s="213"/>
      <c r="MGM746" s="213"/>
      <c r="MGN746" s="213"/>
      <c r="MGO746" s="213"/>
      <c r="MGP746" s="213"/>
      <c r="MGQ746" s="213"/>
      <c r="MGR746" s="213"/>
      <c r="MGS746" s="213"/>
      <c r="MGT746" s="213"/>
      <c r="MGU746" s="213"/>
      <c r="MGV746" s="213"/>
      <c r="MGW746" s="213"/>
      <c r="MGX746" s="213"/>
      <c r="MGY746" s="213"/>
      <c r="MGZ746" s="213"/>
      <c r="MHA746" s="213"/>
      <c r="MHB746" s="213"/>
      <c r="MHC746" s="213"/>
      <c r="MHD746" s="213"/>
      <c r="MHE746" s="213"/>
      <c r="MHF746" s="213"/>
      <c r="MHG746" s="213"/>
      <c r="MHH746" s="213"/>
      <c r="MHI746" s="213"/>
      <c r="MHJ746" s="213"/>
      <c r="MHK746" s="213"/>
      <c r="MHL746" s="213"/>
      <c r="MHM746" s="213"/>
      <c r="MHN746" s="213"/>
      <c r="MHO746" s="213"/>
      <c r="MHP746" s="213"/>
      <c r="MHQ746" s="213"/>
      <c r="MHR746" s="213"/>
      <c r="MHS746" s="213"/>
      <c r="MHT746" s="213"/>
      <c r="MHU746" s="213"/>
      <c r="MHV746" s="213"/>
      <c r="MHW746" s="213"/>
      <c r="MHX746" s="213"/>
      <c r="MHY746" s="213"/>
      <c r="MHZ746" s="213"/>
      <c r="MIA746" s="213"/>
      <c r="MIB746" s="213"/>
      <c r="MIC746" s="213"/>
      <c r="MID746" s="213"/>
      <c r="MIE746" s="213"/>
      <c r="MIF746" s="213"/>
      <c r="MIG746" s="213"/>
      <c r="MIH746" s="213"/>
      <c r="MII746" s="213"/>
      <c r="MIJ746" s="213"/>
      <c r="MIK746" s="213"/>
      <c r="MIL746" s="213"/>
      <c r="MIM746" s="213"/>
      <c r="MIN746" s="213"/>
      <c r="MIO746" s="213"/>
      <c r="MIP746" s="213"/>
      <c r="MIQ746" s="213"/>
      <c r="MIR746" s="213"/>
      <c r="MIS746" s="213"/>
      <c r="MIT746" s="213"/>
      <c r="MIU746" s="213"/>
      <c r="MIV746" s="213"/>
      <c r="MIW746" s="213"/>
      <c r="MIX746" s="213"/>
      <c r="MIY746" s="213"/>
      <c r="MIZ746" s="213"/>
      <c r="MJA746" s="213"/>
      <c r="MJB746" s="213"/>
      <c r="MJC746" s="213"/>
      <c r="MJD746" s="213"/>
      <c r="MJE746" s="213"/>
      <c r="MJF746" s="213"/>
      <c r="MJG746" s="213"/>
      <c r="MJH746" s="213"/>
      <c r="MJI746" s="213"/>
      <c r="MJJ746" s="213"/>
      <c r="MJK746" s="213"/>
      <c r="MJL746" s="213"/>
      <c r="MJM746" s="213"/>
      <c r="MJN746" s="213"/>
      <c r="MJO746" s="213"/>
      <c r="MJP746" s="213"/>
      <c r="MJQ746" s="213"/>
      <c r="MJR746" s="213"/>
      <c r="MJS746" s="213"/>
      <c r="MJT746" s="213"/>
      <c r="MJU746" s="213"/>
      <c r="MJV746" s="213"/>
      <c r="MJW746" s="213"/>
      <c r="MJX746" s="213"/>
      <c r="MJY746" s="213"/>
      <c r="MJZ746" s="213"/>
      <c r="MKA746" s="213"/>
      <c r="MKB746" s="213"/>
      <c r="MKC746" s="213"/>
      <c r="MKD746" s="213"/>
      <c r="MKE746" s="213"/>
      <c r="MKF746" s="213"/>
      <c r="MKG746" s="213"/>
      <c r="MKH746" s="213"/>
      <c r="MKI746" s="213"/>
      <c r="MKJ746" s="213"/>
      <c r="MKK746" s="213"/>
      <c r="MKL746" s="213"/>
      <c r="MKM746" s="213"/>
      <c r="MKN746" s="213"/>
      <c r="MKO746" s="213"/>
      <c r="MKP746" s="213"/>
      <c r="MKQ746" s="213"/>
      <c r="MKR746" s="213"/>
      <c r="MKS746" s="213"/>
      <c r="MKT746" s="213"/>
      <c r="MKU746" s="213"/>
      <c r="MKV746" s="213"/>
      <c r="MKW746" s="213"/>
      <c r="MKX746" s="213"/>
      <c r="MKY746" s="213"/>
      <c r="MKZ746" s="213"/>
      <c r="MLA746" s="213"/>
      <c r="MLB746" s="213"/>
      <c r="MLC746" s="213"/>
      <c r="MLD746" s="213"/>
      <c r="MLE746" s="213"/>
      <c r="MLF746" s="213"/>
      <c r="MLG746" s="213"/>
      <c r="MLH746" s="213"/>
      <c r="MLI746" s="213"/>
      <c r="MLJ746" s="213"/>
      <c r="MLK746" s="213"/>
      <c r="MLL746" s="213"/>
      <c r="MLM746" s="213"/>
      <c r="MLN746" s="213"/>
      <c r="MLO746" s="213"/>
      <c r="MLP746" s="213"/>
      <c r="MLQ746" s="213"/>
      <c r="MLR746" s="213"/>
      <c r="MLS746" s="213"/>
      <c r="MLT746" s="213"/>
      <c r="MLU746" s="213"/>
      <c r="MLV746" s="213"/>
      <c r="MLW746" s="213"/>
      <c r="MLX746" s="213"/>
      <c r="MLY746" s="213"/>
      <c r="MLZ746" s="213"/>
      <c r="MMA746" s="213"/>
      <c r="MMB746" s="213"/>
      <c r="MMC746" s="213"/>
      <c r="MMD746" s="213"/>
      <c r="MME746" s="213"/>
      <c r="MMF746" s="213"/>
      <c r="MMG746" s="213"/>
      <c r="MMH746" s="213"/>
      <c r="MMI746" s="213"/>
      <c r="MMJ746" s="213"/>
      <c r="MMK746" s="213"/>
      <c r="MML746" s="213"/>
      <c r="MMM746" s="213"/>
      <c r="MMN746" s="213"/>
      <c r="MMO746" s="213"/>
      <c r="MMP746" s="213"/>
      <c r="MMQ746" s="213"/>
      <c r="MMR746" s="213"/>
      <c r="MMS746" s="213"/>
      <c r="MMT746" s="213"/>
      <c r="MMU746" s="213"/>
      <c r="MMV746" s="213"/>
      <c r="MMW746" s="213"/>
      <c r="MMX746" s="213"/>
      <c r="MMY746" s="213"/>
      <c r="MMZ746" s="213"/>
      <c r="MNA746" s="213"/>
      <c r="MNB746" s="213"/>
      <c r="MNC746" s="213"/>
      <c r="MND746" s="213"/>
      <c r="MNE746" s="213"/>
      <c r="MNF746" s="213"/>
      <c r="MNG746" s="213"/>
      <c r="MNH746" s="213"/>
      <c r="MNI746" s="213"/>
      <c r="MNJ746" s="213"/>
      <c r="MNK746" s="213"/>
      <c r="MNL746" s="213"/>
      <c r="MNM746" s="213"/>
      <c r="MNN746" s="213"/>
      <c r="MNO746" s="213"/>
      <c r="MNP746" s="213"/>
      <c r="MNQ746" s="213"/>
      <c r="MNR746" s="213"/>
      <c r="MNS746" s="213"/>
      <c r="MNT746" s="213"/>
      <c r="MNU746" s="213"/>
      <c r="MNV746" s="213"/>
      <c r="MNW746" s="213"/>
      <c r="MNX746" s="213"/>
      <c r="MNY746" s="213"/>
      <c r="MNZ746" s="213"/>
      <c r="MOA746" s="213"/>
      <c r="MOB746" s="213"/>
      <c r="MOC746" s="213"/>
      <c r="MOD746" s="213"/>
      <c r="MOE746" s="213"/>
      <c r="MOF746" s="213"/>
      <c r="MOG746" s="213"/>
      <c r="MOH746" s="213"/>
      <c r="MOI746" s="213"/>
      <c r="MOJ746" s="213"/>
      <c r="MOK746" s="213"/>
      <c r="MOL746" s="213"/>
      <c r="MOM746" s="213"/>
      <c r="MON746" s="213"/>
      <c r="MOO746" s="213"/>
      <c r="MOP746" s="213"/>
      <c r="MOQ746" s="213"/>
      <c r="MOR746" s="213"/>
      <c r="MOS746" s="213"/>
      <c r="MOT746" s="213"/>
      <c r="MOU746" s="213"/>
      <c r="MOV746" s="213"/>
      <c r="MOW746" s="213"/>
      <c r="MOX746" s="213"/>
      <c r="MOY746" s="213"/>
      <c r="MOZ746" s="213"/>
      <c r="MPA746" s="213"/>
      <c r="MPB746" s="213"/>
      <c r="MPC746" s="213"/>
      <c r="MPD746" s="213"/>
      <c r="MPE746" s="213"/>
      <c r="MPF746" s="213"/>
      <c r="MPG746" s="213"/>
      <c r="MPH746" s="213"/>
      <c r="MPI746" s="213"/>
      <c r="MPJ746" s="213"/>
      <c r="MPK746" s="213"/>
      <c r="MPL746" s="213"/>
      <c r="MPM746" s="213"/>
      <c r="MPN746" s="213"/>
      <c r="MPO746" s="213"/>
      <c r="MPP746" s="213"/>
      <c r="MPQ746" s="213"/>
      <c r="MPR746" s="213"/>
      <c r="MPS746" s="213"/>
      <c r="MPT746" s="213"/>
      <c r="MPU746" s="213"/>
      <c r="MPV746" s="213"/>
      <c r="MPW746" s="213"/>
      <c r="MPX746" s="213"/>
      <c r="MPY746" s="213"/>
      <c r="MPZ746" s="213"/>
      <c r="MQA746" s="213"/>
      <c r="MQB746" s="213"/>
      <c r="MQC746" s="213"/>
      <c r="MQD746" s="213"/>
      <c r="MQE746" s="213"/>
      <c r="MQF746" s="213"/>
      <c r="MQG746" s="213"/>
      <c r="MQH746" s="213"/>
      <c r="MQI746" s="213"/>
      <c r="MQJ746" s="213"/>
      <c r="MQK746" s="213"/>
      <c r="MQL746" s="213"/>
      <c r="MQM746" s="213"/>
      <c r="MQN746" s="213"/>
      <c r="MQO746" s="213"/>
      <c r="MQP746" s="213"/>
      <c r="MQQ746" s="213"/>
      <c r="MQR746" s="213"/>
      <c r="MQS746" s="213"/>
      <c r="MQT746" s="213"/>
      <c r="MQU746" s="213"/>
      <c r="MQV746" s="213"/>
      <c r="MQW746" s="213"/>
      <c r="MQX746" s="213"/>
      <c r="MQY746" s="213"/>
      <c r="MQZ746" s="213"/>
      <c r="MRA746" s="213"/>
      <c r="MRB746" s="213"/>
      <c r="MRC746" s="213"/>
      <c r="MRD746" s="213"/>
      <c r="MRE746" s="213"/>
      <c r="MRF746" s="213"/>
      <c r="MRG746" s="213"/>
      <c r="MRH746" s="213"/>
      <c r="MRI746" s="213"/>
      <c r="MRJ746" s="213"/>
      <c r="MRK746" s="213"/>
      <c r="MRL746" s="213"/>
      <c r="MRM746" s="213"/>
      <c r="MRN746" s="213"/>
      <c r="MRO746" s="213"/>
      <c r="MRP746" s="213"/>
      <c r="MRQ746" s="213"/>
      <c r="MRR746" s="213"/>
      <c r="MRS746" s="213"/>
      <c r="MRT746" s="213"/>
      <c r="MRU746" s="213"/>
      <c r="MRV746" s="213"/>
      <c r="MRW746" s="213"/>
      <c r="MRX746" s="213"/>
      <c r="MRY746" s="213"/>
      <c r="MRZ746" s="213"/>
      <c r="MSA746" s="213"/>
      <c r="MSB746" s="213"/>
      <c r="MSC746" s="213"/>
      <c r="MSD746" s="213"/>
      <c r="MSE746" s="213"/>
      <c r="MSF746" s="213"/>
      <c r="MSG746" s="213"/>
      <c r="MSH746" s="213"/>
      <c r="MSI746" s="213"/>
      <c r="MSJ746" s="213"/>
      <c r="MSK746" s="213"/>
      <c r="MSL746" s="213"/>
      <c r="MSM746" s="213"/>
      <c r="MSN746" s="213"/>
      <c r="MSO746" s="213"/>
      <c r="MSP746" s="213"/>
      <c r="MSQ746" s="213"/>
      <c r="MSR746" s="213"/>
      <c r="MSS746" s="213"/>
      <c r="MST746" s="213"/>
      <c r="MSU746" s="213"/>
      <c r="MSV746" s="213"/>
      <c r="MSW746" s="213"/>
      <c r="MSX746" s="213"/>
      <c r="MSY746" s="213"/>
      <c r="MSZ746" s="213"/>
      <c r="MTA746" s="213"/>
      <c r="MTB746" s="213"/>
      <c r="MTC746" s="213"/>
      <c r="MTD746" s="213"/>
      <c r="MTE746" s="213"/>
      <c r="MTF746" s="213"/>
      <c r="MTG746" s="213"/>
      <c r="MTH746" s="213"/>
      <c r="MTI746" s="213"/>
      <c r="MTJ746" s="213"/>
      <c r="MTK746" s="213"/>
      <c r="MTL746" s="213"/>
      <c r="MTM746" s="213"/>
      <c r="MTN746" s="213"/>
      <c r="MTO746" s="213"/>
      <c r="MTP746" s="213"/>
      <c r="MTQ746" s="213"/>
      <c r="MTR746" s="213"/>
      <c r="MTS746" s="213"/>
      <c r="MTT746" s="213"/>
      <c r="MTU746" s="213"/>
      <c r="MTV746" s="213"/>
      <c r="MTW746" s="213"/>
      <c r="MTX746" s="213"/>
      <c r="MTY746" s="213"/>
      <c r="MTZ746" s="213"/>
      <c r="MUA746" s="213"/>
      <c r="MUB746" s="213"/>
      <c r="MUC746" s="213"/>
      <c r="MUD746" s="213"/>
      <c r="MUE746" s="213"/>
      <c r="MUF746" s="213"/>
      <c r="MUG746" s="213"/>
      <c r="MUH746" s="213"/>
      <c r="MUI746" s="213"/>
      <c r="MUJ746" s="213"/>
      <c r="MUK746" s="213"/>
      <c r="MUL746" s="213"/>
      <c r="MUM746" s="213"/>
      <c r="MUN746" s="213"/>
      <c r="MUO746" s="213"/>
      <c r="MUP746" s="213"/>
      <c r="MUQ746" s="213"/>
      <c r="MUR746" s="213"/>
      <c r="MUS746" s="213"/>
      <c r="MUT746" s="213"/>
      <c r="MUU746" s="213"/>
      <c r="MUV746" s="213"/>
      <c r="MUW746" s="213"/>
      <c r="MUX746" s="213"/>
      <c r="MUY746" s="213"/>
      <c r="MUZ746" s="213"/>
      <c r="MVA746" s="213"/>
      <c r="MVB746" s="213"/>
      <c r="MVC746" s="213"/>
      <c r="MVD746" s="213"/>
      <c r="MVE746" s="213"/>
      <c r="MVF746" s="213"/>
      <c r="MVG746" s="213"/>
      <c r="MVH746" s="213"/>
      <c r="MVI746" s="213"/>
      <c r="MVJ746" s="213"/>
      <c r="MVK746" s="213"/>
      <c r="MVL746" s="213"/>
      <c r="MVM746" s="213"/>
      <c r="MVN746" s="213"/>
      <c r="MVO746" s="213"/>
      <c r="MVP746" s="213"/>
      <c r="MVQ746" s="213"/>
      <c r="MVR746" s="213"/>
      <c r="MVS746" s="213"/>
      <c r="MVT746" s="213"/>
      <c r="MVU746" s="213"/>
      <c r="MVV746" s="213"/>
      <c r="MVW746" s="213"/>
      <c r="MVX746" s="213"/>
      <c r="MVY746" s="213"/>
      <c r="MVZ746" s="213"/>
      <c r="MWA746" s="213"/>
      <c r="MWB746" s="213"/>
      <c r="MWC746" s="213"/>
      <c r="MWD746" s="213"/>
      <c r="MWE746" s="213"/>
      <c r="MWF746" s="213"/>
      <c r="MWG746" s="213"/>
      <c r="MWH746" s="213"/>
      <c r="MWI746" s="213"/>
      <c r="MWJ746" s="213"/>
      <c r="MWK746" s="213"/>
      <c r="MWL746" s="213"/>
      <c r="MWM746" s="213"/>
      <c r="MWN746" s="213"/>
      <c r="MWO746" s="213"/>
      <c r="MWP746" s="213"/>
      <c r="MWQ746" s="213"/>
      <c r="MWR746" s="213"/>
      <c r="MWS746" s="213"/>
      <c r="MWT746" s="213"/>
      <c r="MWU746" s="213"/>
      <c r="MWV746" s="213"/>
      <c r="MWW746" s="213"/>
      <c r="MWX746" s="213"/>
      <c r="MWY746" s="213"/>
      <c r="MWZ746" s="213"/>
      <c r="MXA746" s="213"/>
      <c r="MXB746" s="213"/>
      <c r="MXC746" s="213"/>
      <c r="MXD746" s="213"/>
      <c r="MXE746" s="213"/>
      <c r="MXF746" s="213"/>
      <c r="MXG746" s="213"/>
      <c r="MXH746" s="213"/>
      <c r="MXI746" s="213"/>
      <c r="MXJ746" s="213"/>
      <c r="MXK746" s="213"/>
      <c r="MXL746" s="213"/>
      <c r="MXM746" s="213"/>
      <c r="MXN746" s="213"/>
      <c r="MXO746" s="213"/>
      <c r="MXP746" s="213"/>
      <c r="MXQ746" s="213"/>
      <c r="MXR746" s="213"/>
      <c r="MXS746" s="213"/>
      <c r="MXT746" s="213"/>
      <c r="MXU746" s="213"/>
      <c r="MXV746" s="213"/>
      <c r="MXW746" s="213"/>
      <c r="MXX746" s="213"/>
      <c r="MXY746" s="213"/>
      <c r="MXZ746" s="213"/>
      <c r="MYA746" s="213"/>
      <c r="MYB746" s="213"/>
      <c r="MYC746" s="213"/>
      <c r="MYD746" s="213"/>
      <c r="MYE746" s="213"/>
      <c r="MYF746" s="213"/>
      <c r="MYG746" s="213"/>
      <c r="MYH746" s="213"/>
      <c r="MYI746" s="213"/>
      <c r="MYJ746" s="213"/>
      <c r="MYK746" s="213"/>
      <c r="MYL746" s="213"/>
      <c r="MYM746" s="213"/>
      <c r="MYN746" s="213"/>
      <c r="MYO746" s="213"/>
      <c r="MYP746" s="213"/>
      <c r="MYQ746" s="213"/>
      <c r="MYR746" s="213"/>
      <c r="MYS746" s="213"/>
      <c r="MYT746" s="213"/>
      <c r="MYU746" s="213"/>
      <c r="MYV746" s="213"/>
      <c r="MYW746" s="213"/>
      <c r="MYX746" s="213"/>
      <c r="MYY746" s="213"/>
      <c r="MYZ746" s="213"/>
      <c r="MZA746" s="213"/>
      <c r="MZB746" s="213"/>
      <c r="MZC746" s="213"/>
      <c r="MZD746" s="213"/>
      <c r="MZE746" s="213"/>
      <c r="MZF746" s="213"/>
      <c r="MZG746" s="213"/>
      <c r="MZH746" s="213"/>
      <c r="MZI746" s="213"/>
      <c r="MZJ746" s="213"/>
      <c r="MZK746" s="213"/>
      <c r="MZL746" s="213"/>
      <c r="MZM746" s="213"/>
      <c r="MZN746" s="213"/>
      <c r="MZO746" s="213"/>
      <c r="MZP746" s="213"/>
      <c r="MZQ746" s="213"/>
      <c r="MZR746" s="213"/>
      <c r="MZS746" s="213"/>
      <c r="MZT746" s="213"/>
      <c r="MZU746" s="213"/>
      <c r="MZV746" s="213"/>
      <c r="MZW746" s="213"/>
      <c r="MZX746" s="213"/>
      <c r="MZY746" s="213"/>
      <c r="MZZ746" s="213"/>
      <c r="NAA746" s="213"/>
      <c r="NAB746" s="213"/>
      <c r="NAC746" s="213"/>
      <c r="NAD746" s="213"/>
      <c r="NAE746" s="213"/>
      <c r="NAF746" s="213"/>
      <c r="NAG746" s="213"/>
      <c r="NAH746" s="213"/>
      <c r="NAI746" s="213"/>
      <c r="NAJ746" s="213"/>
      <c r="NAK746" s="213"/>
      <c r="NAL746" s="213"/>
      <c r="NAM746" s="213"/>
      <c r="NAN746" s="213"/>
      <c r="NAO746" s="213"/>
      <c r="NAP746" s="213"/>
      <c r="NAQ746" s="213"/>
      <c r="NAR746" s="213"/>
      <c r="NAS746" s="213"/>
      <c r="NAT746" s="213"/>
      <c r="NAU746" s="213"/>
      <c r="NAV746" s="213"/>
      <c r="NAW746" s="213"/>
      <c r="NAX746" s="213"/>
      <c r="NAY746" s="213"/>
      <c r="NAZ746" s="213"/>
      <c r="NBA746" s="213"/>
      <c r="NBB746" s="213"/>
      <c r="NBC746" s="213"/>
      <c r="NBD746" s="213"/>
      <c r="NBE746" s="213"/>
      <c r="NBF746" s="213"/>
      <c r="NBG746" s="213"/>
      <c r="NBH746" s="213"/>
      <c r="NBI746" s="213"/>
      <c r="NBJ746" s="213"/>
      <c r="NBK746" s="213"/>
      <c r="NBL746" s="213"/>
      <c r="NBM746" s="213"/>
      <c r="NBN746" s="213"/>
      <c r="NBO746" s="213"/>
      <c r="NBP746" s="213"/>
      <c r="NBQ746" s="213"/>
      <c r="NBR746" s="213"/>
      <c r="NBS746" s="213"/>
      <c r="NBT746" s="213"/>
      <c r="NBU746" s="213"/>
      <c r="NBV746" s="213"/>
      <c r="NBW746" s="213"/>
      <c r="NBX746" s="213"/>
      <c r="NBY746" s="213"/>
      <c r="NBZ746" s="213"/>
      <c r="NCA746" s="213"/>
      <c r="NCB746" s="213"/>
      <c r="NCC746" s="213"/>
      <c r="NCD746" s="213"/>
      <c r="NCE746" s="213"/>
      <c r="NCF746" s="213"/>
      <c r="NCG746" s="213"/>
      <c r="NCH746" s="213"/>
      <c r="NCI746" s="213"/>
      <c r="NCJ746" s="213"/>
      <c r="NCK746" s="213"/>
      <c r="NCL746" s="213"/>
      <c r="NCM746" s="213"/>
      <c r="NCN746" s="213"/>
      <c r="NCO746" s="213"/>
      <c r="NCP746" s="213"/>
      <c r="NCQ746" s="213"/>
      <c r="NCR746" s="213"/>
      <c r="NCS746" s="213"/>
      <c r="NCT746" s="213"/>
      <c r="NCU746" s="213"/>
      <c r="NCV746" s="213"/>
      <c r="NCW746" s="213"/>
      <c r="NCX746" s="213"/>
      <c r="NCY746" s="213"/>
      <c r="NCZ746" s="213"/>
      <c r="NDA746" s="213"/>
      <c r="NDB746" s="213"/>
      <c r="NDC746" s="213"/>
      <c r="NDD746" s="213"/>
      <c r="NDE746" s="213"/>
      <c r="NDF746" s="213"/>
      <c r="NDG746" s="213"/>
      <c r="NDH746" s="213"/>
      <c r="NDI746" s="213"/>
      <c r="NDJ746" s="213"/>
      <c r="NDK746" s="213"/>
      <c r="NDL746" s="213"/>
      <c r="NDM746" s="213"/>
      <c r="NDN746" s="213"/>
      <c r="NDO746" s="213"/>
      <c r="NDP746" s="213"/>
      <c r="NDQ746" s="213"/>
      <c r="NDR746" s="213"/>
      <c r="NDS746" s="213"/>
      <c r="NDT746" s="213"/>
      <c r="NDU746" s="213"/>
      <c r="NDV746" s="213"/>
      <c r="NDW746" s="213"/>
      <c r="NDX746" s="213"/>
      <c r="NDY746" s="213"/>
      <c r="NDZ746" s="213"/>
      <c r="NEA746" s="213"/>
      <c r="NEB746" s="213"/>
      <c r="NEC746" s="213"/>
      <c r="NED746" s="213"/>
      <c r="NEE746" s="213"/>
      <c r="NEF746" s="213"/>
      <c r="NEG746" s="213"/>
      <c r="NEH746" s="213"/>
      <c r="NEI746" s="213"/>
      <c r="NEJ746" s="213"/>
      <c r="NEK746" s="213"/>
      <c r="NEL746" s="213"/>
      <c r="NEM746" s="213"/>
      <c r="NEN746" s="213"/>
      <c r="NEO746" s="213"/>
      <c r="NEP746" s="213"/>
      <c r="NEQ746" s="213"/>
      <c r="NER746" s="213"/>
      <c r="NES746" s="213"/>
      <c r="NET746" s="213"/>
      <c r="NEU746" s="213"/>
      <c r="NEV746" s="213"/>
      <c r="NEW746" s="213"/>
      <c r="NEX746" s="213"/>
      <c r="NEY746" s="213"/>
      <c r="NEZ746" s="213"/>
      <c r="NFA746" s="213"/>
      <c r="NFB746" s="213"/>
      <c r="NFC746" s="213"/>
      <c r="NFD746" s="213"/>
      <c r="NFE746" s="213"/>
      <c r="NFF746" s="213"/>
      <c r="NFG746" s="213"/>
      <c r="NFH746" s="213"/>
      <c r="NFI746" s="213"/>
      <c r="NFJ746" s="213"/>
      <c r="NFK746" s="213"/>
      <c r="NFL746" s="213"/>
      <c r="NFM746" s="213"/>
      <c r="NFN746" s="213"/>
      <c r="NFO746" s="213"/>
      <c r="NFP746" s="213"/>
      <c r="NFQ746" s="213"/>
      <c r="NFR746" s="213"/>
      <c r="NFS746" s="213"/>
      <c r="NFT746" s="213"/>
      <c r="NFU746" s="213"/>
      <c r="NFV746" s="213"/>
      <c r="NFW746" s="213"/>
      <c r="NFX746" s="213"/>
      <c r="NFY746" s="213"/>
      <c r="NFZ746" s="213"/>
      <c r="NGA746" s="213"/>
      <c r="NGB746" s="213"/>
      <c r="NGC746" s="213"/>
      <c r="NGD746" s="213"/>
      <c r="NGE746" s="213"/>
      <c r="NGF746" s="213"/>
      <c r="NGG746" s="213"/>
      <c r="NGH746" s="213"/>
      <c r="NGI746" s="213"/>
      <c r="NGJ746" s="213"/>
      <c r="NGK746" s="213"/>
      <c r="NGL746" s="213"/>
      <c r="NGM746" s="213"/>
      <c r="NGN746" s="213"/>
      <c r="NGO746" s="213"/>
      <c r="NGP746" s="213"/>
      <c r="NGQ746" s="213"/>
      <c r="NGR746" s="213"/>
      <c r="NGS746" s="213"/>
      <c r="NGT746" s="213"/>
      <c r="NGU746" s="213"/>
      <c r="NGV746" s="213"/>
      <c r="NGW746" s="213"/>
      <c r="NGX746" s="213"/>
      <c r="NGY746" s="213"/>
      <c r="NGZ746" s="213"/>
      <c r="NHA746" s="213"/>
      <c r="NHB746" s="213"/>
      <c r="NHC746" s="213"/>
      <c r="NHD746" s="213"/>
      <c r="NHE746" s="213"/>
      <c r="NHF746" s="213"/>
      <c r="NHG746" s="213"/>
      <c r="NHH746" s="213"/>
      <c r="NHI746" s="213"/>
      <c r="NHJ746" s="213"/>
      <c r="NHK746" s="213"/>
      <c r="NHL746" s="213"/>
      <c r="NHM746" s="213"/>
      <c r="NHN746" s="213"/>
      <c r="NHO746" s="213"/>
      <c r="NHP746" s="213"/>
      <c r="NHQ746" s="213"/>
      <c r="NHR746" s="213"/>
      <c r="NHS746" s="213"/>
      <c r="NHT746" s="213"/>
      <c r="NHU746" s="213"/>
      <c r="NHV746" s="213"/>
      <c r="NHW746" s="213"/>
      <c r="NHX746" s="213"/>
      <c r="NHY746" s="213"/>
      <c r="NHZ746" s="213"/>
      <c r="NIA746" s="213"/>
      <c r="NIB746" s="213"/>
      <c r="NIC746" s="213"/>
      <c r="NID746" s="213"/>
      <c r="NIE746" s="213"/>
      <c r="NIF746" s="213"/>
      <c r="NIG746" s="213"/>
      <c r="NIH746" s="213"/>
      <c r="NII746" s="213"/>
      <c r="NIJ746" s="213"/>
      <c r="NIK746" s="213"/>
      <c r="NIL746" s="213"/>
      <c r="NIM746" s="213"/>
      <c r="NIN746" s="213"/>
      <c r="NIO746" s="213"/>
      <c r="NIP746" s="213"/>
      <c r="NIQ746" s="213"/>
      <c r="NIR746" s="213"/>
      <c r="NIS746" s="213"/>
      <c r="NIT746" s="213"/>
      <c r="NIU746" s="213"/>
      <c r="NIV746" s="213"/>
      <c r="NIW746" s="213"/>
      <c r="NIX746" s="213"/>
      <c r="NIY746" s="213"/>
      <c r="NIZ746" s="213"/>
      <c r="NJA746" s="213"/>
      <c r="NJB746" s="213"/>
      <c r="NJC746" s="213"/>
      <c r="NJD746" s="213"/>
      <c r="NJE746" s="213"/>
      <c r="NJF746" s="213"/>
      <c r="NJG746" s="213"/>
      <c r="NJH746" s="213"/>
      <c r="NJI746" s="213"/>
      <c r="NJJ746" s="213"/>
      <c r="NJK746" s="213"/>
      <c r="NJL746" s="213"/>
      <c r="NJM746" s="213"/>
      <c r="NJN746" s="213"/>
      <c r="NJO746" s="213"/>
      <c r="NJP746" s="213"/>
      <c r="NJQ746" s="213"/>
      <c r="NJR746" s="213"/>
      <c r="NJS746" s="213"/>
      <c r="NJT746" s="213"/>
      <c r="NJU746" s="213"/>
      <c r="NJV746" s="213"/>
      <c r="NJW746" s="213"/>
      <c r="NJX746" s="213"/>
      <c r="NJY746" s="213"/>
      <c r="NJZ746" s="213"/>
      <c r="NKA746" s="213"/>
      <c r="NKB746" s="213"/>
      <c r="NKC746" s="213"/>
      <c r="NKD746" s="213"/>
      <c r="NKE746" s="213"/>
      <c r="NKF746" s="213"/>
      <c r="NKG746" s="213"/>
      <c r="NKH746" s="213"/>
      <c r="NKI746" s="213"/>
      <c r="NKJ746" s="213"/>
      <c r="NKK746" s="213"/>
      <c r="NKL746" s="213"/>
      <c r="NKM746" s="213"/>
      <c r="NKN746" s="213"/>
      <c r="NKO746" s="213"/>
      <c r="NKP746" s="213"/>
      <c r="NKQ746" s="213"/>
      <c r="NKR746" s="213"/>
      <c r="NKS746" s="213"/>
      <c r="NKT746" s="213"/>
      <c r="NKU746" s="213"/>
      <c r="NKV746" s="213"/>
      <c r="NKW746" s="213"/>
      <c r="NKX746" s="213"/>
      <c r="NKY746" s="213"/>
      <c r="NKZ746" s="213"/>
      <c r="NLA746" s="213"/>
      <c r="NLB746" s="213"/>
      <c r="NLC746" s="213"/>
      <c r="NLD746" s="213"/>
      <c r="NLE746" s="213"/>
      <c r="NLF746" s="213"/>
      <c r="NLG746" s="213"/>
      <c r="NLH746" s="213"/>
      <c r="NLI746" s="213"/>
      <c r="NLJ746" s="213"/>
      <c r="NLK746" s="213"/>
      <c r="NLL746" s="213"/>
      <c r="NLM746" s="213"/>
      <c r="NLN746" s="213"/>
      <c r="NLO746" s="213"/>
      <c r="NLP746" s="213"/>
      <c r="NLQ746" s="213"/>
      <c r="NLR746" s="213"/>
      <c r="NLS746" s="213"/>
      <c r="NLT746" s="213"/>
      <c r="NLU746" s="213"/>
      <c r="NLV746" s="213"/>
      <c r="NLW746" s="213"/>
      <c r="NLX746" s="213"/>
      <c r="NLY746" s="213"/>
      <c r="NLZ746" s="213"/>
      <c r="NMA746" s="213"/>
      <c r="NMB746" s="213"/>
      <c r="NMC746" s="213"/>
      <c r="NMD746" s="213"/>
      <c r="NME746" s="213"/>
      <c r="NMF746" s="213"/>
      <c r="NMG746" s="213"/>
      <c r="NMH746" s="213"/>
      <c r="NMI746" s="213"/>
      <c r="NMJ746" s="213"/>
      <c r="NMK746" s="213"/>
      <c r="NML746" s="213"/>
      <c r="NMM746" s="213"/>
      <c r="NMN746" s="213"/>
      <c r="NMO746" s="213"/>
      <c r="NMP746" s="213"/>
      <c r="NMQ746" s="213"/>
      <c r="NMR746" s="213"/>
      <c r="NMS746" s="213"/>
      <c r="NMT746" s="213"/>
      <c r="NMU746" s="213"/>
      <c r="NMV746" s="213"/>
      <c r="NMW746" s="213"/>
      <c r="NMX746" s="213"/>
      <c r="NMY746" s="213"/>
      <c r="NMZ746" s="213"/>
      <c r="NNA746" s="213"/>
      <c r="NNB746" s="213"/>
      <c r="NNC746" s="213"/>
      <c r="NND746" s="213"/>
      <c r="NNE746" s="213"/>
      <c r="NNF746" s="213"/>
      <c r="NNG746" s="213"/>
      <c r="NNH746" s="213"/>
      <c r="NNI746" s="213"/>
      <c r="NNJ746" s="213"/>
      <c r="NNK746" s="213"/>
      <c r="NNL746" s="213"/>
      <c r="NNM746" s="213"/>
      <c r="NNN746" s="213"/>
      <c r="NNO746" s="213"/>
      <c r="NNP746" s="213"/>
      <c r="NNQ746" s="213"/>
      <c r="NNR746" s="213"/>
      <c r="NNS746" s="213"/>
      <c r="NNT746" s="213"/>
      <c r="NNU746" s="213"/>
      <c r="NNV746" s="213"/>
      <c r="NNW746" s="213"/>
      <c r="NNX746" s="213"/>
      <c r="NNY746" s="213"/>
      <c r="NNZ746" s="213"/>
      <c r="NOA746" s="213"/>
      <c r="NOB746" s="213"/>
      <c r="NOC746" s="213"/>
      <c r="NOD746" s="213"/>
      <c r="NOE746" s="213"/>
      <c r="NOF746" s="213"/>
      <c r="NOG746" s="213"/>
      <c r="NOH746" s="213"/>
      <c r="NOI746" s="213"/>
      <c r="NOJ746" s="213"/>
      <c r="NOK746" s="213"/>
      <c r="NOL746" s="213"/>
      <c r="NOM746" s="213"/>
      <c r="NON746" s="213"/>
      <c r="NOO746" s="213"/>
      <c r="NOP746" s="213"/>
      <c r="NOQ746" s="213"/>
      <c r="NOR746" s="213"/>
      <c r="NOS746" s="213"/>
      <c r="NOT746" s="213"/>
      <c r="NOU746" s="213"/>
      <c r="NOV746" s="213"/>
      <c r="NOW746" s="213"/>
      <c r="NOX746" s="213"/>
      <c r="NOY746" s="213"/>
      <c r="NOZ746" s="213"/>
      <c r="NPA746" s="213"/>
      <c r="NPB746" s="213"/>
      <c r="NPC746" s="213"/>
      <c r="NPD746" s="213"/>
      <c r="NPE746" s="213"/>
      <c r="NPF746" s="213"/>
      <c r="NPG746" s="213"/>
      <c r="NPH746" s="213"/>
      <c r="NPI746" s="213"/>
      <c r="NPJ746" s="213"/>
      <c r="NPK746" s="213"/>
      <c r="NPL746" s="213"/>
      <c r="NPM746" s="213"/>
      <c r="NPN746" s="213"/>
      <c r="NPO746" s="213"/>
      <c r="NPP746" s="213"/>
      <c r="NPQ746" s="213"/>
      <c r="NPR746" s="213"/>
      <c r="NPS746" s="213"/>
      <c r="NPT746" s="213"/>
      <c r="NPU746" s="213"/>
      <c r="NPV746" s="213"/>
      <c r="NPW746" s="213"/>
      <c r="NPX746" s="213"/>
      <c r="NPY746" s="213"/>
      <c r="NPZ746" s="213"/>
      <c r="NQA746" s="213"/>
      <c r="NQB746" s="213"/>
      <c r="NQC746" s="213"/>
      <c r="NQD746" s="213"/>
      <c r="NQE746" s="213"/>
      <c r="NQF746" s="213"/>
      <c r="NQG746" s="213"/>
      <c r="NQH746" s="213"/>
      <c r="NQI746" s="213"/>
      <c r="NQJ746" s="213"/>
      <c r="NQK746" s="213"/>
      <c r="NQL746" s="213"/>
      <c r="NQM746" s="213"/>
      <c r="NQN746" s="213"/>
      <c r="NQO746" s="213"/>
      <c r="NQP746" s="213"/>
      <c r="NQQ746" s="213"/>
      <c r="NQR746" s="213"/>
      <c r="NQS746" s="213"/>
      <c r="NQT746" s="213"/>
      <c r="NQU746" s="213"/>
      <c r="NQV746" s="213"/>
      <c r="NQW746" s="213"/>
      <c r="NQX746" s="213"/>
      <c r="NQY746" s="213"/>
      <c r="NQZ746" s="213"/>
      <c r="NRA746" s="213"/>
      <c r="NRB746" s="213"/>
      <c r="NRC746" s="213"/>
      <c r="NRD746" s="213"/>
      <c r="NRE746" s="213"/>
      <c r="NRF746" s="213"/>
      <c r="NRG746" s="213"/>
      <c r="NRH746" s="213"/>
      <c r="NRI746" s="213"/>
      <c r="NRJ746" s="213"/>
      <c r="NRK746" s="213"/>
      <c r="NRL746" s="213"/>
      <c r="NRM746" s="213"/>
      <c r="NRN746" s="213"/>
      <c r="NRO746" s="213"/>
      <c r="NRP746" s="213"/>
      <c r="NRQ746" s="213"/>
      <c r="NRR746" s="213"/>
      <c r="NRS746" s="213"/>
      <c r="NRT746" s="213"/>
      <c r="NRU746" s="213"/>
      <c r="NRV746" s="213"/>
      <c r="NRW746" s="213"/>
      <c r="NRX746" s="213"/>
      <c r="NRY746" s="213"/>
      <c r="NRZ746" s="213"/>
      <c r="NSA746" s="213"/>
      <c r="NSB746" s="213"/>
      <c r="NSC746" s="213"/>
      <c r="NSD746" s="213"/>
      <c r="NSE746" s="213"/>
      <c r="NSF746" s="213"/>
      <c r="NSG746" s="213"/>
      <c r="NSH746" s="213"/>
      <c r="NSI746" s="213"/>
      <c r="NSJ746" s="213"/>
      <c r="NSK746" s="213"/>
      <c r="NSL746" s="213"/>
      <c r="NSM746" s="213"/>
      <c r="NSN746" s="213"/>
      <c r="NSO746" s="213"/>
      <c r="NSP746" s="213"/>
      <c r="NSQ746" s="213"/>
      <c r="NSR746" s="213"/>
      <c r="NSS746" s="213"/>
      <c r="NST746" s="213"/>
      <c r="NSU746" s="213"/>
      <c r="NSV746" s="213"/>
      <c r="NSW746" s="213"/>
      <c r="NSX746" s="213"/>
      <c r="NSY746" s="213"/>
      <c r="NSZ746" s="213"/>
      <c r="NTA746" s="213"/>
      <c r="NTB746" s="213"/>
      <c r="NTC746" s="213"/>
      <c r="NTD746" s="213"/>
      <c r="NTE746" s="213"/>
      <c r="NTF746" s="213"/>
      <c r="NTG746" s="213"/>
      <c r="NTH746" s="213"/>
      <c r="NTI746" s="213"/>
      <c r="NTJ746" s="213"/>
      <c r="NTK746" s="213"/>
      <c r="NTL746" s="213"/>
      <c r="NTM746" s="213"/>
      <c r="NTN746" s="213"/>
      <c r="NTO746" s="213"/>
      <c r="NTP746" s="213"/>
      <c r="NTQ746" s="213"/>
      <c r="NTR746" s="213"/>
      <c r="NTS746" s="213"/>
      <c r="NTT746" s="213"/>
      <c r="NTU746" s="213"/>
      <c r="NTV746" s="213"/>
      <c r="NTW746" s="213"/>
      <c r="NTX746" s="213"/>
      <c r="NTY746" s="213"/>
      <c r="NTZ746" s="213"/>
      <c r="NUA746" s="213"/>
      <c r="NUB746" s="213"/>
      <c r="NUC746" s="213"/>
      <c r="NUD746" s="213"/>
      <c r="NUE746" s="213"/>
      <c r="NUF746" s="213"/>
      <c r="NUG746" s="213"/>
      <c r="NUH746" s="213"/>
      <c r="NUI746" s="213"/>
      <c r="NUJ746" s="213"/>
      <c r="NUK746" s="213"/>
      <c r="NUL746" s="213"/>
      <c r="NUM746" s="213"/>
      <c r="NUN746" s="213"/>
      <c r="NUO746" s="213"/>
      <c r="NUP746" s="213"/>
      <c r="NUQ746" s="213"/>
      <c r="NUR746" s="213"/>
      <c r="NUS746" s="213"/>
      <c r="NUT746" s="213"/>
      <c r="NUU746" s="213"/>
      <c r="NUV746" s="213"/>
      <c r="NUW746" s="213"/>
      <c r="NUX746" s="213"/>
      <c r="NUY746" s="213"/>
      <c r="NUZ746" s="213"/>
      <c r="NVA746" s="213"/>
      <c r="NVB746" s="213"/>
      <c r="NVC746" s="213"/>
      <c r="NVD746" s="213"/>
      <c r="NVE746" s="213"/>
      <c r="NVF746" s="213"/>
      <c r="NVG746" s="213"/>
      <c r="NVH746" s="213"/>
      <c r="NVI746" s="213"/>
      <c r="NVJ746" s="213"/>
      <c r="NVK746" s="213"/>
      <c r="NVL746" s="213"/>
      <c r="NVM746" s="213"/>
      <c r="NVN746" s="213"/>
      <c r="NVO746" s="213"/>
      <c r="NVP746" s="213"/>
      <c r="NVQ746" s="213"/>
      <c r="NVR746" s="213"/>
      <c r="NVS746" s="213"/>
      <c r="NVT746" s="213"/>
      <c r="NVU746" s="213"/>
      <c r="NVV746" s="213"/>
      <c r="NVW746" s="213"/>
      <c r="NVX746" s="213"/>
      <c r="NVY746" s="213"/>
      <c r="NVZ746" s="213"/>
      <c r="NWA746" s="213"/>
      <c r="NWB746" s="213"/>
      <c r="NWC746" s="213"/>
      <c r="NWD746" s="213"/>
      <c r="NWE746" s="213"/>
      <c r="NWF746" s="213"/>
      <c r="NWG746" s="213"/>
      <c r="NWH746" s="213"/>
      <c r="NWI746" s="213"/>
      <c r="NWJ746" s="213"/>
      <c r="NWK746" s="213"/>
      <c r="NWL746" s="213"/>
      <c r="NWM746" s="213"/>
      <c r="NWN746" s="213"/>
      <c r="NWO746" s="213"/>
      <c r="NWP746" s="213"/>
      <c r="NWQ746" s="213"/>
      <c r="NWR746" s="213"/>
      <c r="NWS746" s="213"/>
      <c r="NWT746" s="213"/>
      <c r="NWU746" s="213"/>
      <c r="NWV746" s="213"/>
      <c r="NWW746" s="213"/>
      <c r="NWX746" s="213"/>
      <c r="NWY746" s="213"/>
      <c r="NWZ746" s="213"/>
      <c r="NXA746" s="213"/>
      <c r="NXB746" s="213"/>
      <c r="NXC746" s="213"/>
      <c r="NXD746" s="213"/>
      <c r="NXE746" s="213"/>
      <c r="NXF746" s="213"/>
      <c r="NXG746" s="213"/>
      <c r="NXH746" s="213"/>
      <c r="NXI746" s="213"/>
      <c r="NXJ746" s="213"/>
      <c r="NXK746" s="213"/>
      <c r="NXL746" s="213"/>
      <c r="NXM746" s="213"/>
      <c r="NXN746" s="213"/>
      <c r="NXO746" s="213"/>
      <c r="NXP746" s="213"/>
      <c r="NXQ746" s="213"/>
      <c r="NXR746" s="213"/>
      <c r="NXS746" s="213"/>
      <c r="NXT746" s="213"/>
      <c r="NXU746" s="213"/>
      <c r="NXV746" s="213"/>
      <c r="NXW746" s="213"/>
      <c r="NXX746" s="213"/>
      <c r="NXY746" s="213"/>
      <c r="NXZ746" s="213"/>
      <c r="NYA746" s="213"/>
      <c r="NYB746" s="213"/>
      <c r="NYC746" s="213"/>
      <c r="NYD746" s="213"/>
      <c r="NYE746" s="213"/>
      <c r="NYF746" s="213"/>
      <c r="NYG746" s="213"/>
      <c r="NYH746" s="213"/>
      <c r="NYI746" s="213"/>
      <c r="NYJ746" s="213"/>
      <c r="NYK746" s="213"/>
      <c r="NYL746" s="213"/>
      <c r="NYM746" s="213"/>
      <c r="NYN746" s="213"/>
      <c r="NYO746" s="213"/>
      <c r="NYP746" s="213"/>
      <c r="NYQ746" s="213"/>
      <c r="NYR746" s="213"/>
      <c r="NYS746" s="213"/>
      <c r="NYT746" s="213"/>
      <c r="NYU746" s="213"/>
      <c r="NYV746" s="213"/>
      <c r="NYW746" s="213"/>
      <c r="NYX746" s="213"/>
      <c r="NYY746" s="213"/>
      <c r="NYZ746" s="213"/>
      <c r="NZA746" s="213"/>
      <c r="NZB746" s="213"/>
      <c r="NZC746" s="213"/>
      <c r="NZD746" s="213"/>
      <c r="NZE746" s="213"/>
      <c r="NZF746" s="213"/>
      <c r="NZG746" s="213"/>
      <c r="NZH746" s="213"/>
      <c r="NZI746" s="213"/>
      <c r="NZJ746" s="213"/>
      <c r="NZK746" s="213"/>
      <c r="NZL746" s="213"/>
      <c r="NZM746" s="213"/>
      <c r="NZN746" s="213"/>
      <c r="NZO746" s="213"/>
      <c r="NZP746" s="213"/>
      <c r="NZQ746" s="213"/>
      <c r="NZR746" s="213"/>
      <c r="NZS746" s="213"/>
      <c r="NZT746" s="213"/>
      <c r="NZU746" s="213"/>
      <c r="NZV746" s="213"/>
      <c r="NZW746" s="213"/>
      <c r="NZX746" s="213"/>
      <c r="NZY746" s="213"/>
      <c r="NZZ746" s="213"/>
      <c r="OAA746" s="213"/>
      <c r="OAB746" s="213"/>
      <c r="OAC746" s="213"/>
      <c r="OAD746" s="213"/>
      <c r="OAE746" s="213"/>
      <c r="OAF746" s="213"/>
      <c r="OAG746" s="213"/>
      <c r="OAH746" s="213"/>
      <c r="OAI746" s="213"/>
      <c r="OAJ746" s="213"/>
      <c r="OAK746" s="213"/>
      <c r="OAL746" s="213"/>
      <c r="OAM746" s="213"/>
      <c r="OAN746" s="213"/>
      <c r="OAO746" s="213"/>
      <c r="OAP746" s="213"/>
      <c r="OAQ746" s="213"/>
      <c r="OAR746" s="213"/>
      <c r="OAS746" s="213"/>
      <c r="OAT746" s="213"/>
      <c r="OAU746" s="213"/>
      <c r="OAV746" s="213"/>
      <c r="OAW746" s="213"/>
      <c r="OAX746" s="213"/>
      <c r="OAY746" s="213"/>
      <c r="OAZ746" s="213"/>
      <c r="OBA746" s="213"/>
      <c r="OBB746" s="213"/>
      <c r="OBC746" s="213"/>
      <c r="OBD746" s="213"/>
      <c r="OBE746" s="213"/>
      <c r="OBF746" s="213"/>
      <c r="OBG746" s="213"/>
      <c r="OBH746" s="213"/>
      <c r="OBI746" s="213"/>
      <c r="OBJ746" s="213"/>
      <c r="OBK746" s="213"/>
      <c r="OBL746" s="213"/>
      <c r="OBM746" s="213"/>
      <c r="OBN746" s="213"/>
      <c r="OBO746" s="213"/>
      <c r="OBP746" s="213"/>
      <c r="OBQ746" s="213"/>
      <c r="OBR746" s="213"/>
      <c r="OBS746" s="213"/>
      <c r="OBT746" s="213"/>
      <c r="OBU746" s="213"/>
      <c r="OBV746" s="213"/>
      <c r="OBW746" s="213"/>
      <c r="OBX746" s="213"/>
      <c r="OBY746" s="213"/>
      <c r="OBZ746" s="213"/>
      <c r="OCA746" s="213"/>
      <c r="OCB746" s="213"/>
      <c r="OCC746" s="213"/>
      <c r="OCD746" s="213"/>
      <c r="OCE746" s="213"/>
      <c r="OCF746" s="213"/>
      <c r="OCG746" s="213"/>
      <c r="OCH746" s="213"/>
      <c r="OCI746" s="213"/>
      <c r="OCJ746" s="213"/>
      <c r="OCK746" s="213"/>
      <c r="OCL746" s="213"/>
      <c r="OCM746" s="213"/>
      <c r="OCN746" s="213"/>
      <c r="OCO746" s="213"/>
      <c r="OCP746" s="213"/>
      <c r="OCQ746" s="213"/>
      <c r="OCR746" s="213"/>
      <c r="OCS746" s="213"/>
      <c r="OCT746" s="213"/>
      <c r="OCU746" s="213"/>
      <c r="OCV746" s="213"/>
      <c r="OCW746" s="213"/>
      <c r="OCX746" s="213"/>
      <c r="OCY746" s="213"/>
      <c r="OCZ746" s="213"/>
      <c r="ODA746" s="213"/>
      <c r="ODB746" s="213"/>
      <c r="ODC746" s="213"/>
      <c r="ODD746" s="213"/>
      <c r="ODE746" s="213"/>
      <c r="ODF746" s="213"/>
      <c r="ODG746" s="213"/>
      <c r="ODH746" s="213"/>
      <c r="ODI746" s="213"/>
      <c r="ODJ746" s="213"/>
      <c r="ODK746" s="213"/>
      <c r="ODL746" s="213"/>
      <c r="ODM746" s="213"/>
      <c r="ODN746" s="213"/>
      <c r="ODO746" s="213"/>
      <c r="ODP746" s="213"/>
      <c r="ODQ746" s="213"/>
      <c r="ODR746" s="213"/>
      <c r="ODS746" s="213"/>
      <c r="ODT746" s="213"/>
      <c r="ODU746" s="213"/>
      <c r="ODV746" s="213"/>
      <c r="ODW746" s="213"/>
      <c r="ODX746" s="213"/>
      <c r="ODY746" s="213"/>
      <c r="ODZ746" s="213"/>
      <c r="OEA746" s="213"/>
      <c r="OEB746" s="213"/>
      <c r="OEC746" s="213"/>
      <c r="OED746" s="213"/>
      <c r="OEE746" s="213"/>
      <c r="OEF746" s="213"/>
      <c r="OEG746" s="213"/>
      <c r="OEH746" s="213"/>
      <c r="OEI746" s="213"/>
      <c r="OEJ746" s="213"/>
      <c r="OEK746" s="213"/>
      <c r="OEL746" s="213"/>
      <c r="OEM746" s="213"/>
      <c r="OEN746" s="213"/>
      <c r="OEO746" s="213"/>
      <c r="OEP746" s="213"/>
      <c r="OEQ746" s="213"/>
      <c r="OER746" s="213"/>
      <c r="OES746" s="213"/>
      <c r="OET746" s="213"/>
      <c r="OEU746" s="213"/>
      <c r="OEV746" s="213"/>
      <c r="OEW746" s="213"/>
      <c r="OEX746" s="213"/>
      <c r="OEY746" s="213"/>
      <c r="OEZ746" s="213"/>
      <c r="OFA746" s="213"/>
      <c r="OFB746" s="213"/>
      <c r="OFC746" s="213"/>
      <c r="OFD746" s="213"/>
      <c r="OFE746" s="213"/>
      <c r="OFF746" s="213"/>
      <c r="OFG746" s="213"/>
      <c r="OFH746" s="213"/>
      <c r="OFI746" s="213"/>
      <c r="OFJ746" s="213"/>
      <c r="OFK746" s="213"/>
      <c r="OFL746" s="213"/>
      <c r="OFM746" s="213"/>
      <c r="OFN746" s="213"/>
      <c r="OFO746" s="213"/>
      <c r="OFP746" s="213"/>
      <c r="OFQ746" s="213"/>
      <c r="OFR746" s="213"/>
      <c r="OFS746" s="213"/>
      <c r="OFT746" s="213"/>
      <c r="OFU746" s="213"/>
      <c r="OFV746" s="213"/>
      <c r="OFW746" s="213"/>
      <c r="OFX746" s="213"/>
      <c r="OFY746" s="213"/>
      <c r="OFZ746" s="213"/>
      <c r="OGA746" s="213"/>
      <c r="OGB746" s="213"/>
      <c r="OGC746" s="213"/>
      <c r="OGD746" s="213"/>
      <c r="OGE746" s="213"/>
      <c r="OGF746" s="213"/>
      <c r="OGG746" s="213"/>
      <c r="OGH746" s="213"/>
      <c r="OGI746" s="213"/>
      <c r="OGJ746" s="213"/>
      <c r="OGK746" s="213"/>
      <c r="OGL746" s="213"/>
      <c r="OGM746" s="213"/>
      <c r="OGN746" s="213"/>
      <c r="OGO746" s="213"/>
      <c r="OGP746" s="213"/>
      <c r="OGQ746" s="213"/>
      <c r="OGR746" s="213"/>
      <c r="OGS746" s="213"/>
      <c r="OGT746" s="213"/>
      <c r="OGU746" s="213"/>
      <c r="OGV746" s="213"/>
      <c r="OGW746" s="213"/>
      <c r="OGX746" s="213"/>
      <c r="OGY746" s="213"/>
      <c r="OGZ746" s="213"/>
      <c r="OHA746" s="213"/>
      <c r="OHB746" s="213"/>
      <c r="OHC746" s="213"/>
      <c r="OHD746" s="213"/>
      <c r="OHE746" s="213"/>
      <c r="OHF746" s="213"/>
      <c r="OHG746" s="213"/>
      <c r="OHH746" s="213"/>
      <c r="OHI746" s="213"/>
      <c r="OHJ746" s="213"/>
      <c r="OHK746" s="213"/>
      <c r="OHL746" s="213"/>
      <c r="OHM746" s="213"/>
      <c r="OHN746" s="213"/>
      <c r="OHO746" s="213"/>
      <c r="OHP746" s="213"/>
      <c r="OHQ746" s="213"/>
      <c r="OHR746" s="213"/>
      <c r="OHS746" s="213"/>
      <c r="OHT746" s="213"/>
      <c r="OHU746" s="213"/>
      <c r="OHV746" s="213"/>
      <c r="OHW746" s="213"/>
      <c r="OHX746" s="213"/>
      <c r="OHY746" s="213"/>
      <c r="OHZ746" s="213"/>
      <c r="OIA746" s="213"/>
      <c r="OIB746" s="213"/>
      <c r="OIC746" s="213"/>
      <c r="OID746" s="213"/>
      <c r="OIE746" s="213"/>
      <c r="OIF746" s="213"/>
      <c r="OIG746" s="213"/>
      <c r="OIH746" s="213"/>
      <c r="OII746" s="213"/>
      <c r="OIJ746" s="213"/>
      <c r="OIK746" s="213"/>
      <c r="OIL746" s="213"/>
      <c r="OIM746" s="213"/>
      <c r="OIN746" s="213"/>
      <c r="OIO746" s="213"/>
      <c r="OIP746" s="213"/>
      <c r="OIQ746" s="213"/>
      <c r="OIR746" s="213"/>
      <c r="OIS746" s="213"/>
      <c r="OIT746" s="213"/>
      <c r="OIU746" s="213"/>
      <c r="OIV746" s="213"/>
      <c r="OIW746" s="213"/>
      <c r="OIX746" s="213"/>
      <c r="OIY746" s="213"/>
      <c r="OIZ746" s="213"/>
      <c r="OJA746" s="213"/>
      <c r="OJB746" s="213"/>
      <c r="OJC746" s="213"/>
      <c r="OJD746" s="213"/>
      <c r="OJE746" s="213"/>
      <c r="OJF746" s="213"/>
      <c r="OJG746" s="213"/>
      <c r="OJH746" s="213"/>
      <c r="OJI746" s="213"/>
      <c r="OJJ746" s="213"/>
      <c r="OJK746" s="213"/>
      <c r="OJL746" s="213"/>
      <c r="OJM746" s="213"/>
      <c r="OJN746" s="213"/>
      <c r="OJO746" s="213"/>
      <c r="OJP746" s="213"/>
      <c r="OJQ746" s="213"/>
      <c r="OJR746" s="213"/>
      <c r="OJS746" s="213"/>
      <c r="OJT746" s="213"/>
      <c r="OJU746" s="213"/>
      <c r="OJV746" s="213"/>
      <c r="OJW746" s="213"/>
      <c r="OJX746" s="213"/>
      <c r="OJY746" s="213"/>
      <c r="OJZ746" s="213"/>
      <c r="OKA746" s="213"/>
      <c r="OKB746" s="213"/>
      <c r="OKC746" s="213"/>
      <c r="OKD746" s="213"/>
      <c r="OKE746" s="213"/>
      <c r="OKF746" s="213"/>
      <c r="OKG746" s="213"/>
      <c r="OKH746" s="213"/>
      <c r="OKI746" s="213"/>
      <c r="OKJ746" s="213"/>
      <c r="OKK746" s="213"/>
      <c r="OKL746" s="213"/>
      <c r="OKM746" s="213"/>
      <c r="OKN746" s="213"/>
      <c r="OKO746" s="213"/>
      <c r="OKP746" s="213"/>
      <c r="OKQ746" s="213"/>
      <c r="OKR746" s="213"/>
      <c r="OKS746" s="213"/>
      <c r="OKT746" s="213"/>
      <c r="OKU746" s="213"/>
      <c r="OKV746" s="213"/>
      <c r="OKW746" s="213"/>
      <c r="OKX746" s="213"/>
      <c r="OKY746" s="213"/>
      <c r="OKZ746" s="213"/>
      <c r="OLA746" s="213"/>
      <c r="OLB746" s="213"/>
      <c r="OLC746" s="213"/>
      <c r="OLD746" s="213"/>
      <c r="OLE746" s="213"/>
      <c r="OLF746" s="213"/>
      <c r="OLG746" s="213"/>
      <c r="OLH746" s="213"/>
      <c r="OLI746" s="213"/>
      <c r="OLJ746" s="213"/>
      <c r="OLK746" s="213"/>
      <c r="OLL746" s="213"/>
      <c r="OLM746" s="213"/>
      <c r="OLN746" s="213"/>
      <c r="OLO746" s="213"/>
      <c r="OLP746" s="213"/>
      <c r="OLQ746" s="213"/>
      <c r="OLR746" s="213"/>
      <c r="OLS746" s="213"/>
      <c r="OLT746" s="213"/>
      <c r="OLU746" s="213"/>
      <c r="OLV746" s="213"/>
      <c r="OLW746" s="213"/>
      <c r="OLX746" s="213"/>
      <c r="OLY746" s="213"/>
      <c r="OLZ746" s="213"/>
      <c r="OMA746" s="213"/>
      <c r="OMB746" s="213"/>
      <c r="OMC746" s="213"/>
      <c r="OMD746" s="213"/>
      <c r="OME746" s="213"/>
      <c r="OMF746" s="213"/>
      <c r="OMG746" s="213"/>
      <c r="OMH746" s="213"/>
      <c r="OMI746" s="213"/>
      <c r="OMJ746" s="213"/>
      <c r="OMK746" s="213"/>
      <c r="OML746" s="213"/>
      <c r="OMM746" s="213"/>
      <c r="OMN746" s="213"/>
      <c r="OMO746" s="213"/>
      <c r="OMP746" s="213"/>
      <c r="OMQ746" s="213"/>
      <c r="OMR746" s="213"/>
      <c r="OMS746" s="213"/>
      <c r="OMT746" s="213"/>
      <c r="OMU746" s="213"/>
      <c r="OMV746" s="213"/>
      <c r="OMW746" s="213"/>
      <c r="OMX746" s="213"/>
      <c r="OMY746" s="213"/>
      <c r="OMZ746" s="213"/>
      <c r="ONA746" s="213"/>
      <c r="ONB746" s="213"/>
      <c r="ONC746" s="213"/>
      <c r="OND746" s="213"/>
      <c r="ONE746" s="213"/>
      <c r="ONF746" s="213"/>
      <c r="ONG746" s="213"/>
      <c r="ONH746" s="213"/>
      <c r="ONI746" s="213"/>
      <c r="ONJ746" s="213"/>
      <c r="ONK746" s="213"/>
      <c r="ONL746" s="213"/>
      <c r="ONM746" s="213"/>
      <c r="ONN746" s="213"/>
      <c r="ONO746" s="213"/>
      <c r="ONP746" s="213"/>
      <c r="ONQ746" s="213"/>
      <c r="ONR746" s="213"/>
      <c r="ONS746" s="213"/>
      <c r="ONT746" s="213"/>
      <c r="ONU746" s="213"/>
      <c r="ONV746" s="213"/>
      <c r="ONW746" s="213"/>
      <c r="ONX746" s="213"/>
      <c r="ONY746" s="213"/>
      <c r="ONZ746" s="213"/>
      <c r="OOA746" s="213"/>
      <c r="OOB746" s="213"/>
      <c r="OOC746" s="213"/>
      <c r="OOD746" s="213"/>
      <c r="OOE746" s="213"/>
      <c r="OOF746" s="213"/>
      <c r="OOG746" s="213"/>
      <c r="OOH746" s="213"/>
      <c r="OOI746" s="213"/>
      <c r="OOJ746" s="213"/>
      <c r="OOK746" s="213"/>
      <c r="OOL746" s="213"/>
      <c r="OOM746" s="213"/>
      <c r="OON746" s="213"/>
      <c r="OOO746" s="213"/>
      <c r="OOP746" s="213"/>
      <c r="OOQ746" s="213"/>
      <c r="OOR746" s="213"/>
      <c r="OOS746" s="213"/>
      <c r="OOT746" s="213"/>
      <c r="OOU746" s="213"/>
      <c r="OOV746" s="213"/>
      <c r="OOW746" s="213"/>
      <c r="OOX746" s="213"/>
      <c r="OOY746" s="213"/>
      <c r="OOZ746" s="213"/>
      <c r="OPA746" s="213"/>
      <c r="OPB746" s="213"/>
      <c r="OPC746" s="213"/>
      <c r="OPD746" s="213"/>
      <c r="OPE746" s="213"/>
      <c r="OPF746" s="213"/>
      <c r="OPG746" s="213"/>
      <c r="OPH746" s="213"/>
      <c r="OPI746" s="213"/>
      <c r="OPJ746" s="213"/>
      <c r="OPK746" s="213"/>
      <c r="OPL746" s="213"/>
      <c r="OPM746" s="213"/>
      <c r="OPN746" s="213"/>
      <c r="OPO746" s="213"/>
      <c r="OPP746" s="213"/>
      <c r="OPQ746" s="213"/>
      <c r="OPR746" s="213"/>
      <c r="OPS746" s="213"/>
      <c r="OPT746" s="213"/>
      <c r="OPU746" s="213"/>
      <c r="OPV746" s="213"/>
      <c r="OPW746" s="213"/>
      <c r="OPX746" s="213"/>
      <c r="OPY746" s="213"/>
      <c r="OPZ746" s="213"/>
      <c r="OQA746" s="213"/>
      <c r="OQB746" s="213"/>
      <c r="OQC746" s="213"/>
      <c r="OQD746" s="213"/>
      <c r="OQE746" s="213"/>
      <c r="OQF746" s="213"/>
      <c r="OQG746" s="213"/>
      <c r="OQH746" s="213"/>
      <c r="OQI746" s="213"/>
      <c r="OQJ746" s="213"/>
      <c r="OQK746" s="213"/>
      <c r="OQL746" s="213"/>
      <c r="OQM746" s="213"/>
      <c r="OQN746" s="213"/>
      <c r="OQO746" s="213"/>
      <c r="OQP746" s="213"/>
      <c r="OQQ746" s="213"/>
      <c r="OQR746" s="213"/>
      <c r="OQS746" s="213"/>
      <c r="OQT746" s="213"/>
      <c r="OQU746" s="213"/>
      <c r="OQV746" s="213"/>
      <c r="OQW746" s="213"/>
      <c r="OQX746" s="213"/>
      <c r="OQY746" s="213"/>
      <c r="OQZ746" s="213"/>
      <c r="ORA746" s="213"/>
      <c r="ORB746" s="213"/>
      <c r="ORC746" s="213"/>
      <c r="ORD746" s="213"/>
      <c r="ORE746" s="213"/>
      <c r="ORF746" s="213"/>
      <c r="ORG746" s="213"/>
      <c r="ORH746" s="213"/>
      <c r="ORI746" s="213"/>
      <c r="ORJ746" s="213"/>
      <c r="ORK746" s="213"/>
      <c r="ORL746" s="213"/>
      <c r="ORM746" s="213"/>
      <c r="ORN746" s="213"/>
      <c r="ORO746" s="213"/>
      <c r="ORP746" s="213"/>
      <c r="ORQ746" s="213"/>
      <c r="ORR746" s="213"/>
      <c r="ORS746" s="213"/>
      <c r="ORT746" s="213"/>
      <c r="ORU746" s="213"/>
      <c r="ORV746" s="213"/>
      <c r="ORW746" s="213"/>
      <c r="ORX746" s="213"/>
      <c r="ORY746" s="213"/>
      <c r="ORZ746" s="213"/>
      <c r="OSA746" s="213"/>
      <c r="OSB746" s="213"/>
      <c r="OSC746" s="213"/>
      <c r="OSD746" s="213"/>
      <c r="OSE746" s="213"/>
      <c r="OSF746" s="213"/>
      <c r="OSG746" s="213"/>
      <c r="OSH746" s="213"/>
      <c r="OSI746" s="213"/>
      <c r="OSJ746" s="213"/>
      <c r="OSK746" s="213"/>
      <c r="OSL746" s="213"/>
      <c r="OSM746" s="213"/>
      <c r="OSN746" s="213"/>
      <c r="OSO746" s="213"/>
      <c r="OSP746" s="213"/>
      <c r="OSQ746" s="213"/>
      <c r="OSR746" s="213"/>
      <c r="OSS746" s="213"/>
      <c r="OST746" s="213"/>
      <c r="OSU746" s="213"/>
      <c r="OSV746" s="213"/>
      <c r="OSW746" s="213"/>
      <c r="OSX746" s="213"/>
      <c r="OSY746" s="213"/>
      <c r="OSZ746" s="213"/>
      <c r="OTA746" s="213"/>
      <c r="OTB746" s="213"/>
      <c r="OTC746" s="213"/>
      <c r="OTD746" s="213"/>
      <c r="OTE746" s="213"/>
      <c r="OTF746" s="213"/>
      <c r="OTG746" s="213"/>
      <c r="OTH746" s="213"/>
      <c r="OTI746" s="213"/>
      <c r="OTJ746" s="213"/>
      <c r="OTK746" s="213"/>
      <c r="OTL746" s="213"/>
      <c r="OTM746" s="213"/>
      <c r="OTN746" s="213"/>
      <c r="OTO746" s="213"/>
      <c r="OTP746" s="213"/>
      <c r="OTQ746" s="213"/>
      <c r="OTR746" s="213"/>
      <c r="OTS746" s="213"/>
      <c r="OTT746" s="213"/>
      <c r="OTU746" s="213"/>
      <c r="OTV746" s="213"/>
      <c r="OTW746" s="213"/>
      <c r="OTX746" s="213"/>
      <c r="OTY746" s="213"/>
      <c r="OTZ746" s="213"/>
      <c r="OUA746" s="213"/>
      <c r="OUB746" s="213"/>
      <c r="OUC746" s="213"/>
      <c r="OUD746" s="213"/>
      <c r="OUE746" s="213"/>
      <c r="OUF746" s="213"/>
      <c r="OUG746" s="213"/>
      <c r="OUH746" s="213"/>
      <c r="OUI746" s="213"/>
      <c r="OUJ746" s="213"/>
      <c r="OUK746" s="213"/>
      <c r="OUL746" s="213"/>
      <c r="OUM746" s="213"/>
      <c r="OUN746" s="213"/>
      <c r="OUO746" s="213"/>
      <c r="OUP746" s="213"/>
      <c r="OUQ746" s="213"/>
      <c r="OUR746" s="213"/>
      <c r="OUS746" s="213"/>
      <c r="OUT746" s="213"/>
      <c r="OUU746" s="213"/>
      <c r="OUV746" s="213"/>
      <c r="OUW746" s="213"/>
      <c r="OUX746" s="213"/>
      <c r="OUY746" s="213"/>
      <c r="OUZ746" s="213"/>
      <c r="OVA746" s="213"/>
      <c r="OVB746" s="213"/>
      <c r="OVC746" s="213"/>
      <c r="OVD746" s="213"/>
      <c r="OVE746" s="213"/>
      <c r="OVF746" s="213"/>
      <c r="OVG746" s="213"/>
      <c r="OVH746" s="213"/>
      <c r="OVI746" s="213"/>
      <c r="OVJ746" s="213"/>
      <c r="OVK746" s="213"/>
      <c r="OVL746" s="213"/>
      <c r="OVM746" s="213"/>
      <c r="OVN746" s="213"/>
      <c r="OVO746" s="213"/>
      <c r="OVP746" s="213"/>
      <c r="OVQ746" s="213"/>
      <c r="OVR746" s="213"/>
      <c r="OVS746" s="213"/>
      <c r="OVT746" s="213"/>
      <c r="OVU746" s="213"/>
      <c r="OVV746" s="213"/>
      <c r="OVW746" s="213"/>
      <c r="OVX746" s="213"/>
      <c r="OVY746" s="213"/>
      <c r="OVZ746" s="213"/>
      <c r="OWA746" s="213"/>
      <c r="OWB746" s="213"/>
      <c r="OWC746" s="213"/>
      <c r="OWD746" s="213"/>
      <c r="OWE746" s="213"/>
      <c r="OWF746" s="213"/>
      <c r="OWG746" s="213"/>
      <c r="OWH746" s="213"/>
      <c r="OWI746" s="213"/>
      <c r="OWJ746" s="213"/>
      <c r="OWK746" s="213"/>
      <c r="OWL746" s="213"/>
      <c r="OWM746" s="213"/>
      <c r="OWN746" s="213"/>
      <c r="OWO746" s="213"/>
      <c r="OWP746" s="213"/>
      <c r="OWQ746" s="213"/>
      <c r="OWR746" s="213"/>
      <c r="OWS746" s="213"/>
      <c r="OWT746" s="213"/>
      <c r="OWU746" s="213"/>
      <c r="OWV746" s="213"/>
      <c r="OWW746" s="213"/>
      <c r="OWX746" s="213"/>
      <c r="OWY746" s="213"/>
      <c r="OWZ746" s="213"/>
      <c r="OXA746" s="213"/>
      <c r="OXB746" s="213"/>
      <c r="OXC746" s="213"/>
      <c r="OXD746" s="213"/>
      <c r="OXE746" s="213"/>
      <c r="OXF746" s="213"/>
      <c r="OXG746" s="213"/>
      <c r="OXH746" s="213"/>
      <c r="OXI746" s="213"/>
      <c r="OXJ746" s="213"/>
      <c r="OXK746" s="213"/>
      <c r="OXL746" s="213"/>
      <c r="OXM746" s="213"/>
      <c r="OXN746" s="213"/>
      <c r="OXO746" s="213"/>
      <c r="OXP746" s="213"/>
      <c r="OXQ746" s="213"/>
      <c r="OXR746" s="213"/>
      <c r="OXS746" s="213"/>
      <c r="OXT746" s="213"/>
      <c r="OXU746" s="213"/>
      <c r="OXV746" s="213"/>
      <c r="OXW746" s="213"/>
      <c r="OXX746" s="213"/>
      <c r="OXY746" s="213"/>
      <c r="OXZ746" s="213"/>
      <c r="OYA746" s="213"/>
      <c r="OYB746" s="213"/>
      <c r="OYC746" s="213"/>
      <c r="OYD746" s="213"/>
      <c r="OYE746" s="213"/>
      <c r="OYF746" s="213"/>
      <c r="OYG746" s="213"/>
      <c r="OYH746" s="213"/>
      <c r="OYI746" s="213"/>
      <c r="OYJ746" s="213"/>
      <c r="OYK746" s="213"/>
      <c r="OYL746" s="213"/>
      <c r="OYM746" s="213"/>
      <c r="OYN746" s="213"/>
      <c r="OYO746" s="213"/>
      <c r="OYP746" s="213"/>
      <c r="OYQ746" s="213"/>
      <c r="OYR746" s="213"/>
      <c r="OYS746" s="213"/>
      <c r="OYT746" s="213"/>
      <c r="OYU746" s="213"/>
      <c r="OYV746" s="213"/>
      <c r="OYW746" s="213"/>
      <c r="OYX746" s="213"/>
      <c r="OYY746" s="213"/>
      <c r="OYZ746" s="213"/>
      <c r="OZA746" s="213"/>
      <c r="OZB746" s="213"/>
      <c r="OZC746" s="213"/>
      <c r="OZD746" s="213"/>
      <c r="OZE746" s="213"/>
      <c r="OZF746" s="213"/>
      <c r="OZG746" s="213"/>
      <c r="OZH746" s="213"/>
      <c r="OZI746" s="213"/>
      <c r="OZJ746" s="213"/>
      <c r="OZK746" s="213"/>
      <c r="OZL746" s="213"/>
      <c r="OZM746" s="213"/>
      <c r="OZN746" s="213"/>
      <c r="OZO746" s="213"/>
      <c r="OZP746" s="213"/>
      <c r="OZQ746" s="213"/>
      <c r="OZR746" s="213"/>
      <c r="OZS746" s="213"/>
      <c r="OZT746" s="213"/>
      <c r="OZU746" s="213"/>
      <c r="OZV746" s="213"/>
      <c r="OZW746" s="213"/>
      <c r="OZX746" s="213"/>
      <c r="OZY746" s="213"/>
      <c r="OZZ746" s="213"/>
      <c r="PAA746" s="213"/>
      <c r="PAB746" s="213"/>
      <c r="PAC746" s="213"/>
      <c r="PAD746" s="213"/>
      <c r="PAE746" s="213"/>
      <c r="PAF746" s="213"/>
      <c r="PAG746" s="213"/>
      <c r="PAH746" s="213"/>
      <c r="PAI746" s="213"/>
      <c r="PAJ746" s="213"/>
      <c r="PAK746" s="213"/>
      <c r="PAL746" s="213"/>
      <c r="PAM746" s="213"/>
      <c r="PAN746" s="213"/>
      <c r="PAO746" s="213"/>
      <c r="PAP746" s="213"/>
      <c r="PAQ746" s="213"/>
      <c r="PAR746" s="213"/>
      <c r="PAS746" s="213"/>
      <c r="PAT746" s="213"/>
      <c r="PAU746" s="213"/>
      <c r="PAV746" s="213"/>
      <c r="PAW746" s="213"/>
      <c r="PAX746" s="213"/>
      <c r="PAY746" s="213"/>
      <c r="PAZ746" s="213"/>
      <c r="PBA746" s="213"/>
      <c r="PBB746" s="213"/>
      <c r="PBC746" s="213"/>
      <c r="PBD746" s="213"/>
      <c r="PBE746" s="213"/>
      <c r="PBF746" s="213"/>
      <c r="PBG746" s="213"/>
      <c r="PBH746" s="213"/>
      <c r="PBI746" s="213"/>
      <c r="PBJ746" s="213"/>
      <c r="PBK746" s="213"/>
      <c r="PBL746" s="213"/>
      <c r="PBM746" s="213"/>
      <c r="PBN746" s="213"/>
      <c r="PBO746" s="213"/>
      <c r="PBP746" s="213"/>
      <c r="PBQ746" s="213"/>
      <c r="PBR746" s="213"/>
      <c r="PBS746" s="213"/>
      <c r="PBT746" s="213"/>
      <c r="PBU746" s="213"/>
      <c r="PBV746" s="213"/>
      <c r="PBW746" s="213"/>
      <c r="PBX746" s="213"/>
      <c r="PBY746" s="213"/>
      <c r="PBZ746" s="213"/>
      <c r="PCA746" s="213"/>
      <c r="PCB746" s="213"/>
      <c r="PCC746" s="213"/>
      <c r="PCD746" s="213"/>
      <c r="PCE746" s="213"/>
      <c r="PCF746" s="213"/>
      <c r="PCG746" s="213"/>
      <c r="PCH746" s="213"/>
      <c r="PCI746" s="213"/>
      <c r="PCJ746" s="213"/>
      <c r="PCK746" s="213"/>
      <c r="PCL746" s="213"/>
      <c r="PCM746" s="213"/>
      <c r="PCN746" s="213"/>
      <c r="PCO746" s="213"/>
      <c r="PCP746" s="213"/>
      <c r="PCQ746" s="213"/>
      <c r="PCR746" s="213"/>
      <c r="PCS746" s="213"/>
      <c r="PCT746" s="213"/>
      <c r="PCU746" s="213"/>
      <c r="PCV746" s="213"/>
      <c r="PCW746" s="213"/>
      <c r="PCX746" s="213"/>
      <c r="PCY746" s="213"/>
      <c r="PCZ746" s="213"/>
      <c r="PDA746" s="213"/>
      <c r="PDB746" s="213"/>
      <c r="PDC746" s="213"/>
      <c r="PDD746" s="213"/>
      <c r="PDE746" s="213"/>
      <c r="PDF746" s="213"/>
      <c r="PDG746" s="213"/>
      <c r="PDH746" s="213"/>
      <c r="PDI746" s="213"/>
      <c r="PDJ746" s="213"/>
      <c r="PDK746" s="213"/>
      <c r="PDL746" s="213"/>
      <c r="PDM746" s="213"/>
      <c r="PDN746" s="213"/>
      <c r="PDO746" s="213"/>
      <c r="PDP746" s="213"/>
      <c r="PDQ746" s="213"/>
      <c r="PDR746" s="213"/>
      <c r="PDS746" s="213"/>
      <c r="PDT746" s="213"/>
      <c r="PDU746" s="213"/>
      <c r="PDV746" s="213"/>
      <c r="PDW746" s="213"/>
      <c r="PDX746" s="213"/>
      <c r="PDY746" s="213"/>
      <c r="PDZ746" s="213"/>
      <c r="PEA746" s="213"/>
      <c r="PEB746" s="213"/>
      <c r="PEC746" s="213"/>
      <c r="PED746" s="213"/>
      <c r="PEE746" s="213"/>
      <c r="PEF746" s="213"/>
      <c r="PEG746" s="213"/>
      <c r="PEH746" s="213"/>
      <c r="PEI746" s="213"/>
      <c r="PEJ746" s="213"/>
      <c r="PEK746" s="213"/>
      <c r="PEL746" s="213"/>
      <c r="PEM746" s="213"/>
      <c r="PEN746" s="213"/>
      <c r="PEO746" s="213"/>
      <c r="PEP746" s="213"/>
      <c r="PEQ746" s="213"/>
      <c r="PER746" s="213"/>
      <c r="PES746" s="213"/>
      <c r="PET746" s="213"/>
      <c r="PEU746" s="213"/>
      <c r="PEV746" s="213"/>
      <c r="PEW746" s="213"/>
      <c r="PEX746" s="213"/>
      <c r="PEY746" s="213"/>
      <c r="PEZ746" s="213"/>
      <c r="PFA746" s="213"/>
      <c r="PFB746" s="213"/>
      <c r="PFC746" s="213"/>
      <c r="PFD746" s="213"/>
      <c r="PFE746" s="213"/>
      <c r="PFF746" s="213"/>
      <c r="PFG746" s="213"/>
      <c r="PFH746" s="213"/>
      <c r="PFI746" s="213"/>
      <c r="PFJ746" s="213"/>
      <c r="PFK746" s="213"/>
      <c r="PFL746" s="213"/>
      <c r="PFM746" s="213"/>
      <c r="PFN746" s="213"/>
      <c r="PFO746" s="213"/>
      <c r="PFP746" s="213"/>
      <c r="PFQ746" s="213"/>
      <c r="PFR746" s="213"/>
      <c r="PFS746" s="213"/>
      <c r="PFT746" s="213"/>
      <c r="PFU746" s="213"/>
      <c r="PFV746" s="213"/>
      <c r="PFW746" s="213"/>
      <c r="PFX746" s="213"/>
      <c r="PFY746" s="213"/>
      <c r="PFZ746" s="213"/>
      <c r="PGA746" s="213"/>
      <c r="PGB746" s="213"/>
      <c r="PGC746" s="213"/>
      <c r="PGD746" s="213"/>
      <c r="PGE746" s="213"/>
      <c r="PGF746" s="213"/>
      <c r="PGG746" s="213"/>
      <c r="PGH746" s="213"/>
      <c r="PGI746" s="213"/>
      <c r="PGJ746" s="213"/>
      <c r="PGK746" s="213"/>
      <c r="PGL746" s="213"/>
      <c r="PGM746" s="213"/>
      <c r="PGN746" s="213"/>
      <c r="PGO746" s="213"/>
      <c r="PGP746" s="213"/>
      <c r="PGQ746" s="213"/>
      <c r="PGR746" s="213"/>
      <c r="PGS746" s="213"/>
      <c r="PGT746" s="213"/>
      <c r="PGU746" s="213"/>
      <c r="PGV746" s="213"/>
      <c r="PGW746" s="213"/>
      <c r="PGX746" s="213"/>
      <c r="PGY746" s="213"/>
      <c r="PGZ746" s="213"/>
      <c r="PHA746" s="213"/>
      <c r="PHB746" s="213"/>
      <c r="PHC746" s="213"/>
      <c r="PHD746" s="213"/>
      <c r="PHE746" s="213"/>
      <c r="PHF746" s="213"/>
      <c r="PHG746" s="213"/>
      <c r="PHH746" s="213"/>
      <c r="PHI746" s="213"/>
      <c r="PHJ746" s="213"/>
      <c r="PHK746" s="213"/>
      <c r="PHL746" s="213"/>
      <c r="PHM746" s="213"/>
      <c r="PHN746" s="213"/>
      <c r="PHO746" s="213"/>
      <c r="PHP746" s="213"/>
      <c r="PHQ746" s="213"/>
      <c r="PHR746" s="213"/>
      <c r="PHS746" s="213"/>
      <c r="PHT746" s="213"/>
      <c r="PHU746" s="213"/>
      <c r="PHV746" s="213"/>
      <c r="PHW746" s="213"/>
      <c r="PHX746" s="213"/>
      <c r="PHY746" s="213"/>
      <c r="PHZ746" s="213"/>
      <c r="PIA746" s="213"/>
      <c r="PIB746" s="213"/>
      <c r="PIC746" s="213"/>
      <c r="PID746" s="213"/>
      <c r="PIE746" s="213"/>
      <c r="PIF746" s="213"/>
      <c r="PIG746" s="213"/>
      <c r="PIH746" s="213"/>
      <c r="PII746" s="213"/>
      <c r="PIJ746" s="213"/>
      <c r="PIK746" s="213"/>
      <c r="PIL746" s="213"/>
      <c r="PIM746" s="213"/>
      <c r="PIN746" s="213"/>
      <c r="PIO746" s="213"/>
      <c r="PIP746" s="213"/>
      <c r="PIQ746" s="213"/>
      <c r="PIR746" s="213"/>
      <c r="PIS746" s="213"/>
      <c r="PIT746" s="213"/>
      <c r="PIU746" s="213"/>
      <c r="PIV746" s="213"/>
      <c r="PIW746" s="213"/>
      <c r="PIX746" s="213"/>
      <c r="PIY746" s="213"/>
      <c r="PIZ746" s="213"/>
      <c r="PJA746" s="213"/>
      <c r="PJB746" s="213"/>
      <c r="PJC746" s="213"/>
      <c r="PJD746" s="213"/>
      <c r="PJE746" s="213"/>
      <c r="PJF746" s="213"/>
      <c r="PJG746" s="213"/>
      <c r="PJH746" s="213"/>
      <c r="PJI746" s="213"/>
      <c r="PJJ746" s="213"/>
      <c r="PJK746" s="213"/>
      <c r="PJL746" s="213"/>
      <c r="PJM746" s="213"/>
      <c r="PJN746" s="213"/>
      <c r="PJO746" s="213"/>
      <c r="PJP746" s="213"/>
      <c r="PJQ746" s="213"/>
      <c r="PJR746" s="213"/>
      <c r="PJS746" s="213"/>
      <c r="PJT746" s="213"/>
      <c r="PJU746" s="213"/>
      <c r="PJV746" s="213"/>
      <c r="PJW746" s="213"/>
      <c r="PJX746" s="213"/>
      <c r="PJY746" s="213"/>
      <c r="PJZ746" s="213"/>
      <c r="PKA746" s="213"/>
      <c r="PKB746" s="213"/>
      <c r="PKC746" s="213"/>
      <c r="PKD746" s="213"/>
      <c r="PKE746" s="213"/>
      <c r="PKF746" s="213"/>
      <c r="PKG746" s="213"/>
      <c r="PKH746" s="213"/>
      <c r="PKI746" s="213"/>
      <c r="PKJ746" s="213"/>
      <c r="PKK746" s="213"/>
      <c r="PKL746" s="213"/>
      <c r="PKM746" s="213"/>
      <c r="PKN746" s="213"/>
      <c r="PKO746" s="213"/>
      <c r="PKP746" s="213"/>
      <c r="PKQ746" s="213"/>
      <c r="PKR746" s="213"/>
      <c r="PKS746" s="213"/>
      <c r="PKT746" s="213"/>
      <c r="PKU746" s="213"/>
      <c r="PKV746" s="213"/>
      <c r="PKW746" s="213"/>
      <c r="PKX746" s="213"/>
      <c r="PKY746" s="213"/>
      <c r="PKZ746" s="213"/>
      <c r="PLA746" s="213"/>
      <c r="PLB746" s="213"/>
      <c r="PLC746" s="213"/>
      <c r="PLD746" s="213"/>
      <c r="PLE746" s="213"/>
      <c r="PLF746" s="213"/>
      <c r="PLG746" s="213"/>
      <c r="PLH746" s="213"/>
      <c r="PLI746" s="213"/>
      <c r="PLJ746" s="213"/>
      <c r="PLK746" s="213"/>
      <c r="PLL746" s="213"/>
      <c r="PLM746" s="213"/>
      <c r="PLN746" s="213"/>
      <c r="PLO746" s="213"/>
      <c r="PLP746" s="213"/>
      <c r="PLQ746" s="213"/>
      <c r="PLR746" s="213"/>
      <c r="PLS746" s="213"/>
      <c r="PLT746" s="213"/>
      <c r="PLU746" s="213"/>
      <c r="PLV746" s="213"/>
      <c r="PLW746" s="213"/>
      <c r="PLX746" s="213"/>
      <c r="PLY746" s="213"/>
      <c r="PLZ746" s="213"/>
      <c r="PMA746" s="213"/>
      <c r="PMB746" s="213"/>
      <c r="PMC746" s="213"/>
      <c r="PMD746" s="213"/>
      <c r="PME746" s="213"/>
      <c r="PMF746" s="213"/>
      <c r="PMG746" s="213"/>
      <c r="PMH746" s="213"/>
      <c r="PMI746" s="213"/>
      <c r="PMJ746" s="213"/>
      <c r="PMK746" s="213"/>
      <c r="PML746" s="213"/>
      <c r="PMM746" s="213"/>
      <c r="PMN746" s="213"/>
      <c r="PMO746" s="213"/>
      <c r="PMP746" s="213"/>
      <c r="PMQ746" s="213"/>
      <c r="PMR746" s="213"/>
      <c r="PMS746" s="213"/>
      <c r="PMT746" s="213"/>
      <c r="PMU746" s="213"/>
      <c r="PMV746" s="213"/>
      <c r="PMW746" s="213"/>
      <c r="PMX746" s="213"/>
      <c r="PMY746" s="213"/>
      <c r="PMZ746" s="213"/>
      <c r="PNA746" s="213"/>
      <c r="PNB746" s="213"/>
      <c r="PNC746" s="213"/>
      <c r="PND746" s="213"/>
      <c r="PNE746" s="213"/>
      <c r="PNF746" s="213"/>
      <c r="PNG746" s="213"/>
      <c r="PNH746" s="213"/>
      <c r="PNI746" s="213"/>
      <c r="PNJ746" s="213"/>
      <c r="PNK746" s="213"/>
      <c r="PNL746" s="213"/>
      <c r="PNM746" s="213"/>
      <c r="PNN746" s="213"/>
      <c r="PNO746" s="213"/>
      <c r="PNP746" s="213"/>
      <c r="PNQ746" s="213"/>
      <c r="PNR746" s="213"/>
      <c r="PNS746" s="213"/>
      <c r="PNT746" s="213"/>
      <c r="PNU746" s="213"/>
      <c r="PNV746" s="213"/>
      <c r="PNW746" s="213"/>
      <c r="PNX746" s="213"/>
      <c r="PNY746" s="213"/>
      <c r="PNZ746" s="213"/>
      <c r="POA746" s="213"/>
      <c r="POB746" s="213"/>
      <c r="POC746" s="213"/>
      <c r="POD746" s="213"/>
      <c r="POE746" s="213"/>
      <c r="POF746" s="213"/>
      <c r="POG746" s="213"/>
      <c r="POH746" s="213"/>
      <c r="POI746" s="213"/>
      <c r="POJ746" s="213"/>
      <c r="POK746" s="213"/>
      <c r="POL746" s="213"/>
      <c r="POM746" s="213"/>
      <c r="PON746" s="213"/>
      <c r="POO746" s="213"/>
      <c r="POP746" s="213"/>
      <c r="POQ746" s="213"/>
      <c r="POR746" s="213"/>
      <c r="POS746" s="213"/>
      <c r="POT746" s="213"/>
      <c r="POU746" s="213"/>
      <c r="POV746" s="213"/>
      <c r="POW746" s="213"/>
      <c r="POX746" s="213"/>
      <c r="POY746" s="213"/>
      <c r="POZ746" s="213"/>
      <c r="PPA746" s="213"/>
      <c r="PPB746" s="213"/>
      <c r="PPC746" s="213"/>
      <c r="PPD746" s="213"/>
      <c r="PPE746" s="213"/>
      <c r="PPF746" s="213"/>
      <c r="PPG746" s="213"/>
      <c r="PPH746" s="213"/>
      <c r="PPI746" s="213"/>
      <c r="PPJ746" s="213"/>
      <c r="PPK746" s="213"/>
      <c r="PPL746" s="213"/>
      <c r="PPM746" s="213"/>
      <c r="PPN746" s="213"/>
      <c r="PPO746" s="213"/>
      <c r="PPP746" s="213"/>
      <c r="PPQ746" s="213"/>
      <c r="PPR746" s="213"/>
      <c r="PPS746" s="213"/>
      <c r="PPT746" s="213"/>
      <c r="PPU746" s="213"/>
      <c r="PPV746" s="213"/>
      <c r="PPW746" s="213"/>
      <c r="PPX746" s="213"/>
      <c r="PPY746" s="213"/>
      <c r="PPZ746" s="213"/>
      <c r="PQA746" s="213"/>
      <c r="PQB746" s="213"/>
      <c r="PQC746" s="213"/>
      <c r="PQD746" s="213"/>
      <c r="PQE746" s="213"/>
      <c r="PQF746" s="213"/>
      <c r="PQG746" s="213"/>
      <c r="PQH746" s="213"/>
      <c r="PQI746" s="213"/>
      <c r="PQJ746" s="213"/>
      <c r="PQK746" s="213"/>
      <c r="PQL746" s="213"/>
      <c r="PQM746" s="213"/>
      <c r="PQN746" s="213"/>
      <c r="PQO746" s="213"/>
      <c r="PQP746" s="213"/>
      <c r="PQQ746" s="213"/>
      <c r="PQR746" s="213"/>
      <c r="PQS746" s="213"/>
      <c r="PQT746" s="213"/>
      <c r="PQU746" s="213"/>
      <c r="PQV746" s="213"/>
      <c r="PQW746" s="213"/>
      <c r="PQX746" s="213"/>
      <c r="PQY746" s="213"/>
      <c r="PQZ746" s="213"/>
      <c r="PRA746" s="213"/>
      <c r="PRB746" s="213"/>
      <c r="PRC746" s="213"/>
      <c r="PRD746" s="213"/>
      <c r="PRE746" s="213"/>
      <c r="PRF746" s="213"/>
      <c r="PRG746" s="213"/>
      <c r="PRH746" s="213"/>
      <c r="PRI746" s="213"/>
      <c r="PRJ746" s="213"/>
      <c r="PRK746" s="213"/>
      <c r="PRL746" s="213"/>
      <c r="PRM746" s="213"/>
      <c r="PRN746" s="213"/>
      <c r="PRO746" s="213"/>
      <c r="PRP746" s="213"/>
      <c r="PRQ746" s="213"/>
      <c r="PRR746" s="213"/>
      <c r="PRS746" s="213"/>
      <c r="PRT746" s="213"/>
      <c r="PRU746" s="213"/>
      <c r="PRV746" s="213"/>
      <c r="PRW746" s="213"/>
      <c r="PRX746" s="213"/>
      <c r="PRY746" s="213"/>
      <c r="PRZ746" s="213"/>
      <c r="PSA746" s="213"/>
      <c r="PSB746" s="213"/>
      <c r="PSC746" s="213"/>
      <c r="PSD746" s="213"/>
      <c r="PSE746" s="213"/>
      <c r="PSF746" s="213"/>
      <c r="PSG746" s="213"/>
      <c r="PSH746" s="213"/>
      <c r="PSI746" s="213"/>
      <c r="PSJ746" s="213"/>
      <c r="PSK746" s="213"/>
      <c r="PSL746" s="213"/>
      <c r="PSM746" s="213"/>
      <c r="PSN746" s="213"/>
      <c r="PSO746" s="213"/>
      <c r="PSP746" s="213"/>
      <c r="PSQ746" s="213"/>
      <c r="PSR746" s="213"/>
      <c r="PSS746" s="213"/>
      <c r="PST746" s="213"/>
      <c r="PSU746" s="213"/>
      <c r="PSV746" s="213"/>
      <c r="PSW746" s="213"/>
      <c r="PSX746" s="213"/>
      <c r="PSY746" s="213"/>
      <c r="PSZ746" s="213"/>
      <c r="PTA746" s="213"/>
      <c r="PTB746" s="213"/>
      <c r="PTC746" s="213"/>
      <c r="PTD746" s="213"/>
      <c r="PTE746" s="213"/>
      <c r="PTF746" s="213"/>
      <c r="PTG746" s="213"/>
      <c r="PTH746" s="213"/>
      <c r="PTI746" s="213"/>
      <c r="PTJ746" s="213"/>
      <c r="PTK746" s="213"/>
      <c r="PTL746" s="213"/>
      <c r="PTM746" s="213"/>
      <c r="PTN746" s="213"/>
      <c r="PTO746" s="213"/>
      <c r="PTP746" s="213"/>
      <c r="PTQ746" s="213"/>
      <c r="PTR746" s="213"/>
      <c r="PTS746" s="213"/>
      <c r="PTT746" s="213"/>
      <c r="PTU746" s="213"/>
      <c r="PTV746" s="213"/>
      <c r="PTW746" s="213"/>
      <c r="PTX746" s="213"/>
      <c r="PTY746" s="213"/>
      <c r="PTZ746" s="213"/>
      <c r="PUA746" s="213"/>
      <c r="PUB746" s="213"/>
      <c r="PUC746" s="213"/>
      <c r="PUD746" s="213"/>
      <c r="PUE746" s="213"/>
      <c r="PUF746" s="213"/>
      <c r="PUG746" s="213"/>
      <c r="PUH746" s="213"/>
      <c r="PUI746" s="213"/>
      <c r="PUJ746" s="213"/>
      <c r="PUK746" s="213"/>
      <c r="PUL746" s="213"/>
      <c r="PUM746" s="213"/>
      <c r="PUN746" s="213"/>
      <c r="PUO746" s="213"/>
      <c r="PUP746" s="213"/>
      <c r="PUQ746" s="213"/>
      <c r="PUR746" s="213"/>
      <c r="PUS746" s="213"/>
      <c r="PUT746" s="213"/>
      <c r="PUU746" s="213"/>
      <c r="PUV746" s="213"/>
      <c r="PUW746" s="213"/>
      <c r="PUX746" s="213"/>
      <c r="PUY746" s="213"/>
      <c r="PUZ746" s="213"/>
      <c r="PVA746" s="213"/>
      <c r="PVB746" s="213"/>
      <c r="PVC746" s="213"/>
      <c r="PVD746" s="213"/>
      <c r="PVE746" s="213"/>
      <c r="PVF746" s="213"/>
      <c r="PVG746" s="213"/>
      <c r="PVH746" s="213"/>
      <c r="PVI746" s="213"/>
      <c r="PVJ746" s="213"/>
      <c r="PVK746" s="213"/>
      <c r="PVL746" s="213"/>
      <c r="PVM746" s="213"/>
      <c r="PVN746" s="213"/>
      <c r="PVO746" s="213"/>
      <c r="PVP746" s="213"/>
      <c r="PVQ746" s="213"/>
      <c r="PVR746" s="213"/>
      <c r="PVS746" s="213"/>
      <c r="PVT746" s="213"/>
      <c r="PVU746" s="213"/>
      <c r="PVV746" s="213"/>
      <c r="PVW746" s="213"/>
      <c r="PVX746" s="213"/>
      <c r="PVY746" s="213"/>
      <c r="PVZ746" s="213"/>
      <c r="PWA746" s="213"/>
      <c r="PWB746" s="213"/>
      <c r="PWC746" s="213"/>
      <c r="PWD746" s="213"/>
      <c r="PWE746" s="213"/>
      <c r="PWF746" s="213"/>
      <c r="PWG746" s="213"/>
      <c r="PWH746" s="213"/>
      <c r="PWI746" s="213"/>
      <c r="PWJ746" s="213"/>
      <c r="PWK746" s="213"/>
      <c r="PWL746" s="213"/>
      <c r="PWM746" s="213"/>
      <c r="PWN746" s="213"/>
      <c r="PWO746" s="213"/>
      <c r="PWP746" s="213"/>
      <c r="PWQ746" s="213"/>
      <c r="PWR746" s="213"/>
      <c r="PWS746" s="213"/>
      <c r="PWT746" s="213"/>
      <c r="PWU746" s="213"/>
      <c r="PWV746" s="213"/>
      <c r="PWW746" s="213"/>
      <c r="PWX746" s="213"/>
      <c r="PWY746" s="213"/>
      <c r="PWZ746" s="213"/>
      <c r="PXA746" s="213"/>
      <c r="PXB746" s="213"/>
      <c r="PXC746" s="213"/>
      <c r="PXD746" s="213"/>
      <c r="PXE746" s="213"/>
      <c r="PXF746" s="213"/>
      <c r="PXG746" s="213"/>
      <c r="PXH746" s="213"/>
      <c r="PXI746" s="213"/>
      <c r="PXJ746" s="213"/>
      <c r="PXK746" s="213"/>
      <c r="PXL746" s="213"/>
      <c r="PXM746" s="213"/>
      <c r="PXN746" s="213"/>
      <c r="PXO746" s="213"/>
      <c r="PXP746" s="213"/>
      <c r="PXQ746" s="213"/>
      <c r="PXR746" s="213"/>
      <c r="PXS746" s="213"/>
      <c r="PXT746" s="213"/>
      <c r="PXU746" s="213"/>
      <c r="PXV746" s="213"/>
      <c r="PXW746" s="213"/>
      <c r="PXX746" s="213"/>
      <c r="PXY746" s="213"/>
      <c r="PXZ746" s="213"/>
      <c r="PYA746" s="213"/>
      <c r="PYB746" s="213"/>
      <c r="PYC746" s="213"/>
      <c r="PYD746" s="213"/>
      <c r="PYE746" s="213"/>
      <c r="PYF746" s="213"/>
      <c r="PYG746" s="213"/>
      <c r="PYH746" s="213"/>
      <c r="PYI746" s="213"/>
      <c r="PYJ746" s="213"/>
      <c r="PYK746" s="213"/>
      <c r="PYL746" s="213"/>
      <c r="PYM746" s="213"/>
      <c r="PYN746" s="213"/>
      <c r="PYO746" s="213"/>
      <c r="PYP746" s="213"/>
      <c r="PYQ746" s="213"/>
      <c r="PYR746" s="213"/>
      <c r="PYS746" s="213"/>
      <c r="PYT746" s="213"/>
      <c r="PYU746" s="213"/>
      <c r="PYV746" s="213"/>
      <c r="PYW746" s="213"/>
      <c r="PYX746" s="213"/>
      <c r="PYY746" s="213"/>
      <c r="PYZ746" s="213"/>
      <c r="PZA746" s="213"/>
      <c r="PZB746" s="213"/>
      <c r="PZC746" s="213"/>
      <c r="PZD746" s="213"/>
      <c r="PZE746" s="213"/>
      <c r="PZF746" s="213"/>
      <c r="PZG746" s="213"/>
      <c r="PZH746" s="213"/>
      <c r="PZI746" s="213"/>
      <c r="PZJ746" s="213"/>
      <c r="PZK746" s="213"/>
      <c r="PZL746" s="213"/>
      <c r="PZM746" s="213"/>
      <c r="PZN746" s="213"/>
      <c r="PZO746" s="213"/>
      <c r="PZP746" s="213"/>
      <c r="PZQ746" s="213"/>
      <c r="PZR746" s="213"/>
      <c r="PZS746" s="213"/>
      <c r="PZT746" s="213"/>
      <c r="PZU746" s="213"/>
      <c r="PZV746" s="213"/>
      <c r="PZW746" s="213"/>
      <c r="PZX746" s="213"/>
      <c r="PZY746" s="213"/>
      <c r="PZZ746" s="213"/>
      <c r="QAA746" s="213"/>
      <c r="QAB746" s="213"/>
      <c r="QAC746" s="213"/>
      <c r="QAD746" s="213"/>
      <c r="QAE746" s="213"/>
      <c r="QAF746" s="213"/>
      <c r="QAG746" s="213"/>
      <c r="QAH746" s="213"/>
      <c r="QAI746" s="213"/>
      <c r="QAJ746" s="213"/>
      <c r="QAK746" s="213"/>
      <c r="QAL746" s="213"/>
      <c r="QAM746" s="213"/>
      <c r="QAN746" s="213"/>
      <c r="QAO746" s="213"/>
      <c r="QAP746" s="213"/>
      <c r="QAQ746" s="213"/>
      <c r="QAR746" s="213"/>
      <c r="QAS746" s="213"/>
      <c r="QAT746" s="213"/>
      <c r="QAU746" s="213"/>
      <c r="QAV746" s="213"/>
      <c r="QAW746" s="213"/>
      <c r="QAX746" s="213"/>
      <c r="QAY746" s="213"/>
      <c r="QAZ746" s="213"/>
      <c r="QBA746" s="213"/>
      <c r="QBB746" s="213"/>
      <c r="QBC746" s="213"/>
      <c r="QBD746" s="213"/>
      <c r="QBE746" s="213"/>
      <c r="QBF746" s="213"/>
      <c r="QBG746" s="213"/>
      <c r="QBH746" s="213"/>
      <c r="QBI746" s="213"/>
      <c r="QBJ746" s="213"/>
      <c r="QBK746" s="213"/>
      <c r="QBL746" s="213"/>
      <c r="QBM746" s="213"/>
      <c r="QBN746" s="213"/>
      <c r="QBO746" s="213"/>
      <c r="QBP746" s="213"/>
      <c r="QBQ746" s="213"/>
      <c r="QBR746" s="213"/>
      <c r="QBS746" s="213"/>
      <c r="QBT746" s="213"/>
      <c r="QBU746" s="213"/>
      <c r="QBV746" s="213"/>
      <c r="QBW746" s="213"/>
      <c r="QBX746" s="213"/>
      <c r="QBY746" s="213"/>
      <c r="QBZ746" s="213"/>
      <c r="QCA746" s="213"/>
      <c r="QCB746" s="213"/>
      <c r="QCC746" s="213"/>
      <c r="QCD746" s="213"/>
      <c r="QCE746" s="213"/>
      <c r="QCF746" s="213"/>
      <c r="QCG746" s="213"/>
      <c r="QCH746" s="213"/>
      <c r="QCI746" s="213"/>
      <c r="QCJ746" s="213"/>
      <c r="QCK746" s="213"/>
      <c r="QCL746" s="213"/>
      <c r="QCM746" s="213"/>
      <c r="QCN746" s="213"/>
      <c r="QCO746" s="213"/>
      <c r="QCP746" s="213"/>
      <c r="QCQ746" s="213"/>
      <c r="QCR746" s="213"/>
      <c r="QCS746" s="213"/>
      <c r="QCT746" s="213"/>
      <c r="QCU746" s="213"/>
      <c r="QCV746" s="213"/>
      <c r="QCW746" s="213"/>
      <c r="QCX746" s="213"/>
      <c r="QCY746" s="213"/>
      <c r="QCZ746" s="213"/>
      <c r="QDA746" s="213"/>
      <c r="QDB746" s="213"/>
      <c r="QDC746" s="213"/>
      <c r="QDD746" s="213"/>
      <c r="QDE746" s="213"/>
      <c r="QDF746" s="213"/>
      <c r="QDG746" s="213"/>
      <c r="QDH746" s="213"/>
      <c r="QDI746" s="213"/>
      <c r="QDJ746" s="213"/>
      <c r="QDK746" s="213"/>
      <c r="QDL746" s="213"/>
      <c r="QDM746" s="213"/>
      <c r="QDN746" s="213"/>
      <c r="QDO746" s="213"/>
      <c r="QDP746" s="213"/>
      <c r="QDQ746" s="213"/>
      <c r="QDR746" s="213"/>
      <c r="QDS746" s="213"/>
      <c r="QDT746" s="213"/>
      <c r="QDU746" s="213"/>
      <c r="QDV746" s="213"/>
      <c r="QDW746" s="213"/>
      <c r="QDX746" s="213"/>
      <c r="QDY746" s="213"/>
      <c r="QDZ746" s="213"/>
      <c r="QEA746" s="213"/>
      <c r="QEB746" s="213"/>
      <c r="QEC746" s="213"/>
      <c r="QED746" s="213"/>
      <c r="QEE746" s="213"/>
      <c r="QEF746" s="213"/>
      <c r="QEG746" s="213"/>
      <c r="QEH746" s="213"/>
      <c r="QEI746" s="213"/>
      <c r="QEJ746" s="213"/>
      <c r="QEK746" s="213"/>
      <c r="QEL746" s="213"/>
      <c r="QEM746" s="213"/>
      <c r="QEN746" s="213"/>
      <c r="QEO746" s="213"/>
      <c r="QEP746" s="213"/>
      <c r="QEQ746" s="213"/>
      <c r="QER746" s="213"/>
      <c r="QES746" s="213"/>
      <c r="QET746" s="213"/>
      <c r="QEU746" s="213"/>
      <c r="QEV746" s="213"/>
      <c r="QEW746" s="213"/>
      <c r="QEX746" s="213"/>
      <c r="QEY746" s="213"/>
      <c r="QEZ746" s="213"/>
      <c r="QFA746" s="213"/>
      <c r="QFB746" s="213"/>
      <c r="QFC746" s="213"/>
      <c r="QFD746" s="213"/>
      <c r="QFE746" s="213"/>
      <c r="QFF746" s="213"/>
      <c r="QFG746" s="213"/>
      <c r="QFH746" s="213"/>
      <c r="QFI746" s="213"/>
      <c r="QFJ746" s="213"/>
      <c r="QFK746" s="213"/>
      <c r="QFL746" s="213"/>
      <c r="QFM746" s="213"/>
      <c r="QFN746" s="213"/>
      <c r="QFO746" s="213"/>
      <c r="QFP746" s="213"/>
      <c r="QFQ746" s="213"/>
      <c r="QFR746" s="213"/>
      <c r="QFS746" s="213"/>
      <c r="QFT746" s="213"/>
      <c r="QFU746" s="213"/>
      <c r="QFV746" s="213"/>
      <c r="QFW746" s="213"/>
      <c r="QFX746" s="213"/>
      <c r="QFY746" s="213"/>
      <c r="QFZ746" s="213"/>
      <c r="QGA746" s="213"/>
      <c r="QGB746" s="213"/>
      <c r="QGC746" s="213"/>
      <c r="QGD746" s="213"/>
      <c r="QGE746" s="213"/>
      <c r="QGF746" s="213"/>
      <c r="QGG746" s="213"/>
      <c r="QGH746" s="213"/>
      <c r="QGI746" s="213"/>
      <c r="QGJ746" s="213"/>
      <c r="QGK746" s="213"/>
      <c r="QGL746" s="213"/>
      <c r="QGM746" s="213"/>
      <c r="QGN746" s="213"/>
      <c r="QGO746" s="213"/>
      <c r="QGP746" s="213"/>
      <c r="QGQ746" s="213"/>
      <c r="QGR746" s="213"/>
      <c r="QGS746" s="213"/>
      <c r="QGT746" s="213"/>
      <c r="QGU746" s="213"/>
      <c r="QGV746" s="213"/>
      <c r="QGW746" s="213"/>
      <c r="QGX746" s="213"/>
      <c r="QGY746" s="213"/>
      <c r="QGZ746" s="213"/>
      <c r="QHA746" s="213"/>
      <c r="QHB746" s="213"/>
      <c r="QHC746" s="213"/>
      <c r="QHD746" s="213"/>
      <c r="QHE746" s="213"/>
      <c r="QHF746" s="213"/>
      <c r="QHG746" s="213"/>
      <c r="QHH746" s="213"/>
      <c r="QHI746" s="213"/>
      <c r="QHJ746" s="213"/>
      <c r="QHK746" s="213"/>
      <c r="QHL746" s="213"/>
      <c r="QHM746" s="213"/>
      <c r="QHN746" s="213"/>
      <c r="QHO746" s="213"/>
      <c r="QHP746" s="213"/>
      <c r="QHQ746" s="213"/>
      <c r="QHR746" s="213"/>
      <c r="QHS746" s="213"/>
      <c r="QHT746" s="213"/>
      <c r="QHU746" s="213"/>
      <c r="QHV746" s="213"/>
      <c r="QHW746" s="213"/>
      <c r="QHX746" s="213"/>
      <c r="QHY746" s="213"/>
      <c r="QHZ746" s="213"/>
      <c r="QIA746" s="213"/>
      <c r="QIB746" s="213"/>
      <c r="QIC746" s="213"/>
      <c r="QID746" s="213"/>
      <c r="QIE746" s="213"/>
      <c r="QIF746" s="213"/>
      <c r="QIG746" s="213"/>
      <c r="QIH746" s="213"/>
      <c r="QII746" s="213"/>
      <c r="QIJ746" s="213"/>
      <c r="QIK746" s="213"/>
      <c r="QIL746" s="213"/>
      <c r="QIM746" s="213"/>
      <c r="QIN746" s="213"/>
      <c r="QIO746" s="213"/>
      <c r="QIP746" s="213"/>
      <c r="QIQ746" s="213"/>
      <c r="QIR746" s="213"/>
      <c r="QIS746" s="213"/>
      <c r="QIT746" s="213"/>
      <c r="QIU746" s="213"/>
      <c r="QIV746" s="213"/>
      <c r="QIW746" s="213"/>
      <c r="QIX746" s="213"/>
      <c r="QIY746" s="213"/>
      <c r="QIZ746" s="213"/>
      <c r="QJA746" s="213"/>
      <c r="QJB746" s="213"/>
      <c r="QJC746" s="213"/>
      <c r="QJD746" s="213"/>
      <c r="QJE746" s="213"/>
      <c r="QJF746" s="213"/>
      <c r="QJG746" s="213"/>
      <c r="QJH746" s="213"/>
      <c r="QJI746" s="213"/>
      <c r="QJJ746" s="213"/>
      <c r="QJK746" s="213"/>
      <c r="QJL746" s="213"/>
      <c r="QJM746" s="213"/>
      <c r="QJN746" s="213"/>
      <c r="QJO746" s="213"/>
      <c r="QJP746" s="213"/>
      <c r="QJQ746" s="213"/>
      <c r="QJR746" s="213"/>
      <c r="QJS746" s="213"/>
      <c r="QJT746" s="213"/>
      <c r="QJU746" s="213"/>
      <c r="QJV746" s="213"/>
      <c r="QJW746" s="213"/>
      <c r="QJX746" s="213"/>
      <c r="QJY746" s="213"/>
      <c r="QJZ746" s="213"/>
      <c r="QKA746" s="213"/>
      <c r="QKB746" s="213"/>
      <c r="QKC746" s="213"/>
      <c r="QKD746" s="213"/>
      <c r="QKE746" s="213"/>
      <c r="QKF746" s="213"/>
      <c r="QKG746" s="213"/>
      <c r="QKH746" s="213"/>
      <c r="QKI746" s="213"/>
      <c r="QKJ746" s="213"/>
      <c r="QKK746" s="213"/>
      <c r="QKL746" s="213"/>
      <c r="QKM746" s="213"/>
      <c r="QKN746" s="213"/>
      <c r="QKO746" s="213"/>
      <c r="QKP746" s="213"/>
      <c r="QKQ746" s="213"/>
      <c r="QKR746" s="213"/>
      <c r="QKS746" s="213"/>
      <c r="QKT746" s="213"/>
      <c r="QKU746" s="213"/>
      <c r="QKV746" s="213"/>
      <c r="QKW746" s="213"/>
      <c r="QKX746" s="213"/>
      <c r="QKY746" s="213"/>
      <c r="QKZ746" s="213"/>
      <c r="QLA746" s="213"/>
      <c r="QLB746" s="213"/>
      <c r="QLC746" s="213"/>
      <c r="QLD746" s="213"/>
      <c r="QLE746" s="213"/>
      <c r="QLF746" s="213"/>
      <c r="QLG746" s="213"/>
      <c r="QLH746" s="213"/>
      <c r="QLI746" s="213"/>
      <c r="QLJ746" s="213"/>
      <c r="QLK746" s="213"/>
      <c r="QLL746" s="213"/>
      <c r="QLM746" s="213"/>
      <c r="QLN746" s="213"/>
      <c r="QLO746" s="213"/>
      <c r="QLP746" s="213"/>
      <c r="QLQ746" s="213"/>
      <c r="QLR746" s="213"/>
      <c r="QLS746" s="213"/>
      <c r="QLT746" s="213"/>
      <c r="QLU746" s="213"/>
      <c r="QLV746" s="213"/>
      <c r="QLW746" s="213"/>
      <c r="QLX746" s="213"/>
      <c r="QLY746" s="213"/>
      <c r="QLZ746" s="213"/>
      <c r="QMA746" s="213"/>
      <c r="QMB746" s="213"/>
      <c r="QMC746" s="213"/>
      <c r="QMD746" s="213"/>
      <c r="QME746" s="213"/>
      <c r="QMF746" s="213"/>
      <c r="QMG746" s="213"/>
      <c r="QMH746" s="213"/>
      <c r="QMI746" s="213"/>
      <c r="QMJ746" s="213"/>
      <c r="QMK746" s="213"/>
      <c r="QML746" s="213"/>
      <c r="QMM746" s="213"/>
      <c r="QMN746" s="213"/>
      <c r="QMO746" s="213"/>
      <c r="QMP746" s="213"/>
      <c r="QMQ746" s="213"/>
      <c r="QMR746" s="213"/>
      <c r="QMS746" s="213"/>
      <c r="QMT746" s="213"/>
      <c r="QMU746" s="213"/>
      <c r="QMV746" s="213"/>
      <c r="QMW746" s="213"/>
      <c r="QMX746" s="213"/>
      <c r="QMY746" s="213"/>
      <c r="QMZ746" s="213"/>
      <c r="QNA746" s="213"/>
      <c r="QNB746" s="213"/>
      <c r="QNC746" s="213"/>
      <c r="QND746" s="213"/>
      <c r="QNE746" s="213"/>
      <c r="QNF746" s="213"/>
      <c r="QNG746" s="213"/>
      <c r="QNH746" s="213"/>
      <c r="QNI746" s="213"/>
      <c r="QNJ746" s="213"/>
      <c r="QNK746" s="213"/>
      <c r="QNL746" s="213"/>
      <c r="QNM746" s="213"/>
      <c r="QNN746" s="213"/>
      <c r="QNO746" s="213"/>
      <c r="QNP746" s="213"/>
      <c r="QNQ746" s="213"/>
      <c r="QNR746" s="213"/>
      <c r="QNS746" s="213"/>
      <c r="QNT746" s="213"/>
      <c r="QNU746" s="213"/>
      <c r="QNV746" s="213"/>
      <c r="QNW746" s="213"/>
      <c r="QNX746" s="213"/>
      <c r="QNY746" s="213"/>
      <c r="QNZ746" s="213"/>
      <c r="QOA746" s="213"/>
      <c r="QOB746" s="213"/>
      <c r="QOC746" s="213"/>
      <c r="QOD746" s="213"/>
      <c r="QOE746" s="213"/>
      <c r="QOF746" s="213"/>
      <c r="QOG746" s="213"/>
      <c r="QOH746" s="213"/>
      <c r="QOI746" s="213"/>
      <c r="QOJ746" s="213"/>
      <c r="QOK746" s="213"/>
      <c r="QOL746" s="213"/>
      <c r="QOM746" s="213"/>
      <c r="QON746" s="213"/>
      <c r="QOO746" s="213"/>
      <c r="QOP746" s="213"/>
      <c r="QOQ746" s="213"/>
      <c r="QOR746" s="213"/>
      <c r="QOS746" s="213"/>
      <c r="QOT746" s="213"/>
      <c r="QOU746" s="213"/>
      <c r="QOV746" s="213"/>
      <c r="QOW746" s="213"/>
      <c r="QOX746" s="213"/>
      <c r="QOY746" s="213"/>
      <c r="QOZ746" s="213"/>
      <c r="QPA746" s="213"/>
      <c r="QPB746" s="213"/>
      <c r="QPC746" s="213"/>
      <c r="QPD746" s="213"/>
      <c r="QPE746" s="213"/>
      <c r="QPF746" s="213"/>
      <c r="QPG746" s="213"/>
      <c r="QPH746" s="213"/>
      <c r="QPI746" s="213"/>
      <c r="QPJ746" s="213"/>
      <c r="QPK746" s="213"/>
      <c r="QPL746" s="213"/>
      <c r="QPM746" s="213"/>
      <c r="QPN746" s="213"/>
      <c r="QPO746" s="213"/>
      <c r="QPP746" s="213"/>
      <c r="QPQ746" s="213"/>
      <c r="QPR746" s="213"/>
      <c r="QPS746" s="213"/>
      <c r="QPT746" s="213"/>
      <c r="QPU746" s="213"/>
      <c r="QPV746" s="213"/>
      <c r="QPW746" s="213"/>
      <c r="QPX746" s="213"/>
      <c r="QPY746" s="213"/>
      <c r="QPZ746" s="213"/>
      <c r="QQA746" s="213"/>
      <c r="QQB746" s="213"/>
      <c r="QQC746" s="213"/>
      <c r="QQD746" s="213"/>
      <c r="QQE746" s="213"/>
      <c r="QQF746" s="213"/>
      <c r="QQG746" s="213"/>
      <c r="QQH746" s="213"/>
      <c r="QQI746" s="213"/>
      <c r="QQJ746" s="213"/>
      <c r="QQK746" s="213"/>
      <c r="QQL746" s="213"/>
      <c r="QQM746" s="213"/>
      <c r="QQN746" s="213"/>
      <c r="QQO746" s="213"/>
      <c r="QQP746" s="213"/>
      <c r="QQQ746" s="213"/>
      <c r="QQR746" s="213"/>
      <c r="QQS746" s="213"/>
      <c r="QQT746" s="213"/>
      <c r="QQU746" s="213"/>
      <c r="QQV746" s="213"/>
      <c r="QQW746" s="213"/>
      <c r="QQX746" s="213"/>
      <c r="QQY746" s="213"/>
      <c r="QQZ746" s="213"/>
      <c r="QRA746" s="213"/>
      <c r="QRB746" s="213"/>
      <c r="QRC746" s="213"/>
      <c r="QRD746" s="213"/>
      <c r="QRE746" s="213"/>
      <c r="QRF746" s="213"/>
      <c r="QRG746" s="213"/>
      <c r="QRH746" s="213"/>
      <c r="QRI746" s="213"/>
      <c r="QRJ746" s="213"/>
      <c r="QRK746" s="213"/>
      <c r="QRL746" s="213"/>
      <c r="QRM746" s="213"/>
      <c r="QRN746" s="213"/>
      <c r="QRO746" s="213"/>
      <c r="QRP746" s="213"/>
      <c r="QRQ746" s="213"/>
      <c r="QRR746" s="213"/>
      <c r="QRS746" s="213"/>
      <c r="QRT746" s="213"/>
      <c r="QRU746" s="213"/>
      <c r="QRV746" s="213"/>
      <c r="QRW746" s="213"/>
      <c r="QRX746" s="213"/>
      <c r="QRY746" s="213"/>
      <c r="QRZ746" s="213"/>
      <c r="QSA746" s="213"/>
      <c r="QSB746" s="213"/>
      <c r="QSC746" s="213"/>
      <c r="QSD746" s="213"/>
      <c r="QSE746" s="213"/>
      <c r="QSF746" s="213"/>
      <c r="QSG746" s="213"/>
      <c r="QSH746" s="213"/>
      <c r="QSI746" s="213"/>
      <c r="QSJ746" s="213"/>
      <c r="QSK746" s="213"/>
      <c r="QSL746" s="213"/>
      <c r="QSM746" s="213"/>
      <c r="QSN746" s="213"/>
      <c r="QSO746" s="213"/>
      <c r="QSP746" s="213"/>
      <c r="QSQ746" s="213"/>
      <c r="QSR746" s="213"/>
      <c r="QSS746" s="213"/>
      <c r="QST746" s="213"/>
      <c r="QSU746" s="213"/>
      <c r="QSV746" s="213"/>
      <c r="QSW746" s="213"/>
      <c r="QSX746" s="213"/>
      <c r="QSY746" s="213"/>
      <c r="QSZ746" s="213"/>
      <c r="QTA746" s="213"/>
      <c r="QTB746" s="213"/>
      <c r="QTC746" s="213"/>
      <c r="QTD746" s="213"/>
      <c r="QTE746" s="213"/>
      <c r="QTF746" s="213"/>
      <c r="QTG746" s="213"/>
      <c r="QTH746" s="213"/>
      <c r="QTI746" s="213"/>
      <c r="QTJ746" s="213"/>
      <c r="QTK746" s="213"/>
      <c r="QTL746" s="213"/>
      <c r="QTM746" s="213"/>
      <c r="QTN746" s="213"/>
      <c r="QTO746" s="213"/>
      <c r="QTP746" s="213"/>
      <c r="QTQ746" s="213"/>
      <c r="QTR746" s="213"/>
      <c r="QTS746" s="213"/>
      <c r="QTT746" s="213"/>
      <c r="QTU746" s="213"/>
      <c r="QTV746" s="213"/>
      <c r="QTW746" s="213"/>
      <c r="QTX746" s="213"/>
      <c r="QTY746" s="213"/>
      <c r="QTZ746" s="213"/>
      <c r="QUA746" s="213"/>
      <c r="QUB746" s="213"/>
      <c r="QUC746" s="213"/>
      <c r="QUD746" s="213"/>
      <c r="QUE746" s="213"/>
      <c r="QUF746" s="213"/>
      <c r="QUG746" s="213"/>
      <c r="QUH746" s="213"/>
      <c r="QUI746" s="213"/>
      <c r="QUJ746" s="213"/>
      <c r="QUK746" s="213"/>
      <c r="QUL746" s="213"/>
      <c r="QUM746" s="213"/>
      <c r="QUN746" s="213"/>
      <c r="QUO746" s="213"/>
      <c r="QUP746" s="213"/>
      <c r="QUQ746" s="213"/>
      <c r="QUR746" s="213"/>
      <c r="QUS746" s="213"/>
      <c r="QUT746" s="213"/>
      <c r="QUU746" s="213"/>
      <c r="QUV746" s="213"/>
      <c r="QUW746" s="213"/>
      <c r="QUX746" s="213"/>
      <c r="QUY746" s="213"/>
      <c r="QUZ746" s="213"/>
      <c r="QVA746" s="213"/>
      <c r="QVB746" s="213"/>
      <c r="QVC746" s="213"/>
      <c r="QVD746" s="213"/>
      <c r="QVE746" s="213"/>
      <c r="QVF746" s="213"/>
      <c r="QVG746" s="213"/>
      <c r="QVH746" s="213"/>
      <c r="QVI746" s="213"/>
      <c r="QVJ746" s="213"/>
      <c r="QVK746" s="213"/>
      <c r="QVL746" s="213"/>
      <c r="QVM746" s="213"/>
      <c r="QVN746" s="213"/>
      <c r="QVO746" s="213"/>
      <c r="QVP746" s="213"/>
      <c r="QVQ746" s="213"/>
      <c r="QVR746" s="213"/>
      <c r="QVS746" s="213"/>
      <c r="QVT746" s="213"/>
      <c r="QVU746" s="213"/>
      <c r="QVV746" s="213"/>
      <c r="QVW746" s="213"/>
      <c r="QVX746" s="213"/>
      <c r="QVY746" s="213"/>
      <c r="QVZ746" s="213"/>
      <c r="QWA746" s="213"/>
      <c r="QWB746" s="213"/>
      <c r="QWC746" s="213"/>
      <c r="QWD746" s="213"/>
      <c r="QWE746" s="213"/>
      <c r="QWF746" s="213"/>
      <c r="QWG746" s="213"/>
      <c r="QWH746" s="213"/>
      <c r="QWI746" s="213"/>
      <c r="QWJ746" s="213"/>
      <c r="QWK746" s="213"/>
      <c r="QWL746" s="213"/>
      <c r="QWM746" s="213"/>
      <c r="QWN746" s="213"/>
      <c r="QWO746" s="213"/>
      <c r="QWP746" s="213"/>
      <c r="QWQ746" s="213"/>
      <c r="QWR746" s="213"/>
      <c r="QWS746" s="213"/>
      <c r="QWT746" s="213"/>
      <c r="QWU746" s="213"/>
      <c r="QWV746" s="213"/>
      <c r="QWW746" s="213"/>
      <c r="QWX746" s="213"/>
      <c r="QWY746" s="213"/>
      <c r="QWZ746" s="213"/>
      <c r="QXA746" s="213"/>
      <c r="QXB746" s="213"/>
      <c r="QXC746" s="213"/>
      <c r="QXD746" s="213"/>
      <c r="QXE746" s="213"/>
      <c r="QXF746" s="213"/>
      <c r="QXG746" s="213"/>
      <c r="QXH746" s="213"/>
      <c r="QXI746" s="213"/>
      <c r="QXJ746" s="213"/>
      <c r="QXK746" s="213"/>
      <c r="QXL746" s="213"/>
      <c r="QXM746" s="213"/>
      <c r="QXN746" s="213"/>
      <c r="QXO746" s="213"/>
      <c r="QXP746" s="213"/>
      <c r="QXQ746" s="213"/>
      <c r="QXR746" s="213"/>
      <c r="QXS746" s="213"/>
      <c r="QXT746" s="213"/>
      <c r="QXU746" s="213"/>
      <c r="QXV746" s="213"/>
      <c r="QXW746" s="213"/>
      <c r="QXX746" s="213"/>
      <c r="QXY746" s="213"/>
      <c r="QXZ746" s="213"/>
      <c r="QYA746" s="213"/>
      <c r="QYB746" s="213"/>
      <c r="QYC746" s="213"/>
      <c r="QYD746" s="213"/>
      <c r="QYE746" s="213"/>
      <c r="QYF746" s="213"/>
      <c r="QYG746" s="213"/>
      <c r="QYH746" s="213"/>
      <c r="QYI746" s="213"/>
      <c r="QYJ746" s="213"/>
      <c r="QYK746" s="213"/>
      <c r="QYL746" s="213"/>
      <c r="QYM746" s="213"/>
      <c r="QYN746" s="213"/>
      <c r="QYO746" s="213"/>
      <c r="QYP746" s="213"/>
      <c r="QYQ746" s="213"/>
      <c r="QYR746" s="213"/>
      <c r="QYS746" s="213"/>
      <c r="QYT746" s="213"/>
      <c r="QYU746" s="213"/>
      <c r="QYV746" s="213"/>
      <c r="QYW746" s="213"/>
      <c r="QYX746" s="213"/>
      <c r="QYY746" s="213"/>
      <c r="QYZ746" s="213"/>
      <c r="QZA746" s="213"/>
      <c r="QZB746" s="213"/>
      <c r="QZC746" s="213"/>
      <c r="QZD746" s="213"/>
      <c r="QZE746" s="213"/>
      <c r="QZF746" s="213"/>
      <c r="QZG746" s="213"/>
      <c r="QZH746" s="213"/>
      <c r="QZI746" s="213"/>
      <c r="QZJ746" s="213"/>
      <c r="QZK746" s="213"/>
      <c r="QZL746" s="213"/>
      <c r="QZM746" s="213"/>
      <c r="QZN746" s="213"/>
      <c r="QZO746" s="213"/>
      <c r="QZP746" s="213"/>
      <c r="QZQ746" s="213"/>
      <c r="QZR746" s="213"/>
      <c r="QZS746" s="213"/>
      <c r="QZT746" s="213"/>
      <c r="QZU746" s="213"/>
      <c r="QZV746" s="213"/>
      <c r="QZW746" s="213"/>
      <c r="QZX746" s="213"/>
      <c r="QZY746" s="213"/>
      <c r="QZZ746" s="213"/>
      <c r="RAA746" s="213"/>
      <c r="RAB746" s="213"/>
      <c r="RAC746" s="213"/>
      <c r="RAD746" s="213"/>
      <c r="RAE746" s="213"/>
      <c r="RAF746" s="213"/>
      <c r="RAG746" s="213"/>
      <c r="RAH746" s="213"/>
      <c r="RAI746" s="213"/>
      <c r="RAJ746" s="213"/>
      <c r="RAK746" s="213"/>
      <c r="RAL746" s="213"/>
      <c r="RAM746" s="213"/>
      <c r="RAN746" s="213"/>
      <c r="RAO746" s="213"/>
      <c r="RAP746" s="213"/>
      <c r="RAQ746" s="213"/>
      <c r="RAR746" s="213"/>
      <c r="RAS746" s="213"/>
      <c r="RAT746" s="213"/>
      <c r="RAU746" s="213"/>
      <c r="RAV746" s="213"/>
      <c r="RAW746" s="213"/>
      <c r="RAX746" s="213"/>
      <c r="RAY746" s="213"/>
      <c r="RAZ746" s="213"/>
      <c r="RBA746" s="213"/>
      <c r="RBB746" s="213"/>
      <c r="RBC746" s="213"/>
      <c r="RBD746" s="213"/>
      <c r="RBE746" s="213"/>
      <c r="RBF746" s="213"/>
      <c r="RBG746" s="213"/>
      <c r="RBH746" s="213"/>
      <c r="RBI746" s="213"/>
      <c r="RBJ746" s="213"/>
      <c r="RBK746" s="213"/>
      <c r="RBL746" s="213"/>
      <c r="RBM746" s="213"/>
      <c r="RBN746" s="213"/>
      <c r="RBO746" s="213"/>
      <c r="RBP746" s="213"/>
      <c r="RBQ746" s="213"/>
      <c r="RBR746" s="213"/>
      <c r="RBS746" s="213"/>
      <c r="RBT746" s="213"/>
      <c r="RBU746" s="213"/>
      <c r="RBV746" s="213"/>
      <c r="RBW746" s="213"/>
      <c r="RBX746" s="213"/>
      <c r="RBY746" s="213"/>
      <c r="RBZ746" s="213"/>
      <c r="RCA746" s="213"/>
      <c r="RCB746" s="213"/>
      <c r="RCC746" s="213"/>
      <c r="RCD746" s="213"/>
      <c r="RCE746" s="213"/>
      <c r="RCF746" s="213"/>
      <c r="RCG746" s="213"/>
      <c r="RCH746" s="213"/>
      <c r="RCI746" s="213"/>
      <c r="RCJ746" s="213"/>
      <c r="RCK746" s="213"/>
      <c r="RCL746" s="213"/>
      <c r="RCM746" s="213"/>
      <c r="RCN746" s="213"/>
      <c r="RCO746" s="213"/>
      <c r="RCP746" s="213"/>
      <c r="RCQ746" s="213"/>
      <c r="RCR746" s="213"/>
      <c r="RCS746" s="213"/>
      <c r="RCT746" s="213"/>
      <c r="RCU746" s="213"/>
      <c r="RCV746" s="213"/>
      <c r="RCW746" s="213"/>
      <c r="RCX746" s="213"/>
      <c r="RCY746" s="213"/>
      <c r="RCZ746" s="213"/>
      <c r="RDA746" s="213"/>
      <c r="RDB746" s="213"/>
      <c r="RDC746" s="213"/>
      <c r="RDD746" s="213"/>
      <c r="RDE746" s="213"/>
      <c r="RDF746" s="213"/>
      <c r="RDG746" s="213"/>
      <c r="RDH746" s="213"/>
      <c r="RDI746" s="213"/>
      <c r="RDJ746" s="213"/>
      <c r="RDK746" s="213"/>
      <c r="RDL746" s="213"/>
      <c r="RDM746" s="213"/>
      <c r="RDN746" s="213"/>
      <c r="RDO746" s="213"/>
      <c r="RDP746" s="213"/>
      <c r="RDQ746" s="213"/>
      <c r="RDR746" s="213"/>
      <c r="RDS746" s="213"/>
      <c r="RDT746" s="213"/>
      <c r="RDU746" s="213"/>
      <c r="RDV746" s="213"/>
      <c r="RDW746" s="213"/>
      <c r="RDX746" s="213"/>
      <c r="RDY746" s="213"/>
      <c r="RDZ746" s="213"/>
      <c r="REA746" s="213"/>
      <c r="REB746" s="213"/>
      <c r="REC746" s="213"/>
      <c r="RED746" s="213"/>
      <c r="REE746" s="213"/>
      <c r="REF746" s="213"/>
      <c r="REG746" s="213"/>
      <c r="REH746" s="213"/>
      <c r="REI746" s="213"/>
      <c r="REJ746" s="213"/>
      <c r="REK746" s="213"/>
      <c r="REL746" s="213"/>
      <c r="REM746" s="213"/>
      <c r="REN746" s="213"/>
      <c r="REO746" s="213"/>
      <c r="REP746" s="213"/>
      <c r="REQ746" s="213"/>
      <c r="RER746" s="213"/>
      <c r="RES746" s="213"/>
      <c r="RET746" s="213"/>
      <c r="REU746" s="213"/>
      <c r="REV746" s="213"/>
      <c r="REW746" s="213"/>
      <c r="REX746" s="213"/>
      <c r="REY746" s="213"/>
      <c r="REZ746" s="213"/>
      <c r="RFA746" s="213"/>
      <c r="RFB746" s="213"/>
      <c r="RFC746" s="213"/>
      <c r="RFD746" s="213"/>
      <c r="RFE746" s="213"/>
      <c r="RFF746" s="213"/>
      <c r="RFG746" s="213"/>
      <c r="RFH746" s="213"/>
      <c r="RFI746" s="213"/>
      <c r="RFJ746" s="213"/>
      <c r="RFK746" s="213"/>
      <c r="RFL746" s="213"/>
      <c r="RFM746" s="213"/>
      <c r="RFN746" s="213"/>
      <c r="RFO746" s="213"/>
      <c r="RFP746" s="213"/>
      <c r="RFQ746" s="213"/>
      <c r="RFR746" s="213"/>
      <c r="RFS746" s="213"/>
      <c r="RFT746" s="213"/>
      <c r="RFU746" s="213"/>
      <c r="RFV746" s="213"/>
      <c r="RFW746" s="213"/>
      <c r="RFX746" s="213"/>
      <c r="RFY746" s="213"/>
      <c r="RFZ746" s="213"/>
      <c r="RGA746" s="213"/>
      <c r="RGB746" s="213"/>
      <c r="RGC746" s="213"/>
      <c r="RGD746" s="213"/>
      <c r="RGE746" s="213"/>
      <c r="RGF746" s="213"/>
      <c r="RGG746" s="213"/>
      <c r="RGH746" s="213"/>
      <c r="RGI746" s="213"/>
      <c r="RGJ746" s="213"/>
      <c r="RGK746" s="213"/>
      <c r="RGL746" s="213"/>
      <c r="RGM746" s="213"/>
      <c r="RGN746" s="213"/>
      <c r="RGO746" s="213"/>
      <c r="RGP746" s="213"/>
      <c r="RGQ746" s="213"/>
      <c r="RGR746" s="213"/>
      <c r="RGS746" s="213"/>
      <c r="RGT746" s="213"/>
      <c r="RGU746" s="213"/>
      <c r="RGV746" s="213"/>
      <c r="RGW746" s="213"/>
      <c r="RGX746" s="213"/>
      <c r="RGY746" s="213"/>
      <c r="RGZ746" s="213"/>
      <c r="RHA746" s="213"/>
      <c r="RHB746" s="213"/>
      <c r="RHC746" s="213"/>
      <c r="RHD746" s="213"/>
      <c r="RHE746" s="213"/>
      <c r="RHF746" s="213"/>
      <c r="RHG746" s="213"/>
      <c r="RHH746" s="213"/>
      <c r="RHI746" s="213"/>
      <c r="RHJ746" s="213"/>
      <c r="RHK746" s="213"/>
      <c r="RHL746" s="213"/>
      <c r="RHM746" s="213"/>
      <c r="RHN746" s="213"/>
      <c r="RHO746" s="213"/>
      <c r="RHP746" s="213"/>
      <c r="RHQ746" s="213"/>
      <c r="RHR746" s="213"/>
      <c r="RHS746" s="213"/>
      <c r="RHT746" s="213"/>
      <c r="RHU746" s="213"/>
      <c r="RHV746" s="213"/>
      <c r="RHW746" s="213"/>
      <c r="RHX746" s="213"/>
      <c r="RHY746" s="213"/>
      <c r="RHZ746" s="213"/>
      <c r="RIA746" s="213"/>
      <c r="RIB746" s="213"/>
      <c r="RIC746" s="213"/>
      <c r="RID746" s="213"/>
      <c r="RIE746" s="213"/>
      <c r="RIF746" s="213"/>
      <c r="RIG746" s="213"/>
      <c r="RIH746" s="213"/>
      <c r="RII746" s="213"/>
      <c r="RIJ746" s="213"/>
      <c r="RIK746" s="213"/>
      <c r="RIL746" s="213"/>
      <c r="RIM746" s="213"/>
      <c r="RIN746" s="213"/>
      <c r="RIO746" s="213"/>
      <c r="RIP746" s="213"/>
      <c r="RIQ746" s="213"/>
      <c r="RIR746" s="213"/>
      <c r="RIS746" s="213"/>
      <c r="RIT746" s="213"/>
      <c r="RIU746" s="213"/>
      <c r="RIV746" s="213"/>
      <c r="RIW746" s="213"/>
      <c r="RIX746" s="213"/>
      <c r="RIY746" s="213"/>
      <c r="RIZ746" s="213"/>
      <c r="RJA746" s="213"/>
      <c r="RJB746" s="213"/>
      <c r="RJC746" s="213"/>
      <c r="RJD746" s="213"/>
      <c r="RJE746" s="213"/>
      <c r="RJF746" s="213"/>
      <c r="RJG746" s="213"/>
      <c r="RJH746" s="213"/>
      <c r="RJI746" s="213"/>
      <c r="RJJ746" s="213"/>
      <c r="RJK746" s="213"/>
      <c r="RJL746" s="213"/>
      <c r="RJM746" s="213"/>
      <c r="RJN746" s="213"/>
      <c r="RJO746" s="213"/>
      <c r="RJP746" s="213"/>
      <c r="RJQ746" s="213"/>
      <c r="RJR746" s="213"/>
      <c r="RJS746" s="213"/>
      <c r="RJT746" s="213"/>
      <c r="RJU746" s="213"/>
      <c r="RJV746" s="213"/>
      <c r="RJW746" s="213"/>
      <c r="RJX746" s="213"/>
      <c r="RJY746" s="213"/>
      <c r="RJZ746" s="213"/>
      <c r="RKA746" s="213"/>
      <c r="RKB746" s="213"/>
      <c r="RKC746" s="213"/>
      <c r="RKD746" s="213"/>
      <c r="RKE746" s="213"/>
      <c r="RKF746" s="213"/>
      <c r="RKG746" s="213"/>
      <c r="RKH746" s="213"/>
      <c r="RKI746" s="213"/>
      <c r="RKJ746" s="213"/>
      <c r="RKK746" s="213"/>
      <c r="RKL746" s="213"/>
      <c r="RKM746" s="213"/>
      <c r="RKN746" s="213"/>
      <c r="RKO746" s="213"/>
      <c r="RKP746" s="213"/>
      <c r="RKQ746" s="213"/>
      <c r="RKR746" s="213"/>
      <c r="RKS746" s="213"/>
      <c r="RKT746" s="213"/>
      <c r="RKU746" s="213"/>
      <c r="RKV746" s="213"/>
      <c r="RKW746" s="213"/>
      <c r="RKX746" s="213"/>
      <c r="RKY746" s="213"/>
      <c r="RKZ746" s="213"/>
      <c r="RLA746" s="213"/>
      <c r="RLB746" s="213"/>
      <c r="RLC746" s="213"/>
      <c r="RLD746" s="213"/>
      <c r="RLE746" s="213"/>
      <c r="RLF746" s="213"/>
      <c r="RLG746" s="213"/>
      <c r="RLH746" s="213"/>
      <c r="RLI746" s="213"/>
      <c r="RLJ746" s="213"/>
      <c r="RLK746" s="213"/>
      <c r="RLL746" s="213"/>
      <c r="RLM746" s="213"/>
      <c r="RLN746" s="213"/>
      <c r="RLO746" s="213"/>
      <c r="RLP746" s="213"/>
      <c r="RLQ746" s="213"/>
      <c r="RLR746" s="213"/>
      <c r="RLS746" s="213"/>
      <c r="RLT746" s="213"/>
      <c r="RLU746" s="213"/>
      <c r="RLV746" s="213"/>
      <c r="RLW746" s="213"/>
      <c r="RLX746" s="213"/>
      <c r="RLY746" s="213"/>
      <c r="RLZ746" s="213"/>
      <c r="RMA746" s="213"/>
      <c r="RMB746" s="213"/>
      <c r="RMC746" s="213"/>
      <c r="RMD746" s="213"/>
      <c r="RME746" s="213"/>
      <c r="RMF746" s="213"/>
      <c r="RMG746" s="213"/>
      <c r="RMH746" s="213"/>
      <c r="RMI746" s="213"/>
      <c r="RMJ746" s="213"/>
      <c r="RMK746" s="213"/>
      <c r="RML746" s="213"/>
      <c r="RMM746" s="213"/>
      <c r="RMN746" s="213"/>
      <c r="RMO746" s="213"/>
      <c r="RMP746" s="213"/>
      <c r="RMQ746" s="213"/>
      <c r="RMR746" s="213"/>
      <c r="RMS746" s="213"/>
      <c r="RMT746" s="213"/>
      <c r="RMU746" s="213"/>
      <c r="RMV746" s="213"/>
      <c r="RMW746" s="213"/>
      <c r="RMX746" s="213"/>
      <c r="RMY746" s="213"/>
      <c r="RMZ746" s="213"/>
      <c r="RNA746" s="213"/>
      <c r="RNB746" s="213"/>
      <c r="RNC746" s="213"/>
      <c r="RND746" s="213"/>
      <c r="RNE746" s="213"/>
      <c r="RNF746" s="213"/>
      <c r="RNG746" s="213"/>
      <c r="RNH746" s="213"/>
      <c r="RNI746" s="213"/>
      <c r="RNJ746" s="213"/>
      <c r="RNK746" s="213"/>
      <c r="RNL746" s="213"/>
      <c r="RNM746" s="213"/>
      <c r="RNN746" s="213"/>
      <c r="RNO746" s="213"/>
      <c r="RNP746" s="213"/>
      <c r="RNQ746" s="213"/>
      <c r="RNR746" s="213"/>
      <c r="RNS746" s="213"/>
      <c r="RNT746" s="213"/>
      <c r="RNU746" s="213"/>
      <c r="RNV746" s="213"/>
      <c r="RNW746" s="213"/>
      <c r="RNX746" s="213"/>
      <c r="RNY746" s="213"/>
      <c r="RNZ746" s="213"/>
      <c r="ROA746" s="213"/>
      <c r="ROB746" s="213"/>
      <c r="ROC746" s="213"/>
      <c r="ROD746" s="213"/>
      <c r="ROE746" s="213"/>
      <c r="ROF746" s="213"/>
      <c r="ROG746" s="213"/>
      <c r="ROH746" s="213"/>
      <c r="ROI746" s="213"/>
      <c r="ROJ746" s="213"/>
      <c r="ROK746" s="213"/>
      <c r="ROL746" s="213"/>
      <c r="ROM746" s="213"/>
      <c r="RON746" s="213"/>
      <c r="ROO746" s="213"/>
      <c r="ROP746" s="213"/>
      <c r="ROQ746" s="213"/>
      <c r="ROR746" s="213"/>
      <c r="ROS746" s="213"/>
      <c r="ROT746" s="213"/>
      <c r="ROU746" s="213"/>
      <c r="ROV746" s="213"/>
      <c r="ROW746" s="213"/>
      <c r="ROX746" s="213"/>
      <c r="ROY746" s="213"/>
      <c r="ROZ746" s="213"/>
      <c r="RPA746" s="213"/>
      <c r="RPB746" s="213"/>
      <c r="RPC746" s="213"/>
      <c r="RPD746" s="213"/>
      <c r="RPE746" s="213"/>
      <c r="RPF746" s="213"/>
      <c r="RPG746" s="213"/>
      <c r="RPH746" s="213"/>
      <c r="RPI746" s="213"/>
      <c r="RPJ746" s="213"/>
      <c r="RPK746" s="213"/>
      <c r="RPL746" s="213"/>
      <c r="RPM746" s="213"/>
      <c r="RPN746" s="213"/>
      <c r="RPO746" s="213"/>
      <c r="RPP746" s="213"/>
      <c r="RPQ746" s="213"/>
      <c r="RPR746" s="213"/>
      <c r="RPS746" s="213"/>
      <c r="RPT746" s="213"/>
      <c r="RPU746" s="213"/>
      <c r="RPV746" s="213"/>
      <c r="RPW746" s="213"/>
      <c r="RPX746" s="213"/>
      <c r="RPY746" s="213"/>
      <c r="RPZ746" s="213"/>
      <c r="RQA746" s="213"/>
      <c r="RQB746" s="213"/>
      <c r="RQC746" s="213"/>
      <c r="RQD746" s="213"/>
      <c r="RQE746" s="213"/>
      <c r="RQF746" s="213"/>
      <c r="RQG746" s="213"/>
      <c r="RQH746" s="213"/>
      <c r="RQI746" s="213"/>
      <c r="RQJ746" s="213"/>
      <c r="RQK746" s="213"/>
      <c r="RQL746" s="213"/>
      <c r="RQM746" s="213"/>
      <c r="RQN746" s="213"/>
      <c r="RQO746" s="213"/>
      <c r="RQP746" s="213"/>
      <c r="RQQ746" s="213"/>
      <c r="RQR746" s="213"/>
      <c r="RQS746" s="213"/>
      <c r="RQT746" s="213"/>
      <c r="RQU746" s="213"/>
      <c r="RQV746" s="213"/>
      <c r="RQW746" s="213"/>
      <c r="RQX746" s="213"/>
      <c r="RQY746" s="213"/>
      <c r="RQZ746" s="213"/>
      <c r="RRA746" s="213"/>
      <c r="RRB746" s="213"/>
      <c r="RRC746" s="213"/>
      <c r="RRD746" s="213"/>
      <c r="RRE746" s="213"/>
      <c r="RRF746" s="213"/>
      <c r="RRG746" s="213"/>
      <c r="RRH746" s="213"/>
      <c r="RRI746" s="213"/>
      <c r="RRJ746" s="213"/>
      <c r="RRK746" s="213"/>
      <c r="RRL746" s="213"/>
      <c r="RRM746" s="213"/>
      <c r="RRN746" s="213"/>
      <c r="RRO746" s="213"/>
      <c r="RRP746" s="213"/>
      <c r="RRQ746" s="213"/>
      <c r="RRR746" s="213"/>
      <c r="RRS746" s="213"/>
      <c r="RRT746" s="213"/>
      <c r="RRU746" s="213"/>
      <c r="RRV746" s="213"/>
      <c r="RRW746" s="213"/>
      <c r="RRX746" s="213"/>
      <c r="RRY746" s="213"/>
      <c r="RRZ746" s="213"/>
      <c r="RSA746" s="213"/>
      <c r="RSB746" s="213"/>
      <c r="RSC746" s="213"/>
      <c r="RSD746" s="213"/>
      <c r="RSE746" s="213"/>
      <c r="RSF746" s="213"/>
      <c r="RSG746" s="213"/>
      <c r="RSH746" s="213"/>
      <c r="RSI746" s="213"/>
      <c r="RSJ746" s="213"/>
      <c r="RSK746" s="213"/>
      <c r="RSL746" s="213"/>
      <c r="RSM746" s="213"/>
      <c r="RSN746" s="213"/>
      <c r="RSO746" s="213"/>
      <c r="RSP746" s="213"/>
      <c r="RSQ746" s="213"/>
      <c r="RSR746" s="213"/>
      <c r="RSS746" s="213"/>
      <c r="RST746" s="213"/>
      <c r="RSU746" s="213"/>
      <c r="RSV746" s="213"/>
      <c r="RSW746" s="213"/>
      <c r="RSX746" s="213"/>
      <c r="RSY746" s="213"/>
      <c r="RSZ746" s="213"/>
      <c r="RTA746" s="213"/>
      <c r="RTB746" s="213"/>
      <c r="RTC746" s="213"/>
      <c r="RTD746" s="213"/>
      <c r="RTE746" s="213"/>
      <c r="RTF746" s="213"/>
      <c r="RTG746" s="213"/>
      <c r="RTH746" s="213"/>
      <c r="RTI746" s="213"/>
      <c r="RTJ746" s="213"/>
      <c r="RTK746" s="213"/>
      <c r="RTL746" s="213"/>
      <c r="RTM746" s="213"/>
      <c r="RTN746" s="213"/>
      <c r="RTO746" s="213"/>
      <c r="RTP746" s="213"/>
      <c r="RTQ746" s="213"/>
      <c r="RTR746" s="213"/>
      <c r="RTS746" s="213"/>
      <c r="RTT746" s="213"/>
      <c r="RTU746" s="213"/>
      <c r="RTV746" s="213"/>
      <c r="RTW746" s="213"/>
      <c r="RTX746" s="213"/>
      <c r="RTY746" s="213"/>
      <c r="RTZ746" s="213"/>
      <c r="RUA746" s="213"/>
      <c r="RUB746" s="213"/>
      <c r="RUC746" s="213"/>
      <c r="RUD746" s="213"/>
      <c r="RUE746" s="213"/>
      <c r="RUF746" s="213"/>
      <c r="RUG746" s="213"/>
      <c r="RUH746" s="213"/>
      <c r="RUI746" s="213"/>
      <c r="RUJ746" s="213"/>
      <c r="RUK746" s="213"/>
      <c r="RUL746" s="213"/>
      <c r="RUM746" s="213"/>
      <c r="RUN746" s="213"/>
      <c r="RUO746" s="213"/>
      <c r="RUP746" s="213"/>
      <c r="RUQ746" s="213"/>
      <c r="RUR746" s="213"/>
      <c r="RUS746" s="213"/>
      <c r="RUT746" s="213"/>
      <c r="RUU746" s="213"/>
      <c r="RUV746" s="213"/>
      <c r="RUW746" s="213"/>
      <c r="RUX746" s="213"/>
      <c r="RUY746" s="213"/>
      <c r="RUZ746" s="213"/>
      <c r="RVA746" s="213"/>
      <c r="RVB746" s="213"/>
      <c r="RVC746" s="213"/>
      <c r="RVD746" s="213"/>
      <c r="RVE746" s="213"/>
      <c r="RVF746" s="213"/>
      <c r="RVG746" s="213"/>
      <c r="RVH746" s="213"/>
      <c r="RVI746" s="213"/>
      <c r="RVJ746" s="213"/>
      <c r="RVK746" s="213"/>
      <c r="RVL746" s="213"/>
      <c r="RVM746" s="213"/>
      <c r="RVN746" s="213"/>
      <c r="RVO746" s="213"/>
      <c r="RVP746" s="213"/>
      <c r="RVQ746" s="213"/>
      <c r="RVR746" s="213"/>
      <c r="RVS746" s="213"/>
      <c r="RVT746" s="213"/>
      <c r="RVU746" s="213"/>
      <c r="RVV746" s="213"/>
      <c r="RVW746" s="213"/>
      <c r="RVX746" s="213"/>
      <c r="RVY746" s="213"/>
      <c r="RVZ746" s="213"/>
      <c r="RWA746" s="213"/>
      <c r="RWB746" s="213"/>
      <c r="RWC746" s="213"/>
      <c r="RWD746" s="213"/>
      <c r="RWE746" s="213"/>
      <c r="RWF746" s="213"/>
      <c r="RWG746" s="213"/>
      <c r="RWH746" s="213"/>
      <c r="RWI746" s="213"/>
      <c r="RWJ746" s="213"/>
      <c r="RWK746" s="213"/>
      <c r="RWL746" s="213"/>
      <c r="RWM746" s="213"/>
      <c r="RWN746" s="213"/>
      <c r="RWO746" s="213"/>
      <c r="RWP746" s="213"/>
      <c r="RWQ746" s="213"/>
      <c r="RWR746" s="213"/>
      <c r="RWS746" s="213"/>
      <c r="RWT746" s="213"/>
      <c r="RWU746" s="213"/>
      <c r="RWV746" s="213"/>
      <c r="RWW746" s="213"/>
      <c r="RWX746" s="213"/>
      <c r="RWY746" s="213"/>
      <c r="RWZ746" s="213"/>
      <c r="RXA746" s="213"/>
      <c r="RXB746" s="213"/>
      <c r="RXC746" s="213"/>
      <c r="RXD746" s="213"/>
      <c r="RXE746" s="213"/>
      <c r="RXF746" s="213"/>
      <c r="RXG746" s="213"/>
      <c r="RXH746" s="213"/>
      <c r="RXI746" s="213"/>
      <c r="RXJ746" s="213"/>
      <c r="RXK746" s="213"/>
      <c r="RXL746" s="213"/>
      <c r="RXM746" s="213"/>
      <c r="RXN746" s="213"/>
      <c r="RXO746" s="213"/>
      <c r="RXP746" s="213"/>
      <c r="RXQ746" s="213"/>
      <c r="RXR746" s="213"/>
      <c r="RXS746" s="213"/>
      <c r="RXT746" s="213"/>
      <c r="RXU746" s="213"/>
      <c r="RXV746" s="213"/>
      <c r="RXW746" s="213"/>
      <c r="RXX746" s="213"/>
      <c r="RXY746" s="213"/>
      <c r="RXZ746" s="213"/>
      <c r="RYA746" s="213"/>
      <c r="RYB746" s="213"/>
      <c r="RYC746" s="213"/>
      <c r="RYD746" s="213"/>
      <c r="RYE746" s="213"/>
      <c r="RYF746" s="213"/>
      <c r="RYG746" s="213"/>
      <c r="RYH746" s="213"/>
      <c r="RYI746" s="213"/>
      <c r="RYJ746" s="213"/>
      <c r="RYK746" s="213"/>
      <c r="RYL746" s="213"/>
      <c r="RYM746" s="213"/>
      <c r="RYN746" s="213"/>
      <c r="RYO746" s="213"/>
      <c r="RYP746" s="213"/>
      <c r="RYQ746" s="213"/>
      <c r="RYR746" s="213"/>
      <c r="RYS746" s="213"/>
      <c r="RYT746" s="213"/>
      <c r="RYU746" s="213"/>
      <c r="RYV746" s="213"/>
      <c r="RYW746" s="213"/>
      <c r="RYX746" s="213"/>
      <c r="RYY746" s="213"/>
      <c r="RYZ746" s="213"/>
      <c r="RZA746" s="213"/>
      <c r="RZB746" s="213"/>
      <c r="RZC746" s="213"/>
      <c r="RZD746" s="213"/>
      <c r="RZE746" s="213"/>
      <c r="RZF746" s="213"/>
      <c r="RZG746" s="213"/>
      <c r="RZH746" s="213"/>
      <c r="RZI746" s="213"/>
      <c r="RZJ746" s="213"/>
      <c r="RZK746" s="213"/>
      <c r="RZL746" s="213"/>
      <c r="RZM746" s="213"/>
      <c r="RZN746" s="213"/>
      <c r="RZO746" s="213"/>
      <c r="RZP746" s="213"/>
      <c r="RZQ746" s="213"/>
      <c r="RZR746" s="213"/>
      <c r="RZS746" s="213"/>
      <c r="RZT746" s="213"/>
      <c r="RZU746" s="213"/>
      <c r="RZV746" s="213"/>
      <c r="RZW746" s="213"/>
      <c r="RZX746" s="213"/>
      <c r="RZY746" s="213"/>
      <c r="RZZ746" s="213"/>
      <c r="SAA746" s="213"/>
      <c r="SAB746" s="213"/>
      <c r="SAC746" s="213"/>
      <c r="SAD746" s="213"/>
      <c r="SAE746" s="213"/>
      <c r="SAF746" s="213"/>
      <c r="SAG746" s="213"/>
      <c r="SAH746" s="213"/>
      <c r="SAI746" s="213"/>
      <c r="SAJ746" s="213"/>
      <c r="SAK746" s="213"/>
      <c r="SAL746" s="213"/>
      <c r="SAM746" s="213"/>
      <c r="SAN746" s="213"/>
      <c r="SAO746" s="213"/>
      <c r="SAP746" s="213"/>
      <c r="SAQ746" s="213"/>
      <c r="SAR746" s="213"/>
      <c r="SAS746" s="213"/>
      <c r="SAT746" s="213"/>
      <c r="SAU746" s="213"/>
      <c r="SAV746" s="213"/>
      <c r="SAW746" s="213"/>
      <c r="SAX746" s="213"/>
      <c r="SAY746" s="213"/>
      <c r="SAZ746" s="213"/>
      <c r="SBA746" s="213"/>
      <c r="SBB746" s="213"/>
      <c r="SBC746" s="213"/>
      <c r="SBD746" s="213"/>
      <c r="SBE746" s="213"/>
      <c r="SBF746" s="213"/>
      <c r="SBG746" s="213"/>
      <c r="SBH746" s="213"/>
      <c r="SBI746" s="213"/>
      <c r="SBJ746" s="213"/>
      <c r="SBK746" s="213"/>
      <c r="SBL746" s="213"/>
      <c r="SBM746" s="213"/>
      <c r="SBN746" s="213"/>
      <c r="SBO746" s="213"/>
      <c r="SBP746" s="213"/>
      <c r="SBQ746" s="213"/>
      <c r="SBR746" s="213"/>
      <c r="SBS746" s="213"/>
      <c r="SBT746" s="213"/>
      <c r="SBU746" s="213"/>
      <c r="SBV746" s="213"/>
      <c r="SBW746" s="213"/>
      <c r="SBX746" s="213"/>
      <c r="SBY746" s="213"/>
      <c r="SBZ746" s="213"/>
      <c r="SCA746" s="213"/>
      <c r="SCB746" s="213"/>
      <c r="SCC746" s="213"/>
      <c r="SCD746" s="213"/>
      <c r="SCE746" s="213"/>
      <c r="SCF746" s="213"/>
      <c r="SCG746" s="213"/>
      <c r="SCH746" s="213"/>
      <c r="SCI746" s="213"/>
      <c r="SCJ746" s="213"/>
      <c r="SCK746" s="213"/>
      <c r="SCL746" s="213"/>
      <c r="SCM746" s="213"/>
      <c r="SCN746" s="213"/>
      <c r="SCO746" s="213"/>
      <c r="SCP746" s="213"/>
      <c r="SCQ746" s="213"/>
      <c r="SCR746" s="213"/>
      <c r="SCS746" s="213"/>
      <c r="SCT746" s="213"/>
      <c r="SCU746" s="213"/>
      <c r="SCV746" s="213"/>
      <c r="SCW746" s="213"/>
      <c r="SCX746" s="213"/>
      <c r="SCY746" s="213"/>
      <c r="SCZ746" s="213"/>
      <c r="SDA746" s="213"/>
      <c r="SDB746" s="213"/>
      <c r="SDC746" s="213"/>
      <c r="SDD746" s="213"/>
      <c r="SDE746" s="213"/>
      <c r="SDF746" s="213"/>
      <c r="SDG746" s="213"/>
      <c r="SDH746" s="213"/>
      <c r="SDI746" s="213"/>
      <c r="SDJ746" s="213"/>
      <c r="SDK746" s="213"/>
      <c r="SDL746" s="213"/>
      <c r="SDM746" s="213"/>
      <c r="SDN746" s="213"/>
      <c r="SDO746" s="213"/>
      <c r="SDP746" s="213"/>
      <c r="SDQ746" s="213"/>
      <c r="SDR746" s="213"/>
      <c r="SDS746" s="213"/>
      <c r="SDT746" s="213"/>
      <c r="SDU746" s="213"/>
      <c r="SDV746" s="213"/>
      <c r="SDW746" s="213"/>
      <c r="SDX746" s="213"/>
      <c r="SDY746" s="213"/>
      <c r="SDZ746" s="213"/>
      <c r="SEA746" s="213"/>
      <c r="SEB746" s="213"/>
      <c r="SEC746" s="213"/>
      <c r="SED746" s="213"/>
      <c r="SEE746" s="213"/>
      <c r="SEF746" s="213"/>
      <c r="SEG746" s="213"/>
      <c r="SEH746" s="213"/>
      <c r="SEI746" s="213"/>
      <c r="SEJ746" s="213"/>
      <c r="SEK746" s="213"/>
      <c r="SEL746" s="213"/>
      <c r="SEM746" s="213"/>
      <c r="SEN746" s="213"/>
      <c r="SEO746" s="213"/>
      <c r="SEP746" s="213"/>
      <c r="SEQ746" s="213"/>
      <c r="SER746" s="213"/>
      <c r="SES746" s="213"/>
      <c r="SET746" s="213"/>
      <c r="SEU746" s="213"/>
      <c r="SEV746" s="213"/>
      <c r="SEW746" s="213"/>
      <c r="SEX746" s="213"/>
      <c r="SEY746" s="213"/>
      <c r="SEZ746" s="213"/>
      <c r="SFA746" s="213"/>
      <c r="SFB746" s="213"/>
      <c r="SFC746" s="213"/>
      <c r="SFD746" s="213"/>
      <c r="SFE746" s="213"/>
      <c r="SFF746" s="213"/>
      <c r="SFG746" s="213"/>
      <c r="SFH746" s="213"/>
      <c r="SFI746" s="213"/>
      <c r="SFJ746" s="213"/>
      <c r="SFK746" s="213"/>
      <c r="SFL746" s="213"/>
      <c r="SFM746" s="213"/>
      <c r="SFN746" s="213"/>
      <c r="SFO746" s="213"/>
      <c r="SFP746" s="213"/>
      <c r="SFQ746" s="213"/>
      <c r="SFR746" s="213"/>
      <c r="SFS746" s="213"/>
      <c r="SFT746" s="213"/>
      <c r="SFU746" s="213"/>
      <c r="SFV746" s="213"/>
      <c r="SFW746" s="213"/>
      <c r="SFX746" s="213"/>
      <c r="SFY746" s="213"/>
      <c r="SFZ746" s="213"/>
      <c r="SGA746" s="213"/>
      <c r="SGB746" s="213"/>
      <c r="SGC746" s="213"/>
      <c r="SGD746" s="213"/>
      <c r="SGE746" s="213"/>
      <c r="SGF746" s="213"/>
      <c r="SGG746" s="213"/>
      <c r="SGH746" s="213"/>
      <c r="SGI746" s="213"/>
      <c r="SGJ746" s="213"/>
      <c r="SGK746" s="213"/>
      <c r="SGL746" s="213"/>
      <c r="SGM746" s="213"/>
      <c r="SGN746" s="213"/>
      <c r="SGO746" s="213"/>
      <c r="SGP746" s="213"/>
      <c r="SGQ746" s="213"/>
      <c r="SGR746" s="213"/>
      <c r="SGS746" s="213"/>
      <c r="SGT746" s="213"/>
      <c r="SGU746" s="213"/>
      <c r="SGV746" s="213"/>
      <c r="SGW746" s="213"/>
      <c r="SGX746" s="213"/>
      <c r="SGY746" s="213"/>
      <c r="SGZ746" s="213"/>
      <c r="SHA746" s="213"/>
      <c r="SHB746" s="213"/>
      <c r="SHC746" s="213"/>
      <c r="SHD746" s="213"/>
      <c r="SHE746" s="213"/>
      <c r="SHF746" s="213"/>
      <c r="SHG746" s="213"/>
      <c r="SHH746" s="213"/>
      <c r="SHI746" s="213"/>
      <c r="SHJ746" s="213"/>
      <c r="SHK746" s="213"/>
      <c r="SHL746" s="213"/>
      <c r="SHM746" s="213"/>
      <c r="SHN746" s="213"/>
      <c r="SHO746" s="213"/>
      <c r="SHP746" s="213"/>
      <c r="SHQ746" s="213"/>
      <c r="SHR746" s="213"/>
      <c r="SHS746" s="213"/>
      <c r="SHT746" s="213"/>
      <c r="SHU746" s="213"/>
      <c r="SHV746" s="213"/>
      <c r="SHW746" s="213"/>
      <c r="SHX746" s="213"/>
      <c r="SHY746" s="213"/>
      <c r="SHZ746" s="213"/>
      <c r="SIA746" s="213"/>
      <c r="SIB746" s="213"/>
      <c r="SIC746" s="213"/>
      <c r="SID746" s="213"/>
      <c r="SIE746" s="213"/>
      <c r="SIF746" s="213"/>
      <c r="SIG746" s="213"/>
      <c r="SIH746" s="213"/>
      <c r="SII746" s="213"/>
      <c r="SIJ746" s="213"/>
      <c r="SIK746" s="213"/>
      <c r="SIL746" s="213"/>
      <c r="SIM746" s="213"/>
      <c r="SIN746" s="213"/>
      <c r="SIO746" s="213"/>
      <c r="SIP746" s="213"/>
      <c r="SIQ746" s="213"/>
      <c r="SIR746" s="213"/>
      <c r="SIS746" s="213"/>
      <c r="SIT746" s="213"/>
      <c r="SIU746" s="213"/>
      <c r="SIV746" s="213"/>
      <c r="SIW746" s="213"/>
      <c r="SIX746" s="213"/>
      <c r="SIY746" s="213"/>
      <c r="SIZ746" s="213"/>
      <c r="SJA746" s="213"/>
      <c r="SJB746" s="213"/>
      <c r="SJC746" s="213"/>
      <c r="SJD746" s="213"/>
      <c r="SJE746" s="213"/>
      <c r="SJF746" s="213"/>
      <c r="SJG746" s="213"/>
      <c r="SJH746" s="213"/>
      <c r="SJI746" s="213"/>
      <c r="SJJ746" s="213"/>
      <c r="SJK746" s="213"/>
      <c r="SJL746" s="213"/>
      <c r="SJM746" s="213"/>
      <c r="SJN746" s="213"/>
      <c r="SJO746" s="213"/>
      <c r="SJP746" s="213"/>
      <c r="SJQ746" s="213"/>
      <c r="SJR746" s="213"/>
      <c r="SJS746" s="213"/>
      <c r="SJT746" s="213"/>
      <c r="SJU746" s="213"/>
      <c r="SJV746" s="213"/>
      <c r="SJW746" s="213"/>
      <c r="SJX746" s="213"/>
      <c r="SJY746" s="213"/>
      <c r="SJZ746" s="213"/>
      <c r="SKA746" s="213"/>
      <c r="SKB746" s="213"/>
      <c r="SKC746" s="213"/>
      <c r="SKD746" s="213"/>
      <c r="SKE746" s="213"/>
      <c r="SKF746" s="213"/>
      <c r="SKG746" s="213"/>
      <c r="SKH746" s="213"/>
      <c r="SKI746" s="213"/>
      <c r="SKJ746" s="213"/>
      <c r="SKK746" s="213"/>
      <c r="SKL746" s="213"/>
      <c r="SKM746" s="213"/>
      <c r="SKN746" s="213"/>
      <c r="SKO746" s="213"/>
      <c r="SKP746" s="213"/>
      <c r="SKQ746" s="213"/>
      <c r="SKR746" s="213"/>
      <c r="SKS746" s="213"/>
      <c r="SKT746" s="213"/>
      <c r="SKU746" s="213"/>
      <c r="SKV746" s="213"/>
      <c r="SKW746" s="213"/>
      <c r="SKX746" s="213"/>
      <c r="SKY746" s="213"/>
      <c r="SKZ746" s="213"/>
      <c r="SLA746" s="213"/>
      <c r="SLB746" s="213"/>
      <c r="SLC746" s="213"/>
      <c r="SLD746" s="213"/>
      <c r="SLE746" s="213"/>
      <c r="SLF746" s="213"/>
      <c r="SLG746" s="213"/>
      <c r="SLH746" s="213"/>
      <c r="SLI746" s="213"/>
      <c r="SLJ746" s="213"/>
      <c r="SLK746" s="213"/>
      <c r="SLL746" s="213"/>
      <c r="SLM746" s="213"/>
      <c r="SLN746" s="213"/>
      <c r="SLO746" s="213"/>
      <c r="SLP746" s="213"/>
      <c r="SLQ746" s="213"/>
      <c r="SLR746" s="213"/>
      <c r="SLS746" s="213"/>
      <c r="SLT746" s="213"/>
      <c r="SLU746" s="213"/>
      <c r="SLV746" s="213"/>
      <c r="SLW746" s="213"/>
      <c r="SLX746" s="213"/>
      <c r="SLY746" s="213"/>
      <c r="SLZ746" s="213"/>
      <c r="SMA746" s="213"/>
      <c r="SMB746" s="213"/>
      <c r="SMC746" s="213"/>
      <c r="SMD746" s="213"/>
      <c r="SME746" s="213"/>
      <c r="SMF746" s="213"/>
      <c r="SMG746" s="213"/>
      <c r="SMH746" s="213"/>
      <c r="SMI746" s="213"/>
      <c r="SMJ746" s="213"/>
      <c r="SMK746" s="213"/>
      <c r="SML746" s="213"/>
      <c r="SMM746" s="213"/>
      <c r="SMN746" s="213"/>
      <c r="SMO746" s="213"/>
      <c r="SMP746" s="213"/>
      <c r="SMQ746" s="213"/>
      <c r="SMR746" s="213"/>
      <c r="SMS746" s="213"/>
      <c r="SMT746" s="213"/>
      <c r="SMU746" s="213"/>
      <c r="SMV746" s="213"/>
      <c r="SMW746" s="213"/>
      <c r="SMX746" s="213"/>
      <c r="SMY746" s="213"/>
      <c r="SMZ746" s="213"/>
      <c r="SNA746" s="213"/>
      <c r="SNB746" s="213"/>
      <c r="SNC746" s="213"/>
      <c r="SND746" s="213"/>
      <c r="SNE746" s="213"/>
      <c r="SNF746" s="213"/>
      <c r="SNG746" s="213"/>
      <c r="SNH746" s="213"/>
      <c r="SNI746" s="213"/>
      <c r="SNJ746" s="213"/>
      <c r="SNK746" s="213"/>
      <c r="SNL746" s="213"/>
      <c r="SNM746" s="213"/>
      <c r="SNN746" s="213"/>
      <c r="SNO746" s="213"/>
      <c r="SNP746" s="213"/>
      <c r="SNQ746" s="213"/>
      <c r="SNR746" s="213"/>
      <c r="SNS746" s="213"/>
      <c r="SNT746" s="213"/>
      <c r="SNU746" s="213"/>
      <c r="SNV746" s="213"/>
      <c r="SNW746" s="213"/>
      <c r="SNX746" s="213"/>
      <c r="SNY746" s="213"/>
      <c r="SNZ746" s="213"/>
      <c r="SOA746" s="213"/>
      <c r="SOB746" s="213"/>
      <c r="SOC746" s="213"/>
      <c r="SOD746" s="213"/>
      <c r="SOE746" s="213"/>
      <c r="SOF746" s="213"/>
      <c r="SOG746" s="213"/>
      <c r="SOH746" s="213"/>
      <c r="SOI746" s="213"/>
      <c r="SOJ746" s="213"/>
      <c r="SOK746" s="213"/>
      <c r="SOL746" s="213"/>
      <c r="SOM746" s="213"/>
      <c r="SON746" s="213"/>
      <c r="SOO746" s="213"/>
      <c r="SOP746" s="213"/>
      <c r="SOQ746" s="213"/>
      <c r="SOR746" s="213"/>
      <c r="SOS746" s="213"/>
      <c r="SOT746" s="213"/>
      <c r="SOU746" s="213"/>
      <c r="SOV746" s="213"/>
      <c r="SOW746" s="213"/>
      <c r="SOX746" s="213"/>
      <c r="SOY746" s="213"/>
      <c r="SOZ746" s="213"/>
      <c r="SPA746" s="213"/>
      <c r="SPB746" s="213"/>
      <c r="SPC746" s="213"/>
      <c r="SPD746" s="213"/>
      <c r="SPE746" s="213"/>
      <c r="SPF746" s="213"/>
      <c r="SPG746" s="213"/>
      <c r="SPH746" s="213"/>
      <c r="SPI746" s="213"/>
      <c r="SPJ746" s="213"/>
      <c r="SPK746" s="213"/>
      <c r="SPL746" s="213"/>
      <c r="SPM746" s="213"/>
      <c r="SPN746" s="213"/>
      <c r="SPO746" s="213"/>
      <c r="SPP746" s="213"/>
      <c r="SPQ746" s="213"/>
      <c r="SPR746" s="213"/>
      <c r="SPS746" s="213"/>
      <c r="SPT746" s="213"/>
      <c r="SPU746" s="213"/>
      <c r="SPV746" s="213"/>
      <c r="SPW746" s="213"/>
      <c r="SPX746" s="213"/>
      <c r="SPY746" s="213"/>
      <c r="SPZ746" s="213"/>
      <c r="SQA746" s="213"/>
      <c r="SQB746" s="213"/>
      <c r="SQC746" s="213"/>
      <c r="SQD746" s="213"/>
      <c r="SQE746" s="213"/>
      <c r="SQF746" s="213"/>
      <c r="SQG746" s="213"/>
      <c r="SQH746" s="213"/>
      <c r="SQI746" s="213"/>
      <c r="SQJ746" s="213"/>
      <c r="SQK746" s="213"/>
      <c r="SQL746" s="213"/>
      <c r="SQM746" s="213"/>
      <c r="SQN746" s="213"/>
      <c r="SQO746" s="213"/>
      <c r="SQP746" s="213"/>
      <c r="SQQ746" s="213"/>
      <c r="SQR746" s="213"/>
      <c r="SQS746" s="213"/>
      <c r="SQT746" s="213"/>
      <c r="SQU746" s="213"/>
      <c r="SQV746" s="213"/>
      <c r="SQW746" s="213"/>
      <c r="SQX746" s="213"/>
      <c r="SQY746" s="213"/>
      <c r="SQZ746" s="213"/>
      <c r="SRA746" s="213"/>
      <c r="SRB746" s="213"/>
      <c r="SRC746" s="213"/>
      <c r="SRD746" s="213"/>
      <c r="SRE746" s="213"/>
      <c r="SRF746" s="213"/>
      <c r="SRG746" s="213"/>
      <c r="SRH746" s="213"/>
      <c r="SRI746" s="213"/>
      <c r="SRJ746" s="213"/>
      <c r="SRK746" s="213"/>
      <c r="SRL746" s="213"/>
      <c r="SRM746" s="213"/>
      <c r="SRN746" s="213"/>
      <c r="SRO746" s="213"/>
      <c r="SRP746" s="213"/>
      <c r="SRQ746" s="213"/>
      <c r="SRR746" s="213"/>
      <c r="SRS746" s="213"/>
      <c r="SRT746" s="213"/>
      <c r="SRU746" s="213"/>
      <c r="SRV746" s="213"/>
      <c r="SRW746" s="213"/>
      <c r="SRX746" s="213"/>
      <c r="SRY746" s="213"/>
      <c r="SRZ746" s="213"/>
      <c r="SSA746" s="213"/>
      <c r="SSB746" s="213"/>
      <c r="SSC746" s="213"/>
      <c r="SSD746" s="213"/>
      <c r="SSE746" s="213"/>
      <c r="SSF746" s="213"/>
      <c r="SSG746" s="213"/>
      <c r="SSH746" s="213"/>
      <c r="SSI746" s="213"/>
      <c r="SSJ746" s="213"/>
      <c r="SSK746" s="213"/>
      <c r="SSL746" s="213"/>
      <c r="SSM746" s="213"/>
      <c r="SSN746" s="213"/>
      <c r="SSO746" s="213"/>
      <c r="SSP746" s="213"/>
      <c r="SSQ746" s="213"/>
      <c r="SSR746" s="213"/>
      <c r="SSS746" s="213"/>
      <c r="SST746" s="213"/>
      <c r="SSU746" s="213"/>
      <c r="SSV746" s="213"/>
      <c r="SSW746" s="213"/>
      <c r="SSX746" s="213"/>
      <c r="SSY746" s="213"/>
      <c r="SSZ746" s="213"/>
      <c r="STA746" s="213"/>
      <c r="STB746" s="213"/>
      <c r="STC746" s="213"/>
      <c r="STD746" s="213"/>
      <c r="STE746" s="213"/>
      <c r="STF746" s="213"/>
      <c r="STG746" s="213"/>
      <c r="STH746" s="213"/>
      <c r="STI746" s="213"/>
      <c r="STJ746" s="213"/>
      <c r="STK746" s="213"/>
      <c r="STL746" s="213"/>
      <c r="STM746" s="213"/>
      <c r="STN746" s="213"/>
      <c r="STO746" s="213"/>
      <c r="STP746" s="213"/>
      <c r="STQ746" s="213"/>
      <c r="STR746" s="213"/>
      <c r="STS746" s="213"/>
      <c r="STT746" s="213"/>
      <c r="STU746" s="213"/>
      <c r="STV746" s="213"/>
      <c r="STW746" s="213"/>
      <c r="STX746" s="213"/>
      <c r="STY746" s="213"/>
      <c r="STZ746" s="213"/>
      <c r="SUA746" s="213"/>
      <c r="SUB746" s="213"/>
      <c r="SUC746" s="213"/>
      <c r="SUD746" s="213"/>
      <c r="SUE746" s="213"/>
      <c r="SUF746" s="213"/>
      <c r="SUG746" s="213"/>
      <c r="SUH746" s="213"/>
      <c r="SUI746" s="213"/>
      <c r="SUJ746" s="213"/>
      <c r="SUK746" s="213"/>
      <c r="SUL746" s="213"/>
      <c r="SUM746" s="213"/>
      <c r="SUN746" s="213"/>
      <c r="SUO746" s="213"/>
      <c r="SUP746" s="213"/>
      <c r="SUQ746" s="213"/>
      <c r="SUR746" s="213"/>
      <c r="SUS746" s="213"/>
      <c r="SUT746" s="213"/>
      <c r="SUU746" s="213"/>
      <c r="SUV746" s="213"/>
      <c r="SUW746" s="213"/>
      <c r="SUX746" s="213"/>
      <c r="SUY746" s="213"/>
      <c r="SUZ746" s="213"/>
      <c r="SVA746" s="213"/>
      <c r="SVB746" s="213"/>
      <c r="SVC746" s="213"/>
      <c r="SVD746" s="213"/>
      <c r="SVE746" s="213"/>
      <c r="SVF746" s="213"/>
      <c r="SVG746" s="213"/>
      <c r="SVH746" s="213"/>
      <c r="SVI746" s="213"/>
      <c r="SVJ746" s="213"/>
      <c r="SVK746" s="213"/>
      <c r="SVL746" s="213"/>
      <c r="SVM746" s="213"/>
      <c r="SVN746" s="213"/>
      <c r="SVO746" s="213"/>
      <c r="SVP746" s="213"/>
      <c r="SVQ746" s="213"/>
      <c r="SVR746" s="213"/>
      <c r="SVS746" s="213"/>
      <c r="SVT746" s="213"/>
      <c r="SVU746" s="213"/>
      <c r="SVV746" s="213"/>
      <c r="SVW746" s="213"/>
      <c r="SVX746" s="213"/>
      <c r="SVY746" s="213"/>
      <c r="SVZ746" s="213"/>
      <c r="SWA746" s="213"/>
      <c r="SWB746" s="213"/>
      <c r="SWC746" s="213"/>
      <c r="SWD746" s="213"/>
      <c r="SWE746" s="213"/>
      <c r="SWF746" s="213"/>
      <c r="SWG746" s="213"/>
      <c r="SWH746" s="213"/>
      <c r="SWI746" s="213"/>
      <c r="SWJ746" s="213"/>
      <c r="SWK746" s="213"/>
      <c r="SWL746" s="213"/>
      <c r="SWM746" s="213"/>
      <c r="SWN746" s="213"/>
      <c r="SWO746" s="213"/>
      <c r="SWP746" s="213"/>
      <c r="SWQ746" s="213"/>
      <c r="SWR746" s="213"/>
      <c r="SWS746" s="213"/>
      <c r="SWT746" s="213"/>
      <c r="SWU746" s="213"/>
      <c r="SWV746" s="213"/>
      <c r="SWW746" s="213"/>
      <c r="SWX746" s="213"/>
      <c r="SWY746" s="213"/>
      <c r="SWZ746" s="213"/>
      <c r="SXA746" s="213"/>
      <c r="SXB746" s="213"/>
      <c r="SXC746" s="213"/>
      <c r="SXD746" s="213"/>
      <c r="SXE746" s="213"/>
      <c r="SXF746" s="213"/>
      <c r="SXG746" s="213"/>
      <c r="SXH746" s="213"/>
      <c r="SXI746" s="213"/>
      <c r="SXJ746" s="213"/>
      <c r="SXK746" s="213"/>
      <c r="SXL746" s="213"/>
      <c r="SXM746" s="213"/>
      <c r="SXN746" s="213"/>
      <c r="SXO746" s="213"/>
      <c r="SXP746" s="213"/>
      <c r="SXQ746" s="213"/>
      <c r="SXR746" s="213"/>
      <c r="SXS746" s="213"/>
      <c r="SXT746" s="213"/>
      <c r="SXU746" s="213"/>
      <c r="SXV746" s="213"/>
      <c r="SXW746" s="213"/>
      <c r="SXX746" s="213"/>
      <c r="SXY746" s="213"/>
      <c r="SXZ746" s="213"/>
      <c r="SYA746" s="213"/>
      <c r="SYB746" s="213"/>
      <c r="SYC746" s="213"/>
      <c r="SYD746" s="213"/>
      <c r="SYE746" s="213"/>
      <c r="SYF746" s="213"/>
      <c r="SYG746" s="213"/>
      <c r="SYH746" s="213"/>
      <c r="SYI746" s="213"/>
      <c r="SYJ746" s="213"/>
      <c r="SYK746" s="213"/>
      <c r="SYL746" s="213"/>
      <c r="SYM746" s="213"/>
      <c r="SYN746" s="213"/>
      <c r="SYO746" s="213"/>
      <c r="SYP746" s="213"/>
      <c r="SYQ746" s="213"/>
      <c r="SYR746" s="213"/>
      <c r="SYS746" s="213"/>
      <c r="SYT746" s="213"/>
      <c r="SYU746" s="213"/>
      <c r="SYV746" s="213"/>
      <c r="SYW746" s="213"/>
      <c r="SYX746" s="213"/>
      <c r="SYY746" s="213"/>
      <c r="SYZ746" s="213"/>
      <c r="SZA746" s="213"/>
      <c r="SZB746" s="213"/>
      <c r="SZC746" s="213"/>
      <c r="SZD746" s="213"/>
      <c r="SZE746" s="213"/>
      <c r="SZF746" s="213"/>
      <c r="SZG746" s="213"/>
      <c r="SZH746" s="213"/>
      <c r="SZI746" s="213"/>
      <c r="SZJ746" s="213"/>
      <c r="SZK746" s="213"/>
      <c r="SZL746" s="213"/>
      <c r="SZM746" s="213"/>
      <c r="SZN746" s="213"/>
      <c r="SZO746" s="213"/>
      <c r="SZP746" s="213"/>
      <c r="SZQ746" s="213"/>
      <c r="SZR746" s="213"/>
      <c r="SZS746" s="213"/>
      <c r="SZT746" s="213"/>
      <c r="SZU746" s="213"/>
      <c r="SZV746" s="213"/>
      <c r="SZW746" s="213"/>
      <c r="SZX746" s="213"/>
      <c r="SZY746" s="213"/>
      <c r="SZZ746" s="213"/>
      <c r="TAA746" s="213"/>
      <c r="TAB746" s="213"/>
      <c r="TAC746" s="213"/>
      <c r="TAD746" s="213"/>
      <c r="TAE746" s="213"/>
      <c r="TAF746" s="213"/>
      <c r="TAG746" s="213"/>
      <c r="TAH746" s="213"/>
      <c r="TAI746" s="213"/>
      <c r="TAJ746" s="213"/>
      <c r="TAK746" s="213"/>
      <c r="TAL746" s="213"/>
      <c r="TAM746" s="213"/>
      <c r="TAN746" s="213"/>
      <c r="TAO746" s="213"/>
      <c r="TAP746" s="213"/>
      <c r="TAQ746" s="213"/>
      <c r="TAR746" s="213"/>
      <c r="TAS746" s="213"/>
      <c r="TAT746" s="213"/>
      <c r="TAU746" s="213"/>
      <c r="TAV746" s="213"/>
      <c r="TAW746" s="213"/>
      <c r="TAX746" s="213"/>
      <c r="TAY746" s="213"/>
      <c r="TAZ746" s="213"/>
      <c r="TBA746" s="213"/>
      <c r="TBB746" s="213"/>
      <c r="TBC746" s="213"/>
      <c r="TBD746" s="213"/>
      <c r="TBE746" s="213"/>
      <c r="TBF746" s="213"/>
      <c r="TBG746" s="213"/>
      <c r="TBH746" s="213"/>
      <c r="TBI746" s="213"/>
      <c r="TBJ746" s="213"/>
      <c r="TBK746" s="213"/>
      <c r="TBL746" s="213"/>
      <c r="TBM746" s="213"/>
      <c r="TBN746" s="213"/>
      <c r="TBO746" s="213"/>
      <c r="TBP746" s="213"/>
      <c r="TBQ746" s="213"/>
      <c r="TBR746" s="213"/>
      <c r="TBS746" s="213"/>
      <c r="TBT746" s="213"/>
      <c r="TBU746" s="213"/>
      <c r="TBV746" s="213"/>
      <c r="TBW746" s="213"/>
      <c r="TBX746" s="213"/>
      <c r="TBY746" s="213"/>
      <c r="TBZ746" s="213"/>
      <c r="TCA746" s="213"/>
      <c r="TCB746" s="213"/>
      <c r="TCC746" s="213"/>
      <c r="TCD746" s="213"/>
      <c r="TCE746" s="213"/>
      <c r="TCF746" s="213"/>
      <c r="TCG746" s="213"/>
      <c r="TCH746" s="213"/>
      <c r="TCI746" s="213"/>
      <c r="TCJ746" s="213"/>
      <c r="TCK746" s="213"/>
      <c r="TCL746" s="213"/>
      <c r="TCM746" s="213"/>
      <c r="TCN746" s="213"/>
      <c r="TCO746" s="213"/>
      <c r="TCP746" s="213"/>
      <c r="TCQ746" s="213"/>
      <c r="TCR746" s="213"/>
      <c r="TCS746" s="213"/>
      <c r="TCT746" s="213"/>
      <c r="TCU746" s="213"/>
      <c r="TCV746" s="213"/>
      <c r="TCW746" s="213"/>
      <c r="TCX746" s="213"/>
      <c r="TCY746" s="213"/>
      <c r="TCZ746" s="213"/>
      <c r="TDA746" s="213"/>
      <c r="TDB746" s="213"/>
      <c r="TDC746" s="213"/>
      <c r="TDD746" s="213"/>
      <c r="TDE746" s="213"/>
      <c r="TDF746" s="213"/>
      <c r="TDG746" s="213"/>
      <c r="TDH746" s="213"/>
      <c r="TDI746" s="213"/>
      <c r="TDJ746" s="213"/>
      <c r="TDK746" s="213"/>
      <c r="TDL746" s="213"/>
      <c r="TDM746" s="213"/>
      <c r="TDN746" s="213"/>
      <c r="TDO746" s="213"/>
      <c r="TDP746" s="213"/>
      <c r="TDQ746" s="213"/>
      <c r="TDR746" s="213"/>
      <c r="TDS746" s="213"/>
      <c r="TDT746" s="213"/>
      <c r="TDU746" s="213"/>
      <c r="TDV746" s="213"/>
      <c r="TDW746" s="213"/>
      <c r="TDX746" s="213"/>
      <c r="TDY746" s="213"/>
      <c r="TDZ746" s="213"/>
      <c r="TEA746" s="213"/>
      <c r="TEB746" s="213"/>
      <c r="TEC746" s="213"/>
      <c r="TED746" s="213"/>
      <c r="TEE746" s="213"/>
      <c r="TEF746" s="213"/>
      <c r="TEG746" s="213"/>
      <c r="TEH746" s="213"/>
      <c r="TEI746" s="213"/>
      <c r="TEJ746" s="213"/>
      <c r="TEK746" s="213"/>
      <c r="TEL746" s="213"/>
      <c r="TEM746" s="213"/>
      <c r="TEN746" s="213"/>
      <c r="TEO746" s="213"/>
      <c r="TEP746" s="213"/>
      <c r="TEQ746" s="213"/>
      <c r="TER746" s="213"/>
      <c r="TES746" s="213"/>
      <c r="TET746" s="213"/>
      <c r="TEU746" s="213"/>
      <c r="TEV746" s="213"/>
      <c r="TEW746" s="213"/>
      <c r="TEX746" s="213"/>
      <c r="TEY746" s="213"/>
      <c r="TEZ746" s="213"/>
      <c r="TFA746" s="213"/>
      <c r="TFB746" s="213"/>
      <c r="TFC746" s="213"/>
      <c r="TFD746" s="213"/>
      <c r="TFE746" s="213"/>
      <c r="TFF746" s="213"/>
      <c r="TFG746" s="213"/>
      <c r="TFH746" s="213"/>
      <c r="TFI746" s="213"/>
      <c r="TFJ746" s="213"/>
      <c r="TFK746" s="213"/>
      <c r="TFL746" s="213"/>
      <c r="TFM746" s="213"/>
      <c r="TFN746" s="213"/>
      <c r="TFO746" s="213"/>
      <c r="TFP746" s="213"/>
      <c r="TFQ746" s="213"/>
      <c r="TFR746" s="213"/>
      <c r="TFS746" s="213"/>
      <c r="TFT746" s="213"/>
      <c r="TFU746" s="213"/>
      <c r="TFV746" s="213"/>
      <c r="TFW746" s="213"/>
      <c r="TFX746" s="213"/>
      <c r="TFY746" s="213"/>
      <c r="TFZ746" s="213"/>
      <c r="TGA746" s="213"/>
      <c r="TGB746" s="213"/>
      <c r="TGC746" s="213"/>
      <c r="TGD746" s="213"/>
      <c r="TGE746" s="213"/>
      <c r="TGF746" s="213"/>
      <c r="TGG746" s="213"/>
      <c r="TGH746" s="213"/>
      <c r="TGI746" s="213"/>
      <c r="TGJ746" s="213"/>
      <c r="TGK746" s="213"/>
      <c r="TGL746" s="213"/>
      <c r="TGM746" s="213"/>
      <c r="TGN746" s="213"/>
      <c r="TGO746" s="213"/>
      <c r="TGP746" s="213"/>
      <c r="TGQ746" s="213"/>
      <c r="TGR746" s="213"/>
      <c r="TGS746" s="213"/>
      <c r="TGT746" s="213"/>
      <c r="TGU746" s="213"/>
      <c r="TGV746" s="213"/>
      <c r="TGW746" s="213"/>
      <c r="TGX746" s="213"/>
      <c r="TGY746" s="213"/>
      <c r="TGZ746" s="213"/>
      <c r="THA746" s="213"/>
      <c r="THB746" s="213"/>
      <c r="THC746" s="213"/>
      <c r="THD746" s="213"/>
      <c r="THE746" s="213"/>
      <c r="THF746" s="213"/>
      <c r="THG746" s="213"/>
      <c r="THH746" s="213"/>
      <c r="THI746" s="213"/>
      <c r="THJ746" s="213"/>
      <c r="THK746" s="213"/>
      <c r="THL746" s="213"/>
      <c r="THM746" s="213"/>
      <c r="THN746" s="213"/>
      <c r="THO746" s="213"/>
      <c r="THP746" s="213"/>
      <c r="THQ746" s="213"/>
      <c r="THR746" s="213"/>
      <c r="THS746" s="213"/>
      <c r="THT746" s="213"/>
      <c r="THU746" s="213"/>
      <c r="THV746" s="213"/>
      <c r="THW746" s="213"/>
      <c r="THX746" s="213"/>
      <c r="THY746" s="213"/>
      <c r="THZ746" s="213"/>
      <c r="TIA746" s="213"/>
      <c r="TIB746" s="213"/>
      <c r="TIC746" s="213"/>
      <c r="TID746" s="213"/>
      <c r="TIE746" s="213"/>
      <c r="TIF746" s="213"/>
      <c r="TIG746" s="213"/>
      <c r="TIH746" s="213"/>
      <c r="TII746" s="213"/>
      <c r="TIJ746" s="213"/>
      <c r="TIK746" s="213"/>
      <c r="TIL746" s="213"/>
      <c r="TIM746" s="213"/>
      <c r="TIN746" s="213"/>
      <c r="TIO746" s="213"/>
      <c r="TIP746" s="213"/>
      <c r="TIQ746" s="213"/>
      <c r="TIR746" s="213"/>
      <c r="TIS746" s="213"/>
      <c r="TIT746" s="213"/>
      <c r="TIU746" s="213"/>
      <c r="TIV746" s="213"/>
      <c r="TIW746" s="213"/>
      <c r="TIX746" s="213"/>
      <c r="TIY746" s="213"/>
      <c r="TIZ746" s="213"/>
      <c r="TJA746" s="213"/>
      <c r="TJB746" s="213"/>
      <c r="TJC746" s="213"/>
      <c r="TJD746" s="213"/>
      <c r="TJE746" s="213"/>
      <c r="TJF746" s="213"/>
      <c r="TJG746" s="213"/>
      <c r="TJH746" s="213"/>
      <c r="TJI746" s="213"/>
      <c r="TJJ746" s="213"/>
      <c r="TJK746" s="213"/>
      <c r="TJL746" s="213"/>
      <c r="TJM746" s="213"/>
      <c r="TJN746" s="213"/>
      <c r="TJO746" s="213"/>
      <c r="TJP746" s="213"/>
      <c r="TJQ746" s="213"/>
      <c r="TJR746" s="213"/>
      <c r="TJS746" s="213"/>
      <c r="TJT746" s="213"/>
      <c r="TJU746" s="213"/>
      <c r="TJV746" s="213"/>
      <c r="TJW746" s="213"/>
      <c r="TJX746" s="213"/>
      <c r="TJY746" s="213"/>
      <c r="TJZ746" s="213"/>
      <c r="TKA746" s="213"/>
      <c r="TKB746" s="213"/>
      <c r="TKC746" s="213"/>
      <c r="TKD746" s="213"/>
      <c r="TKE746" s="213"/>
      <c r="TKF746" s="213"/>
      <c r="TKG746" s="213"/>
      <c r="TKH746" s="213"/>
      <c r="TKI746" s="213"/>
      <c r="TKJ746" s="213"/>
      <c r="TKK746" s="213"/>
      <c r="TKL746" s="213"/>
      <c r="TKM746" s="213"/>
      <c r="TKN746" s="213"/>
      <c r="TKO746" s="213"/>
      <c r="TKP746" s="213"/>
      <c r="TKQ746" s="213"/>
      <c r="TKR746" s="213"/>
      <c r="TKS746" s="213"/>
      <c r="TKT746" s="213"/>
      <c r="TKU746" s="213"/>
      <c r="TKV746" s="213"/>
      <c r="TKW746" s="213"/>
      <c r="TKX746" s="213"/>
      <c r="TKY746" s="213"/>
      <c r="TKZ746" s="213"/>
      <c r="TLA746" s="213"/>
      <c r="TLB746" s="213"/>
      <c r="TLC746" s="213"/>
      <c r="TLD746" s="213"/>
      <c r="TLE746" s="213"/>
      <c r="TLF746" s="213"/>
      <c r="TLG746" s="213"/>
      <c r="TLH746" s="213"/>
      <c r="TLI746" s="213"/>
      <c r="TLJ746" s="213"/>
      <c r="TLK746" s="213"/>
      <c r="TLL746" s="213"/>
      <c r="TLM746" s="213"/>
      <c r="TLN746" s="213"/>
      <c r="TLO746" s="213"/>
      <c r="TLP746" s="213"/>
      <c r="TLQ746" s="213"/>
      <c r="TLR746" s="213"/>
      <c r="TLS746" s="213"/>
      <c r="TLT746" s="213"/>
      <c r="TLU746" s="213"/>
      <c r="TLV746" s="213"/>
      <c r="TLW746" s="213"/>
      <c r="TLX746" s="213"/>
      <c r="TLY746" s="213"/>
      <c r="TLZ746" s="213"/>
      <c r="TMA746" s="213"/>
      <c r="TMB746" s="213"/>
      <c r="TMC746" s="213"/>
      <c r="TMD746" s="213"/>
      <c r="TME746" s="213"/>
      <c r="TMF746" s="213"/>
      <c r="TMG746" s="213"/>
      <c r="TMH746" s="213"/>
      <c r="TMI746" s="213"/>
      <c r="TMJ746" s="213"/>
      <c r="TMK746" s="213"/>
      <c r="TML746" s="213"/>
      <c r="TMM746" s="213"/>
      <c r="TMN746" s="213"/>
      <c r="TMO746" s="213"/>
      <c r="TMP746" s="213"/>
      <c r="TMQ746" s="213"/>
      <c r="TMR746" s="213"/>
      <c r="TMS746" s="213"/>
      <c r="TMT746" s="213"/>
      <c r="TMU746" s="213"/>
      <c r="TMV746" s="213"/>
      <c r="TMW746" s="213"/>
      <c r="TMX746" s="213"/>
      <c r="TMY746" s="213"/>
      <c r="TMZ746" s="213"/>
      <c r="TNA746" s="213"/>
      <c r="TNB746" s="213"/>
      <c r="TNC746" s="213"/>
      <c r="TND746" s="213"/>
      <c r="TNE746" s="213"/>
      <c r="TNF746" s="213"/>
      <c r="TNG746" s="213"/>
      <c r="TNH746" s="213"/>
      <c r="TNI746" s="213"/>
      <c r="TNJ746" s="213"/>
      <c r="TNK746" s="213"/>
      <c r="TNL746" s="213"/>
      <c r="TNM746" s="213"/>
      <c r="TNN746" s="213"/>
      <c r="TNO746" s="213"/>
      <c r="TNP746" s="213"/>
      <c r="TNQ746" s="213"/>
      <c r="TNR746" s="213"/>
      <c r="TNS746" s="213"/>
      <c r="TNT746" s="213"/>
      <c r="TNU746" s="213"/>
      <c r="TNV746" s="213"/>
      <c r="TNW746" s="213"/>
      <c r="TNX746" s="213"/>
      <c r="TNY746" s="213"/>
      <c r="TNZ746" s="213"/>
      <c r="TOA746" s="213"/>
      <c r="TOB746" s="213"/>
      <c r="TOC746" s="213"/>
      <c r="TOD746" s="213"/>
      <c r="TOE746" s="213"/>
      <c r="TOF746" s="213"/>
      <c r="TOG746" s="213"/>
      <c r="TOH746" s="213"/>
      <c r="TOI746" s="213"/>
      <c r="TOJ746" s="213"/>
      <c r="TOK746" s="213"/>
      <c r="TOL746" s="213"/>
      <c r="TOM746" s="213"/>
      <c r="TON746" s="213"/>
      <c r="TOO746" s="213"/>
      <c r="TOP746" s="213"/>
      <c r="TOQ746" s="213"/>
      <c r="TOR746" s="213"/>
      <c r="TOS746" s="213"/>
      <c r="TOT746" s="213"/>
      <c r="TOU746" s="213"/>
      <c r="TOV746" s="213"/>
      <c r="TOW746" s="213"/>
      <c r="TOX746" s="213"/>
      <c r="TOY746" s="213"/>
      <c r="TOZ746" s="213"/>
      <c r="TPA746" s="213"/>
      <c r="TPB746" s="213"/>
      <c r="TPC746" s="213"/>
      <c r="TPD746" s="213"/>
      <c r="TPE746" s="213"/>
      <c r="TPF746" s="213"/>
      <c r="TPG746" s="213"/>
      <c r="TPH746" s="213"/>
      <c r="TPI746" s="213"/>
      <c r="TPJ746" s="213"/>
      <c r="TPK746" s="213"/>
      <c r="TPL746" s="213"/>
      <c r="TPM746" s="213"/>
      <c r="TPN746" s="213"/>
      <c r="TPO746" s="213"/>
      <c r="TPP746" s="213"/>
      <c r="TPQ746" s="213"/>
      <c r="TPR746" s="213"/>
      <c r="TPS746" s="213"/>
      <c r="TPT746" s="213"/>
      <c r="TPU746" s="213"/>
      <c r="TPV746" s="213"/>
      <c r="TPW746" s="213"/>
      <c r="TPX746" s="213"/>
      <c r="TPY746" s="213"/>
      <c r="TPZ746" s="213"/>
      <c r="TQA746" s="213"/>
      <c r="TQB746" s="213"/>
      <c r="TQC746" s="213"/>
      <c r="TQD746" s="213"/>
      <c r="TQE746" s="213"/>
      <c r="TQF746" s="213"/>
      <c r="TQG746" s="213"/>
      <c r="TQH746" s="213"/>
      <c r="TQI746" s="213"/>
      <c r="TQJ746" s="213"/>
      <c r="TQK746" s="213"/>
      <c r="TQL746" s="213"/>
      <c r="TQM746" s="213"/>
      <c r="TQN746" s="213"/>
      <c r="TQO746" s="213"/>
      <c r="TQP746" s="213"/>
      <c r="TQQ746" s="213"/>
      <c r="TQR746" s="213"/>
      <c r="TQS746" s="213"/>
      <c r="TQT746" s="213"/>
      <c r="TQU746" s="213"/>
      <c r="TQV746" s="213"/>
      <c r="TQW746" s="213"/>
      <c r="TQX746" s="213"/>
      <c r="TQY746" s="213"/>
      <c r="TQZ746" s="213"/>
      <c r="TRA746" s="213"/>
      <c r="TRB746" s="213"/>
      <c r="TRC746" s="213"/>
      <c r="TRD746" s="213"/>
      <c r="TRE746" s="213"/>
      <c r="TRF746" s="213"/>
      <c r="TRG746" s="213"/>
      <c r="TRH746" s="213"/>
      <c r="TRI746" s="213"/>
      <c r="TRJ746" s="213"/>
      <c r="TRK746" s="213"/>
      <c r="TRL746" s="213"/>
      <c r="TRM746" s="213"/>
      <c r="TRN746" s="213"/>
      <c r="TRO746" s="213"/>
      <c r="TRP746" s="213"/>
      <c r="TRQ746" s="213"/>
      <c r="TRR746" s="213"/>
      <c r="TRS746" s="213"/>
      <c r="TRT746" s="213"/>
      <c r="TRU746" s="213"/>
      <c r="TRV746" s="213"/>
      <c r="TRW746" s="213"/>
      <c r="TRX746" s="213"/>
      <c r="TRY746" s="213"/>
      <c r="TRZ746" s="213"/>
      <c r="TSA746" s="213"/>
      <c r="TSB746" s="213"/>
      <c r="TSC746" s="213"/>
      <c r="TSD746" s="213"/>
      <c r="TSE746" s="213"/>
      <c r="TSF746" s="213"/>
      <c r="TSG746" s="213"/>
      <c r="TSH746" s="213"/>
      <c r="TSI746" s="213"/>
      <c r="TSJ746" s="213"/>
      <c r="TSK746" s="213"/>
      <c r="TSL746" s="213"/>
      <c r="TSM746" s="213"/>
      <c r="TSN746" s="213"/>
      <c r="TSO746" s="213"/>
      <c r="TSP746" s="213"/>
      <c r="TSQ746" s="213"/>
      <c r="TSR746" s="213"/>
      <c r="TSS746" s="213"/>
      <c r="TST746" s="213"/>
      <c r="TSU746" s="213"/>
      <c r="TSV746" s="213"/>
      <c r="TSW746" s="213"/>
      <c r="TSX746" s="213"/>
      <c r="TSY746" s="213"/>
      <c r="TSZ746" s="213"/>
      <c r="TTA746" s="213"/>
      <c r="TTB746" s="213"/>
      <c r="TTC746" s="213"/>
      <c r="TTD746" s="213"/>
      <c r="TTE746" s="213"/>
      <c r="TTF746" s="213"/>
      <c r="TTG746" s="213"/>
      <c r="TTH746" s="213"/>
      <c r="TTI746" s="213"/>
      <c r="TTJ746" s="213"/>
      <c r="TTK746" s="213"/>
      <c r="TTL746" s="213"/>
      <c r="TTM746" s="213"/>
      <c r="TTN746" s="213"/>
      <c r="TTO746" s="213"/>
      <c r="TTP746" s="213"/>
      <c r="TTQ746" s="213"/>
      <c r="TTR746" s="213"/>
      <c r="TTS746" s="213"/>
      <c r="TTT746" s="213"/>
      <c r="TTU746" s="213"/>
      <c r="TTV746" s="213"/>
      <c r="TTW746" s="213"/>
      <c r="TTX746" s="213"/>
      <c r="TTY746" s="213"/>
      <c r="TTZ746" s="213"/>
      <c r="TUA746" s="213"/>
      <c r="TUB746" s="213"/>
      <c r="TUC746" s="213"/>
      <c r="TUD746" s="213"/>
      <c r="TUE746" s="213"/>
      <c r="TUF746" s="213"/>
      <c r="TUG746" s="213"/>
      <c r="TUH746" s="213"/>
      <c r="TUI746" s="213"/>
      <c r="TUJ746" s="213"/>
      <c r="TUK746" s="213"/>
      <c r="TUL746" s="213"/>
      <c r="TUM746" s="213"/>
      <c r="TUN746" s="213"/>
      <c r="TUO746" s="213"/>
      <c r="TUP746" s="213"/>
      <c r="TUQ746" s="213"/>
      <c r="TUR746" s="213"/>
      <c r="TUS746" s="213"/>
      <c r="TUT746" s="213"/>
      <c r="TUU746" s="213"/>
      <c r="TUV746" s="213"/>
      <c r="TUW746" s="213"/>
      <c r="TUX746" s="213"/>
      <c r="TUY746" s="213"/>
      <c r="TUZ746" s="213"/>
      <c r="TVA746" s="213"/>
      <c r="TVB746" s="213"/>
      <c r="TVC746" s="213"/>
      <c r="TVD746" s="213"/>
      <c r="TVE746" s="213"/>
      <c r="TVF746" s="213"/>
      <c r="TVG746" s="213"/>
      <c r="TVH746" s="213"/>
      <c r="TVI746" s="213"/>
      <c r="TVJ746" s="213"/>
      <c r="TVK746" s="213"/>
      <c r="TVL746" s="213"/>
      <c r="TVM746" s="213"/>
      <c r="TVN746" s="213"/>
      <c r="TVO746" s="213"/>
      <c r="TVP746" s="213"/>
      <c r="TVQ746" s="213"/>
      <c r="TVR746" s="213"/>
      <c r="TVS746" s="213"/>
      <c r="TVT746" s="213"/>
      <c r="TVU746" s="213"/>
      <c r="TVV746" s="213"/>
      <c r="TVW746" s="213"/>
      <c r="TVX746" s="213"/>
      <c r="TVY746" s="213"/>
      <c r="TVZ746" s="213"/>
      <c r="TWA746" s="213"/>
      <c r="TWB746" s="213"/>
      <c r="TWC746" s="213"/>
      <c r="TWD746" s="213"/>
      <c r="TWE746" s="213"/>
      <c r="TWF746" s="213"/>
      <c r="TWG746" s="213"/>
      <c r="TWH746" s="213"/>
      <c r="TWI746" s="213"/>
      <c r="TWJ746" s="213"/>
      <c r="TWK746" s="213"/>
      <c r="TWL746" s="213"/>
      <c r="TWM746" s="213"/>
      <c r="TWN746" s="213"/>
      <c r="TWO746" s="213"/>
      <c r="TWP746" s="213"/>
      <c r="TWQ746" s="213"/>
      <c r="TWR746" s="213"/>
      <c r="TWS746" s="213"/>
      <c r="TWT746" s="213"/>
      <c r="TWU746" s="213"/>
      <c r="TWV746" s="213"/>
      <c r="TWW746" s="213"/>
      <c r="TWX746" s="213"/>
      <c r="TWY746" s="213"/>
      <c r="TWZ746" s="213"/>
      <c r="TXA746" s="213"/>
      <c r="TXB746" s="213"/>
      <c r="TXC746" s="213"/>
      <c r="TXD746" s="213"/>
      <c r="TXE746" s="213"/>
      <c r="TXF746" s="213"/>
      <c r="TXG746" s="213"/>
      <c r="TXH746" s="213"/>
      <c r="TXI746" s="213"/>
      <c r="TXJ746" s="213"/>
      <c r="TXK746" s="213"/>
      <c r="TXL746" s="213"/>
      <c r="TXM746" s="213"/>
      <c r="TXN746" s="213"/>
      <c r="TXO746" s="213"/>
      <c r="TXP746" s="213"/>
      <c r="TXQ746" s="213"/>
      <c r="TXR746" s="213"/>
      <c r="TXS746" s="213"/>
      <c r="TXT746" s="213"/>
      <c r="TXU746" s="213"/>
      <c r="TXV746" s="213"/>
      <c r="TXW746" s="213"/>
      <c r="TXX746" s="213"/>
      <c r="TXY746" s="213"/>
      <c r="TXZ746" s="213"/>
      <c r="TYA746" s="213"/>
      <c r="TYB746" s="213"/>
      <c r="TYC746" s="213"/>
      <c r="TYD746" s="213"/>
      <c r="TYE746" s="213"/>
      <c r="TYF746" s="213"/>
      <c r="TYG746" s="213"/>
      <c r="TYH746" s="213"/>
      <c r="TYI746" s="213"/>
      <c r="TYJ746" s="213"/>
      <c r="TYK746" s="213"/>
      <c r="TYL746" s="213"/>
      <c r="TYM746" s="213"/>
      <c r="TYN746" s="213"/>
      <c r="TYO746" s="213"/>
      <c r="TYP746" s="213"/>
      <c r="TYQ746" s="213"/>
      <c r="TYR746" s="213"/>
      <c r="TYS746" s="213"/>
      <c r="TYT746" s="213"/>
      <c r="TYU746" s="213"/>
      <c r="TYV746" s="213"/>
      <c r="TYW746" s="213"/>
      <c r="TYX746" s="213"/>
      <c r="TYY746" s="213"/>
      <c r="TYZ746" s="213"/>
      <c r="TZA746" s="213"/>
      <c r="TZB746" s="213"/>
      <c r="TZC746" s="213"/>
      <c r="TZD746" s="213"/>
      <c r="TZE746" s="213"/>
      <c r="TZF746" s="213"/>
      <c r="TZG746" s="213"/>
      <c r="TZH746" s="213"/>
      <c r="TZI746" s="213"/>
      <c r="TZJ746" s="213"/>
      <c r="TZK746" s="213"/>
      <c r="TZL746" s="213"/>
      <c r="TZM746" s="213"/>
      <c r="TZN746" s="213"/>
      <c r="TZO746" s="213"/>
      <c r="TZP746" s="213"/>
      <c r="TZQ746" s="213"/>
      <c r="TZR746" s="213"/>
      <c r="TZS746" s="213"/>
      <c r="TZT746" s="213"/>
      <c r="TZU746" s="213"/>
      <c r="TZV746" s="213"/>
      <c r="TZW746" s="213"/>
      <c r="TZX746" s="213"/>
      <c r="TZY746" s="213"/>
      <c r="TZZ746" s="213"/>
      <c r="UAA746" s="213"/>
      <c r="UAB746" s="213"/>
      <c r="UAC746" s="213"/>
      <c r="UAD746" s="213"/>
      <c r="UAE746" s="213"/>
      <c r="UAF746" s="213"/>
      <c r="UAG746" s="213"/>
      <c r="UAH746" s="213"/>
      <c r="UAI746" s="213"/>
      <c r="UAJ746" s="213"/>
      <c r="UAK746" s="213"/>
      <c r="UAL746" s="213"/>
      <c r="UAM746" s="213"/>
      <c r="UAN746" s="213"/>
      <c r="UAO746" s="213"/>
      <c r="UAP746" s="213"/>
      <c r="UAQ746" s="213"/>
      <c r="UAR746" s="213"/>
      <c r="UAS746" s="213"/>
      <c r="UAT746" s="213"/>
      <c r="UAU746" s="213"/>
      <c r="UAV746" s="213"/>
      <c r="UAW746" s="213"/>
      <c r="UAX746" s="213"/>
      <c r="UAY746" s="213"/>
      <c r="UAZ746" s="213"/>
      <c r="UBA746" s="213"/>
      <c r="UBB746" s="213"/>
      <c r="UBC746" s="213"/>
      <c r="UBD746" s="213"/>
      <c r="UBE746" s="213"/>
      <c r="UBF746" s="213"/>
      <c r="UBG746" s="213"/>
      <c r="UBH746" s="213"/>
      <c r="UBI746" s="213"/>
      <c r="UBJ746" s="213"/>
      <c r="UBK746" s="213"/>
      <c r="UBL746" s="213"/>
      <c r="UBM746" s="213"/>
      <c r="UBN746" s="213"/>
      <c r="UBO746" s="213"/>
      <c r="UBP746" s="213"/>
      <c r="UBQ746" s="213"/>
      <c r="UBR746" s="213"/>
      <c r="UBS746" s="213"/>
      <c r="UBT746" s="213"/>
      <c r="UBU746" s="213"/>
      <c r="UBV746" s="213"/>
      <c r="UBW746" s="213"/>
      <c r="UBX746" s="213"/>
      <c r="UBY746" s="213"/>
      <c r="UBZ746" s="213"/>
      <c r="UCA746" s="213"/>
      <c r="UCB746" s="213"/>
      <c r="UCC746" s="213"/>
      <c r="UCD746" s="213"/>
      <c r="UCE746" s="213"/>
      <c r="UCF746" s="213"/>
      <c r="UCG746" s="213"/>
      <c r="UCH746" s="213"/>
      <c r="UCI746" s="213"/>
      <c r="UCJ746" s="213"/>
      <c r="UCK746" s="213"/>
      <c r="UCL746" s="213"/>
      <c r="UCM746" s="213"/>
      <c r="UCN746" s="213"/>
      <c r="UCO746" s="213"/>
      <c r="UCP746" s="213"/>
      <c r="UCQ746" s="213"/>
      <c r="UCR746" s="213"/>
      <c r="UCS746" s="213"/>
      <c r="UCT746" s="213"/>
      <c r="UCU746" s="213"/>
      <c r="UCV746" s="213"/>
      <c r="UCW746" s="213"/>
      <c r="UCX746" s="213"/>
      <c r="UCY746" s="213"/>
      <c r="UCZ746" s="213"/>
      <c r="UDA746" s="213"/>
      <c r="UDB746" s="213"/>
      <c r="UDC746" s="213"/>
      <c r="UDD746" s="213"/>
      <c r="UDE746" s="213"/>
      <c r="UDF746" s="213"/>
      <c r="UDG746" s="213"/>
      <c r="UDH746" s="213"/>
      <c r="UDI746" s="213"/>
      <c r="UDJ746" s="213"/>
      <c r="UDK746" s="213"/>
      <c r="UDL746" s="213"/>
      <c r="UDM746" s="213"/>
      <c r="UDN746" s="213"/>
      <c r="UDO746" s="213"/>
      <c r="UDP746" s="213"/>
      <c r="UDQ746" s="213"/>
      <c r="UDR746" s="213"/>
      <c r="UDS746" s="213"/>
      <c r="UDT746" s="213"/>
      <c r="UDU746" s="213"/>
      <c r="UDV746" s="213"/>
      <c r="UDW746" s="213"/>
      <c r="UDX746" s="213"/>
      <c r="UDY746" s="213"/>
      <c r="UDZ746" s="213"/>
      <c r="UEA746" s="213"/>
      <c r="UEB746" s="213"/>
      <c r="UEC746" s="213"/>
      <c r="UED746" s="213"/>
      <c r="UEE746" s="213"/>
      <c r="UEF746" s="213"/>
      <c r="UEG746" s="213"/>
      <c r="UEH746" s="213"/>
      <c r="UEI746" s="213"/>
      <c r="UEJ746" s="213"/>
      <c r="UEK746" s="213"/>
      <c r="UEL746" s="213"/>
      <c r="UEM746" s="213"/>
      <c r="UEN746" s="213"/>
      <c r="UEO746" s="213"/>
      <c r="UEP746" s="213"/>
      <c r="UEQ746" s="213"/>
      <c r="UER746" s="213"/>
      <c r="UES746" s="213"/>
      <c r="UET746" s="213"/>
      <c r="UEU746" s="213"/>
      <c r="UEV746" s="213"/>
      <c r="UEW746" s="213"/>
      <c r="UEX746" s="213"/>
      <c r="UEY746" s="213"/>
      <c r="UEZ746" s="213"/>
      <c r="UFA746" s="213"/>
      <c r="UFB746" s="213"/>
      <c r="UFC746" s="213"/>
      <c r="UFD746" s="213"/>
      <c r="UFE746" s="213"/>
      <c r="UFF746" s="213"/>
      <c r="UFG746" s="213"/>
      <c r="UFH746" s="213"/>
      <c r="UFI746" s="213"/>
      <c r="UFJ746" s="213"/>
      <c r="UFK746" s="213"/>
      <c r="UFL746" s="213"/>
      <c r="UFM746" s="213"/>
      <c r="UFN746" s="213"/>
      <c r="UFO746" s="213"/>
      <c r="UFP746" s="213"/>
      <c r="UFQ746" s="213"/>
      <c r="UFR746" s="213"/>
      <c r="UFS746" s="213"/>
      <c r="UFT746" s="213"/>
      <c r="UFU746" s="213"/>
      <c r="UFV746" s="213"/>
      <c r="UFW746" s="213"/>
      <c r="UFX746" s="213"/>
      <c r="UFY746" s="213"/>
      <c r="UFZ746" s="213"/>
      <c r="UGA746" s="213"/>
      <c r="UGB746" s="213"/>
      <c r="UGC746" s="213"/>
      <c r="UGD746" s="213"/>
      <c r="UGE746" s="213"/>
      <c r="UGF746" s="213"/>
      <c r="UGG746" s="213"/>
      <c r="UGH746" s="213"/>
      <c r="UGI746" s="213"/>
      <c r="UGJ746" s="213"/>
      <c r="UGK746" s="213"/>
      <c r="UGL746" s="213"/>
      <c r="UGM746" s="213"/>
      <c r="UGN746" s="213"/>
      <c r="UGO746" s="213"/>
      <c r="UGP746" s="213"/>
      <c r="UGQ746" s="213"/>
      <c r="UGR746" s="213"/>
      <c r="UGS746" s="213"/>
      <c r="UGT746" s="213"/>
      <c r="UGU746" s="213"/>
      <c r="UGV746" s="213"/>
      <c r="UGW746" s="213"/>
      <c r="UGX746" s="213"/>
      <c r="UGY746" s="213"/>
      <c r="UGZ746" s="213"/>
      <c r="UHA746" s="213"/>
      <c r="UHB746" s="213"/>
      <c r="UHC746" s="213"/>
      <c r="UHD746" s="213"/>
      <c r="UHE746" s="213"/>
      <c r="UHF746" s="213"/>
      <c r="UHG746" s="213"/>
      <c r="UHH746" s="213"/>
      <c r="UHI746" s="213"/>
      <c r="UHJ746" s="213"/>
      <c r="UHK746" s="213"/>
      <c r="UHL746" s="213"/>
      <c r="UHM746" s="213"/>
      <c r="UHN746" s="213"/>
      <c r="UHO746" s="213"/>
      <c r="UHP746" s="213"/>
      <c r="UHQ746" s="213"/>
      <c r="UHR746" s="213"/>
      <c r="UHS746" s="213"/>
      <c r="UHT746" s="213"/>
      <c r="UHU746" s="213"/>
      <c r="UHV746" s="213"/>
      <c r="UHW746" s="213"/>
      <c r="UHX746" s="213"/>
      <c r="UHY746" s="213"/>
      <c r="UHZ746" s="213"/>
      <c r="UIA746" s="213"/>
      <c r="UIB746" s="213"/>
      <c r="UIC746" s="213"/>
      <c r="UID746" s="213"/>
      <c r="UIE746" s="213"/>
      <c r="UIF746" s="213"/>
      <c r="UIG746" s="213"/>
      <c r="UIH746" s="213"/>
      <c r="UII746" s="213"/>
      <c r="UIJ746" s="213"/>
      <c r="UIK746" s="213"/>
      <c r="UIL746" s="213"/>
      <c r="UIM746" s="213"/>
      <c r="UIN746" s="213"/>
      <c r="UIO746" s="213"/>
      <c r="UIP746" s="213"/>
      <c r="UIQ746" s="213"/>
      <c r="UIR746" s="213"/>
      <c r="UIS746" s="213"/>
      <c r="UIT746" s="213"/>
      <c r="UIU746" s="213"/>
      <c r="UIV746" s="213"/>
      <c r="UIW746" s="213"/>
      <c r="UIX746" s="213"/>
      <c r="UIY746" s="213"/>
      <c r="UIZ746" s="213"/>
      <c r="UJA746" s="213"/>
      <c r="UJB746" s="213"/>
      <c r="UJC746" s="213"/>
      <c r="UJD746" s="213"/>
      <c r="UJE746" s="213"/>
      <c r="UJF746" s="213"/>
      <c r="UJG746" s="213"/>
      <c r="UJH746" s="213"/>
      <c r="UJI746" s="213"/>
      <c r="UJJ746" s="213"/>
      <c r="UJK746" s="213"/>
      <c r="UJL746" s="213"/>
      <c r="UJM746" s="213"/>
      <c r="UJN746" s="213"/>
      <c r="UJO746" s="213"/>
      <c r="UJP746" s="213"/>
      <c r="UJQ746" s="213"/>
      <c r="UJR746" s="213"/>
      <c r="UJS746" s="213"/>
      <c r="UJT746" s="213"/>
      <c r="UJU746" s="213"/>
      <c r="UJV746" s="213"/>
      <c r="UJW746" s="213"/>
      <c r="UJX746" s="213"/>
      <c r="UJY746" s="213"/>
      <c r="UJZ746" s="213"/>
      <c r="UKA746" s="213"/>
      <c r="UKB746" s="213"/>
      <c r="UKC746" s="213"/>
      <c r="UKD746" s="213"/>
      <c r="UKE746" s="213"/>
      <c r="UKF746" s="213"/>
      <c r="UKG746" s="213"/>
      <c r="UKH746" s="213"/>
      <c r="UKI746" s="213"/>
      <c r="UKJ746" s="213"/>
      <c r="UKK746" s="213"/>
      <c r="UKL746" s="213"/>
      <c r="UKM746" s="213"/>
      <c r="UKN746" s="213"/>
      <c r="UKO746" s="213"/>
      <c r="UKP746" s="213"/>
      <c r="UKQ746" s="213"/>
      <c r="UKR746" s="213"/>
      <c r="UKS746" s="213"/>
      <c r="UKT746" s="213"/>
      <c r="UKU746" s="213"/>
      <c r="UKV746" s="213"/>
      <c r="UKW746" s="213"/>
      <c r="UKX746" s="213"/>
      <c r="UKY746" s="213"/>
      <c r="UKZ746" s="213"/>
      <c r="ULA746" s="213"/>
      <c r="ULB746" s="213"/>
      <c r="ULC746" s="213"/>
      <c r="ULD746" s="213"/>
      <c r="ULE746" s="213"/>
      <c r="ULF746" s="213"/>
      <c r="ULG746" s="213"/>
      <c r="ULH746" s="213"/>
      <c r="ULI746" s="213"/>
      <c r="ULJ746" s="213"/>
      <c r="ULK746" s="213"/>
      <c r="ULL746" s="213"/>
      <c r="ULM746" s="213"/>
      <c r="ULN746" s="213"/>
      <c r="ULO746" s="213"/>
      <c r="ULP746" s="213"/>
      <c r="ULQ746" s="213"/>
      <c r="ULR746" s="213"/>
      <c r="ULS746" s="213"/>
      <c r="ULT746" s="213"/>
      <c r="ULU746" s="213"/>
      <c r="ULV746" s="213"/>
      <c r="ULW746" s="213"/>
      <c r="ULX746" s="213"/>
      <c r="ULY746" s="213"/>
      <c r="ULZ746" s="213"/>
      <c r="UMA746" s="213"/>
      <c r="UMB746" s="213"/>
      <c r="UMC746" s="213"/>
      <c r="UMD746" s="213"/>
      <c r="UME746" s="213"/>
      <c r="UMF746" s="213"/>
      <c r="UMG746" s="213"/>
      <c r="UMH746" s="213"/>
      <c r="UMI746" s="213"/>
      <c r="UMJ746" s="213"/>
      <c r="UMK746" s="213"/>
      <c r="UML746" s="213"/>
      <c r="UMM746" s="213"/>
      <c r="UMN746" s="213"/>
      <c r="UMO746" s="213"/>
      <c r="UMP746" s="213"/>
      <c r="UMQ746" s="213"/>
      <c r="UMR746" s="213"/>
      <c r="UMS746" s="213"/>
      <c r="UMT746" s="213"/>
      <c r="UMU746" s="213"/>
      <c r="UMV746" s="213"/>
      <c r="UMW746" s="213"/>
      <c r="UMX746" s="213"/>
      <c r="UMY746" s="213"/>
      <c r="UMZ746" s="213"/>
      <c r="UNA746" s="213"/>
      <c r="UNB746" s="213"/>
      <c r="UNC746" s="213"/>
      <c r="UND746" s="213"/>
      <c r="UNE746" s="213"/>
      <c r="UNF746" s="213"/>
      <c r="UNG746" s="213"/>
      <c r="UNH746" s="213"/>
      <c r="UNI746" s="213"/>
      <c r="UNJ746" s="213"/>
      <c r="UNK746" s="213"/>
      <c r="UNL746" s="213"/>
      <c r="UNM746" s="213"/>
      <c r="UNN746" s="213"/>
      <c r="UNO746" s="213"/>
      <c r="UNP746" s="213"/>
      <c r="UNQ746" s="213"/>
      <c r="UNR746" s="213"/>
      <c r="UNS746" s="213"/>
      <c r="UNT746" s="213"/>
      <c r="UNU746" s="213"/>
      <c r="UNV746" s="213"/>
      <c r="UNW746" s="213"/>
      <c r="UNX746" s="213"/>
      <c r="UNY746" s="213"/>
      <c r="UNZ746" s="213"/>
      <c r="UOA746" s="213"/>
      <c r="UOB746" s="213"/>
      <c r="UOC746" s="213"/>
      <c r="UOD746" s="213"/>
      <c r="UOE746" s="213"/>
      <c r="UOF746" s="213"/>
      <c r="UOG746" s="213"/>
      <c r="UOH746" s="213"/>
      <c r="UOI746" s="213"/>
      <c r="UOJ746" s="213"/>
      <c r="UOK746" s="213"/>
      <c r="UOL746" s="213"/>
      <c r="UOM746" s="213"/>
      <c r="UON746" s="213"/>
      <c r="UOO746" s="213"/>
      <c r="UOP746" s="213"/>
      <c r="UOQ746" s="213"/>
      <c r="UOR746" s="213"/>
      <c r="UOS746" s="213"/>
      <c r="UOT746" s="213"/>
      <c r="UOU746" s="213"/>
      <c r="UOV746" s="213"/>
      <c r="UOW746" s="213"/>
      <c r="UOX746" s="213"/>
      <c r="UOY746" s="213"/>
      <c r="UOZ746" s="213"/>
      <c r="UPA746" s="213"/>
      <c r="UPB746" s="213"/>
      <c r="UPC746" s="213"/>
      <c r="UPD746" s="213"/>
      <c r="UPE746" s="213"/>
      <c r="UPF746" s="213"/>
      <c r="UPG746" s="213"/>
      <c r="UPH746" s="213"/>
      <c r="UPI746" s="213"/>
      <c r="UPJ746" s="213"/>
      <c r="UPK746" s="213"/>
      <c r="UPL746" s="213"/>
      <c r="UPM746" s="213"/>
      <c r="UPN746" s="213"/>
      <c r="UPO746" s="213"/>
      <c r="UPP746" s="213"/>
      <c r="UPQ746" s="213"/>
      <c r="UPR746" s="213"/>
      <c r="UPS746" s="213"/>
      <c r="UPT746" s="213"/>
      <c r="UPU746" s="213"/>
      <c r="UPV746" s="213"/>
      <c r="UPW746" s="213"/>
      <c r="UPX746" s="213"/>
      <c r="UPY746" s="213"/>
      <c r="UPZ746" s="213"/>
      <c r="UQA746" s="213"/>
      <c r="UQB746" s="213"/>
      <c r="UQC746" s="213"/>
      <c r="UQD746" s="213"/>
      <c r="UQE746" s="213"/>
      <c r="UQF746" s="213"/>
      <c r="UQG746" s="213"/>
      <c r="UQH746" s="213"/>
      <c r="UQI746" s="213"/>
      <c r="UQJ746" s="213"/>
      <c r="UQK746" s="213"/>
      <c r="UQL746" s="213"/>
      <c r="UQM746" s="213"/>
      <c r="UQN746" s="213"/>
      <c r="UQO746" s="213"/>
      <c r="UQP746" s="213"/>
      <c r="UQQ746" s="213"/>
      <c r="UQR746" s="213"/>
      <c r="UQS746" s="213"/>
      <c r="UQT746" s="213"/>
      <c r="UQU746" s="213"/>
      <c r="UQV746" s="213"/>
      <c r="UQW746" s="213"/>
      <c r="UQX746" s="213"/>
      <c r="UQY746" s="213"/>
      <c r="UQZ746" s="213"/>
      <c r="URA746" s="213"/>
      <c r="URB746" s="213"/>
      <c r="URC746" s="213"/>
      <c r="URD746" s="213"/>
      <c r="URE746" s="213"/>
      <c r="URF746" s="213"/>
      <c r="URG746" s="213"/>
      <c r="URH746" s="213"/>
      <c r="URI746" s="213"/>
      <c r="URJ746" s="213"/>
      <c r="URK746" s="213"/>
      <c r="URL746" s="213"/>
      <c r="URM746" s="213"/>
      <c r="URN746" s="213"/>
      <c r="URO746" s="213"/>
      <c r="URP746" s="213"/>
      <c r="URQ746" s="213"/>
      <c r="URR746" s="213"/>
      <c r="URS746" s="213"/>
      <c r="URT746" s="213"/>
      <c r="URU746" s="213"/>
      <c r="URV746" s="213"/>
      <c r="URW746" s="213"/>
      <c r="URX746" s="213"/>
      <c r="URY746" s="213"/>
      <c r="URZ746" s="213"/>
      <c r="USA746" s="213"/>
      <c r="USB746" s="213"/>
      <c r="USC746" s="213"/>
      <c r="USD746" s="213"/>
      <c r="USE746" s="213"/>
      <c r="USF746" s="213"/>
      <c r="USG746" s="213"/>
      <c r="USH746" s="213"/>
      <c r="USI746" s="213"/>
      <c r="USJ746" s="213"/>
      <c r="USK746" s="213"/>
      <c r="USL746" s="213"/>
      <c r="USM746" s="213"/>
      <c r="USN746" s="213"/>
      <c r="USO746" s="213"/>
      <c r="USP746" s="213"/>
      <c r="USQ746" s="213"/>
      <c r="USR746" s="213"/>
      <c r="USS746" s="213"/>
      <c r="UST746" s="213"/>
      <c r="USU746" s="213"/>
      <c r="USV746" s="213"/>
      <c r="USW746" s="213"/>
      <c r="USX746" s="213"/>
      <c r="USY746" s="213"/>
      <c r="USZ746" s="213"/>
      <c r="UTA746" s="213"/>
      <c r="UTB746" s="213"/>
      <c r="UTC746" s="213"/>
      <c r="UTD746" s="213"/>
      <c r="UTE746" s="213"/>
      <c r="UTF746" s="213"/>
      <c r="UTG746" s="213"/>
      <c r="UTH746" s="213"/>
      <c r="UTI746" s="213"/>
      <c r="UTJ746" s="213"/>
      <c r="UTK746" s="213"/>
      <c r="UTL746" s="213"/>
      <c r="UTM746" s="213"/>
      <c r="UTN746" s="213"/>
      <c r="UTO746" s="213"/>
      <c r="UTP746" s="213"/>
      <c r="UTQ746" s="213"/>
      <c r="UTR746" s="213"/>
      <c r="UTS746" s="213"/>
      <c r="UTT746" s="213"/>
      <c r="UTU746" s="213"/>
      <c r="UTV746" s="213"/>
      <c r="UTW746" s="213"/>
      <c r="UTX746" s="213"/>
      <c r="UTY746" s="213"/>
      <c r="UTZ746" s="213"/>
      <c r="UUA746" s="213"/>
      <c r="UUB746" s="213"/>
      <c r="UUC746" s="213"/>
      <c r="UUD746" s="213"/>
      <c r="UUE746" s="213"/>
      <c r="UUF746" s="213"/>
      <c r="UUG746" s="213"/>
      <c r="UUH746" s="213"/>
      <c r="UUI746" s="213"/>
      <c r="UUJ746" s="213"/>
      <c r="UUK746" s="213"/>
      <c r="UUL746" s="213"/>
      <c r="UUM746" s="213"/>
      <c r="UUN746" s="213"/>
      <c r="UUO746" s="213"/>
      <c r="UUP746" s="213"/>
      <c r="UUQ746" s="213"/>
      <c r="UUR746" s="213"/>
      <c r="UUS746" s="213"/>
      <c r="UUT746" s="213"/>
      <c r="UUU746" s="213"/>
      <c r="UUV746" s="213"/>
      <c r="UUW746" s="213"/>
      <c r="UUX746" s="213"/>
      <c r="UUY746" s="213"/>
      <c r="UUZ746" s="213"/>
      <c r="UVA746" s="213"/>
      <c r="UVB746" s="213"/>
      <c r="UVC746" s="213"/>
      <c r="UVD746" s="213"/>
      <c r="UVE746" s="213"/>
      <c r="UVF746" s="213"/>
      <c r="UVG746" s="213"/>
      <c r="UVH746" s="213"/>
      <c r="UVI746" s="213"/>
      <c r="UVJ746" s="213"/>
      <c r="UVK746" s="213"/>
      <c r="UVL746" s="213"/>
      <c r="UVM746" s="213"/>
      <c r="UVN746" s="213"/>
      <c r="UVO746" s="213"/>
      <c r="UVP746" s="213"/>
      <c r="UVQ746" s="213"/>
      <c r="UVR746" s="213"/>
      <c r="UVS746" s="213"/>
      <c r="UVT746" s="213"/>
      <c r="UVU746" s="213"/>
      <c r="UVV746" s="213"/>
      <c r="UVW746" s="213"/>
      <c r="UVX746" s="213"/>
      <c r="UVY746" s="213"/>
      <c r="UVZ746" s="213"/>
      <c r="UWA746" s="213"/>
      <c r="UWB746" s="213"/>
      <c r="UWC746" s="213"/>
      <c r="UWD746" s="213"/>
      <c r="UWE746" s="213"/>
      <c r="UWF746" s="213"/>
      <c r="UWG746" s="213"/>
      <c r="UWH746" s="213"/>
      <c r="UWI746" s="213"/>
      <c r="UWJ746" s="213"/>
      <c r="UWK746" s="213"/>
      <c r="UWL746" s="213"/>
      <c r="UWM746" s="213"/>
      <c r="UWN746" s="213"/>
      <c r="UWO746" s="213"/>
      <c r="UWP746" s="213"/>
      <c r="UWQ746" s="213"/>
      <c r="UWR746" s="213"/>
      <c r="UWS746" s="213"/>
      <c r="UWT746" s="213"/>
      <c r="UWU746" s="213"/>
      <c r="UWV746" s="213"/>
      <c r="UWW746" s="213"/>
      <c r="UWX746" s="213"/>
      <c r="UWY746" s="213"/>
      <c r="UWZ746" s="213"/>
      <c r="UXA746" s="213"/>
      <c r="UXB746" s="213"/>
      <c r="UXC746" s="213"/>
      <c r="UXD746" s="213"/>
      <c r="UXE746" s="213"/>
      <c r="UXF746" s="213"/>
      <c r="UXG746" s="213"/>
      <c r="UXH746" s="213"/>
      <c r="UXI746" s="213"/>
      <c r="UXJ746" s="213"/>
      <c r="UXK746" s="213"/>
      <c r="UXL746" s="213"/>
      <c r="UXM746" s="213"/>
      <c r="UXN746" s="213"/>
      <c r="UXO746" s="213"/>
      <c r="UXP746" s="213"/>
      <c r="UXQ746" s="213"/>
      <c r="UXR746" s="213"/>
      <c r="UXS746" s="213"/>
      <c r="UXT746" s="213"/>
      <c r="UXU746" s="213"/>
      <c r="UXV746" s="213"/>
      <c r="UXW746" s="213"/>
      <c r="UXX746" s="213"/>
      <c r="UXY746" s="213"/>
      <c r="UXZ746" s="213"/>
      <c r="UYA746" s="213"/>
      <c r="UYB746" s="213"/>
      <c r="UYC746" s="213"/>
      <c r="UYD746" s="213"/>
      <c r="UYE746" s="213"/>
      <c r="UYF746" s="213"/>
      <c r="UYG746" s="213"/>
      <c r="UYH746" s="213"/>
      <c r="UYI746" s="213"/>
      <c r="UYJ746" s="213"/>
      <c r="UYK746" s="213"/>
      <c r="UYL746" s="213"/>
      <c r="UYM746" s="213"/>
      <c r="UYN746" s="213"/>
      <c r="UYO746" s="213"/>
      <c r="UYP746" s="213"/>
      <c r="UYQ746" s="213"/>
      <c r="UYR746" s="213"/>
      <c r="UYS746" s="213"/>
      <c r="UYT746" s="213"/>
      <c r="UYU746" s="213"/>
      <c r="UYV746" s="213"/>
      <c r="UYW746" s="213"/>
      <c r="UYX746" s="213"/>
      <c r="UYY746" s="213"/>
      <c r="UYZ746" s="213"/>
      <c r="UZA746" s="213"/>
      <c r="UZB746" s="213"/>
      <c r="UZC746" s="213"/>
      <c r="UZD746" s="213"/>
      <c r="UZE746" s="213"/>
      <c r="UZF746" s="213"/>
      <c r="UZG746" s="213"/>
      <c r="UZH746" s="213"/>
      <c r="UZI746" s="213"/>
      <c r="UZJ746" s="213"/>
      <c r="UZK746" s="213"/>
      <c r="UZL746" s="213"/>
      <c r="UZM746" s="213"/>
      <c r="UZN746" s="213"/>
      <c r="UZO746" s="213"/>
      <c r="UZP746" s="213"/>
      <c r="UZQ746" s="213"/>
      <c r="UZR746" s="213"/>
      <c r="UZS746" s="213"/>
      <c r="UZT746" s="213"/>
      <c r="UZU746" s="213"/>
      <c r="UZV746" s="213"/>
      <c r="UZW746" s="213"/>
      <c r="UZX746" s="213"/>
      <c r="UZY746" s="213"/>
      <c r="UZZ746" s="213"/>
      <c r="VAA746" s="213"/>
      <c r="VAB746" s="213"/>
      <c r="VAC746" s="213"/>
      <c r="VAD746" s="213"/>
      <c r="VAE746" s="213"/>
      <c r="VAF746" s="213"/>
      <c r="VAG746" s="213"/>
      <c r="VAH746" s="213"/>
      <c r="VAI746" s="213"/>
      <c r="VAJ746" s="213"/>
      <c r="VAK746" s="213"/>
      <c r="VAL746" s="213"/>
      <c r="VAM746" s="213"/>
      <c r="VAN746" s="213"/>
      <c r="VAO746" s="213"/>
      <c r="VAP746" s="213"/>
      <c r="VAQ746" s="213"/>
      <c r="VAR746" s="213"/>
      <c r="VAS746" s="213"/>
      <c r="VAT746" s="213"/>
      <c r="VAU746" s="213"/>
      <c r="VAV746" s="213"/>
      <c r="VAW746" s="213"/>
      <c r="VAX746" s="213"/>
      <c r="VAY746" s="213"/>
      <c r="VAZ746" s="213"/>
      <c r="VBA746" s="213"/>
      <c r="VBB746" s="213"/>
      <c r="VBC746" s="213"/>
      <c r="VBD746" s="213"/>
      <c r="VBE746" s="213"/>
      <c r="VBF746" s="213"/>
      <c r="VBG746" s="213"/>
      <c r="VBH746" s="213"/>
      <c r="VBI746" s="213"/>
      <c r="VBJ746" s="213"/>
      <c r="VBK746" s="213"/>
      <c r="VBL746" s="213"/>
      <c r="VBM746" s="213"/>
      <c r="VBN746" s="213"/>
      <c r="VBO746" s="213"/>
      <c r="VBP746" s="213"/>
      <c r="VBQ746" s="213"/>
      <c r="VBR746" s="213"/>
      <c r="VBS746" s="213"/>
      <c r="VBT746" s="213"/>
      <c r="VBU746" s="213"/>
      <c r="VBV746" s="213"/>
      <c r="VBW746" s="213"/>
      <c r="VBX746" s="213"/>
      <c r="VBY746" s="213"/>
      <c r="VBZ746" s="213"/>
      <c r="VCA746" s="213"/>
      <c r="VCB746" s="213"/>
      <c r="VCC746" s="213"/>
      <c r="VCD746" s="213"/>
      <c r="VCE746" s="213"/>
      <c r="VCF746" s="213"/>
      <c r="VCG746" s="213"/>
      <c r="VCH746" s="213"/>
      <c r="VCI746" s="213"/>
      <c r="VCJ746" s="213"/>
      <c r="VCK746" s="213"/>
      <c r="VCL746" s="213"/>
      <c r="VCM746" s="213"/>
      <c r="VCN746" s="213"/>
      <c r="VCO746" s="213"/>
      <c r="VCP746" s="213"/>
      <c r="VCQ746" s="213"/>
      <c r="VCR746" s="213"/>
      <c r="VCS746" s="213"/>
      <c r="VCT746" s="213"/>
      <c r="VCU746" s="213"/>
      <c r="VCV746" s="213"/>
      <c r="VCW746" s="213"/>
      <c r="VCX746" s="213"/>
      <c r="VCY746" s="213"/>
      <c r="VCZ746" s="213"/>
      <c r="VDA746" s="213"/>
      <c r="VDB746" s="213"/>
      <c r="VDC746" s="213"/>
      <c r="VDD746" s="213"/>
      <c r="VDE746" s="213"/>
      <c r="VDF746" s="213"/>
      <c r="VDG746" s="213"/>
      <c r="VDH746" s="213"/>
      <c r="VDI746" s="213"/>
      <c r="VDJ746" s="213"/>
      <c r="VDK746" s="213"/>
      <c r="VDL746" s="213"/>
      <c r="VDM746" s="213"/>
      <c r="VDN746" s="213"/>
      <c r="VDO746" s="213"/>
      <c r="VDP746" s="213"/>
      <c r="VDQ746" s="213"/>
      <c r="VDR746" s="213"/>
      <c r="VDS746" s="213"/>
      <c r="VDT746" s="213"/>
      <c r="VDU746" s="213"/>
      <c r="VDV746" s="213"/>
      <c r="VDW746" s="213"/>
      <c r="VDX746" s="213"/>
      <c r="VDY746" s="213"/>
      <c r="VDZ746" s="213"/>
      <c r="VEA746" s="213"/>
      <c r="VEB746" s="213"/>
      <c r="VEC746" s="213"/>
      <c r="VED746" s="213"/>
      <c r="VEE746" s="213"/>
      <c r="VEF746" s="213"/>
      <c r="VEG746" s="213"/>
      <c r="VEH746" s="213"/>
      <c r="VEI746" s="213"/>
      <c r="VEJ746" s="213"/>
      <c r="VEK746" s="213"/>
      <c r="VEL746" s="213"/>
      <c r="VEM746" s="213"/>
      <c r="VEN746" s="213"/>
      <c r="VEO746" s="213"/>
      <c r="VEP746" s="213"/>
      <c r="VEQ746" s="213"/>
      <c r="VER746" s="213"/>
      <c r="VES746" s="213"/>
      <c r="VET746" s="213"/>
      <c r="VEU746" s="213"/>
      <c r="VEV746" s="213"/>
      <c r="VEW746" s="213"/>
      <c r="VEX746" s="213"/>
      <c r="VEY746" s="213"/>
      <c r="VEZ746" s="213"/>
      <c r="VFA746" s="213"/>
      <c r="VFB746" s="213"/>
      <c r="VFC746" s="213"/>
      <c r="VFD746" s="213"/>
      <c r="VFE746" s="213"/>
      <c r="VFF746" s="213"/>
      <c r="VFG746" s="213"/>
      <c r="VFH746" s="213"/>
      <c r="VFI746" s="213"/>
      <c r="VFJ746" s="213"/>
      <c r="VFK746" s="213"/>
      <c r="VFL746" s="213"/>
      <c r="VFM746" s="213"/>
      <c r="VFN746" s="213"/>
      <c r="VFO746" s="213"/>
      <c r="VFP746" s="213"/>
      <c r="VFQ746" s="213"/>
      <c r="VFR746" s="213"/>
      <c r="VFS746" s="213"/>
      <c r="VFT746" s="213"/>
      <c r="VFU746" s="213"/>
      <c r="VFV746" s="213"/>
      <c r="VFW746" s="213"/>
      <c r="VFX746" s="213"/>
      <c r="VFY746" s="213"/>
      <c r="VFZ746" s="213"/>
      <c r="VGA746" s="213"/>
      <c r="VGB746" s="213"/>
      <c r="VGC746" s="213"/>
      <c r="VGD746" s="213"/>
      <c r="VGE746" s="213"/>
      <c r="VGF746" s="213"/>
      <c r="VGG746" s="213"/>
      <c r="VGH746" s="213"/>
      <c r="VGI746" s="213"/>
      <c r="VGJ746" s="213"/>
      <c r="VGK746" s="213"/>
      <c r="VGL746" s="213"/>
      <c r="VGM746" s="213"/>
      <c r="VGN746" s="213"/>
      <c r="VGO746" s="213"/>
      <c r="VGP746" s="213"/>
      <c r="VGQ746" s="213"/>
      <c r="VGR746" s="213"/>
      <c r="VGS746" s="213"/>
      <c r="VGT746" s="213"/>
      <c r="VGU746" s="213"/>
      <c r="VGV746" s="213"/>
      <c r="VGW746" s="213"/>
      <c r="VGX746" s="213"/>
      <c r="VGY746" s="213"/>
      <c r="VGZ746" s="213"/>
      <c r="VHA746" s="213"/>
      <c r="VHB746" s="213"/>
      <c r="VHC746" s="213"/>
      <c r="VHD746" s="213"/>
      <c r="VHE746" s="213"/>
      <c r="VHF746" s="213"/>
      <c r="VHG746" s="213"/>
      <c r="VHH746" s="213"/>
      <c r="VHI746" s="213"/>
      <c r="VHJ746" s="213"/>
      <c r="VHK746" s="213"/>
      <c r="VHL746" s="213"/>
      <c r="VHM746" s="213"/>
      <c r="VHN746" s="213"/>
      <c r="VHO746" s="213"/>
      <c r="VHP746" s="213"/>
      <c r="VHQ746" s="213"/>
      <c r="VHR746" s="213"/>
      <c r="VHS746" s="213"/>
      <c r="VHT746" s="213"/>
      <c r="VHU746" s="213"/>
      <c r="VHV746" s="213"/>
      <c r="VHW746" s="213"/>
      <c r="VHX746" s="213"/>
      <c r="VHY746" s="213"/>
      <c r="VHZ746" s="213"/>
      <c r="VIA746" s="213"/>
      <c r="VIB746" s="213"/>
      <c r="VIC746" s="213"/>
      <c r="VID746" s="213"/>
      <c r="VIE746" s="213"/>
      <c r="VIF746" s="213"/>
      <c r="VIG746" s="213"/>
      <c r="VIH746" s="213"/>
      <c r="VII746" s="213"/>
      <c r="VIJ746" s="213"/>
      <c r="VIK746" s="213"/>
      <c r="VIL746" s="213"/>
      <c r="VIM746" s="213"/>
      <c r="VIN746" s="213"/>
      <c r="VIO746" s="213"/>
      <c r="VIP746" s="213"/>
      <c r="VIQ746" s="213"/>
      <c r="VIR746" s="213"/>
      <c r="VIS746" s="213"/>
      <c r="VIT746" s="213"/>
      <c r="VIU746" s="213"/>
      <c r="VIV746" s="213"/>
      <c r="VIW746" s="213"/>
      <c r="VIX746" s="213"/>
      <c r="VIY746" s="213"/>
      <c r="VIZ746" s="213"/>
      <c r="VJA746" s="213"/>
      <c r="VJB746" s="213"/>
      <c r="VJC746" s="213"/>
      <c r="VJD746" s="213"/>
      <c r="VJE746" s="213"/>
      <c r="VJF746" s="213"/>
      <c r="VJG746" s="213"/>
      <c r="VJH746" s="213"/>
      <c r="VJI746" s="213"/>
      <c r="VJJ746" s="213"/>
      <c r="VJK746" s="213"/>
      <c r="VJL746" s="213"/>
      <c r="VJM746" s="213"/>
      <c r="VJN746" s="213"/>
      <c r="VJO746" s="213"/>
      <c r="VJP746" s="213"/>
      <c r="VJQ746" s="213"/>
      <c r="VJR746" s="213"/>
      <c r="VJS746" s="213"/>
      <c r="VJT746" s="213"/>
      <c r="VJU746" s="213"/>
      <c r="VJV746" s="213"/>
      <c r="VJW746" s="213"/>
      <c r="VJX746" s="213"/>
      <c r="VJY746" s="213"/>
      <c r="VJZ746" s="213"/>
      <c r="VKA746" s="213"/>
      <c r="VKB746" s="213"/>
      <c r="VKC746" s="213"/>
      <c r="VKD746" s="213"/>
      <c r="VKE746" s="213"/>
      <c r="VKF746" s="213"/>
      <c r="VKG746" s="213"/>
      <c r="VKH746" s="213"/>
      <c r="VKI746" s="213"/>
      <c r="VKJ746" s="213"/>
      <c r="VKK746" s="213"/>
      <c r="VKL746" s="213"/>
      <c r="VKM746" s="213"/>
      <c r="VKN746" s="213"/>
      <c r="VKO746" s="213"/>
      <c r="VKP746" s="213"/>
      <c r="VKQ746" s="213"/>
      <c r="VKR746" s="213"/>
      <c r="VKS746" s="213"/>
      <c r="VKT746" s="213"/>
      <c r="VKU746" s="213"/>
      <c r="VKV746" s="213"/>
      <c r="VKW746" s="213"/>
      <c r="VKX746" s="213"/>
      <c r="VKY746" s="213"/>
      <c r="VKZ746" s="213"/>
      <c r="VLA746" s="213"/>
      <c r="VLB746" s="213"/>
      <c r="VLC746" s="213"/>
      <c r="VLD746" s="213"/>
      <c r="VLE746" s="213"/>
      <c r="VLF746" s="213"/>
      <c r="VLG746" s="213"/>
      <c r="VLH746" s="213"/>
      <c r="VLI746" s="213"/>
      <c r="VLJ746" s="213"/>
      <c r="VLK746" s="213"/>
      <c r="VLL746" s="213"/>
      <c r="VLM746" s="213"/>
      <c r="VLN746" s="213"/>
      <c r="VLO746" s="213"/>
      <c r="VLP746" s="213"/>
      <c r="VLQ746" s="213"/>
      <c r="VLR746" s="213"/>
      <c r="VLS746" s="213"/>
      <c r="VLT746" s="213"/>
      <c r="VLU746" s="213"/>
      <c r="VLV746" s="213"/>
      <c r="VLW746" s="213"/>
      <c r="VLX746" s="213"/>
      <c r="VLY746" s="213"/>
      <c r="VLZ746" s="213"/>
      <c r="VMA746" s="213"/>
      <c r="VMB746" s="213"/>
      <c r="VMC746" s="213"/>
      <c r="VMD746" s="213"/>
      <c r="VME746" s="213"/>
      <c r="VMF746" s="213"/>
      <c r="VMG746" s="213"/>
      <c r="VMH746" s="213"/>
      <c r="VMI746" s="213"/>
      <c r="VMJ746" s="213"/>
      <c r="VMK746" s="213"/>
      <c r="VML746" s="213"/>
      <c r="VMM746" s="213"/>
      <c r="VMN746" s="213"/>
      <c r="VMO746" s="213"/>
      <c r="VMP746" s="213"/>
      <c r="VMQ746" s="213"/>
      <c r="VMR746" s="213"/>
      <c r="VMS746" s="213"/>
      <c r="VMT746" s="213"/>
      <c r="VMU746" s="213"/>
      <c r="VMV746" s="213"/>
      <c r="VMW746" s="213"/>
      <c r="VMX746" s="213"/>
      <c r="VMY746" s="213"/>
      <c r="VMZ746" s="213"/>
      <c r="VNA746" s="213"/>
      <c r="VNB746" s="213"/>
      <c r="VNC746" s="213"/>
      <c r="VND746" s="213"/>
      <c r="VNE746" s="213"/>
      <c r="VNF746" s="213"/>
      <c r="VNG746" s="213"/>
      <c r="VNH746" s="213"/>
      <c r="VNI746" s="213"/>
      <c r="VNJ746" s="213"/>
      <c r="VNK746" s="213"/>
      <c r="VNL746" s="213"/>
      <c r="VNM746" s="213"/>
      <c r="VNN746" s="213"/>
      <c r="VNO746" s="213"/>
      <c r="VNP746" s="213"/>
      <c r="VNQ746" s="213"/>
      <c r="VNR746" s="213"/>
      <c r="VNS746" s="213"/>
      <c r="VNT746" s="213"/>
      <c r="VNU746" s="213"/>
      <c r="VNV746" s="213"/>
      <c r="VNW746" s="213"/>
      <c r="VNX746" s="213"/>
      <c r="VNY746" s="213"/>
      <c r="VNZ746" s="213"/>
      <c r="VOA746" s="213"/>
      <c r="VOB746" s="213"/>
      <c r="VOC746" s="213"/>
      <c r="VOD746" s="213"/>
      <c r="VOE746" s="213"/>
      <c r="VOF746" s="213"/>
      <c r="VOG746" s="213"/>
      <c r="VOH746" s="213"/>
      <c r="VOI746" s="213"/>
      <c r="VOJ746" s="213"/>
      <c r="VOK746" s="213"/>
      <c r="VOL746" s="213"/>
      <c r="VOM746" s="213"/>
      <c r="VON746" s="213"/>
      <c r="VOO746" s="213"/>
      <c r="VOP746" s="213"/>
      <c r="VOQ746" s="213"/>
      <c r="VOR746" s="213"/>
      <c r="VOS746" s="213"/>
      <c r="VOT746" s="213"/>
      <c r="VOU746" s="213"/>
      <c r="VOV746" s="213"/>
      <c r="VOW746" s="213"/>
      <c r="VOX746" s="213"/>
      <c r="VOY746" s="213"/>
      <c r="VOZ746" s="213"/>
      <c r="VPA746" s="213"/>
      <c r="VPB746" s="213"/>
      <c r="VPC746" s="213"/>
      <c r="VPD746" s="213"/>
      <c r="VPE746" s="213"/>
      <c r="VPF746" s="213"/>
      <c r="VPG746" s="213"/>
      <c r="VPH746" s="213"/>
      <c r="VPI746" s="213"/>
      <c r="VPJ746" s="213"/>
      <c r="VPK746" s="213"/>
      <c r="VPL746" s="213"/>
      <c r="VPM746" s="213"/>
      <c r="VPN746" s="213"/>
      <c r="VPO746" s="213"/>
      <c r="VPP746" s="213"/>
      <c r="VPQ746" s="213"/>
      <c r="VPR746" s="213"/>
      <c r="VPS746" s="213"/>
      <c r="VPT746" s="213"/>
      <c r="VPU746" s="213"/>
      <c r="VPV746" s="213"/>
      <c r="VPW746" s="213"/>
      <c r="VPX746" s="213"/>
      <c r="VPY746" s="213"/>
      <c r="VPZ746" s="213"/>
      <c r="VQA746" s="213"/>
      <c r="VQB746" s="213"/>
      <c r="VQC746" s="213"/>
      <c r="VQD746" s="213"/>
      <c r="VQE746" s="213"/>
      <c r="VQF746" s="213"/>
      <c r="VQG746" s="213"/>
      <c r="VQH746" s="213"/>
      <c r="VQI746" s="213"/>
      <c r="VQJ746" s="213"/>
      <c r="VQK746" s="213"/>
      <c r="VQL746" s="213"/>
      <c r="VQM746" s="213"/>
      <c r="VQN746" s="213"/>
      <c r="VQO746" s="213"/>
      <c r="VQP746" s="213"/>
      <c r="VQQ746" s="213"/>
      <c r="VQR746" s="213"/>
      <c r="VQS746" s="213"/>
      <c r="VQT746" s="213"/>
      <c r="VQU746" s="213"/>
      <c r="VQV746" s="213"/>
      <c r="VQW746" s="213"/>
      <c r="VQX746" s="213"/>
      <c r="VQY746" s="213"/>
      <c r="VQZ746" s="213"/>
      <c r="VRA746" s="213"/>
      <c r="VRB746" s="213"/>
      <c r="VRC746" s="213"/>
      <c r="VRD746" s="213"/>
      <c r="VRE746" s="213"/>
      <c r="VRF746" s="213"/>
      <c r="VRG746" s="213"/>
      <c r="VRH746" s="213"/>
      <c r="VRI746" s="213"/>
      <c r="VRJ746" s="213"/>
      <c r="VRK746" s="213"/>
      <c r="VRL746" s="213"/>
      <c r="VRM746" s="213"/>
      <c r="VRN746" s="213"/>
      <c r="VRO746" s="213"/>
      <c r="VRP746" s="213"/>
      <c r="VRQ746" s="213"/>
      <c r="VRR746" s="213"/>
      <c r="VRS746" s="213"/>
      <c r="VRT746" s="213"/>
      <c r="VRU746" s="213"/>
      <c r="VRV746" s="213"/>
      <c r="VRW746" s="213"/>
      <c r="VRX746" s="213"/>
      <c r="VRY746" s="213"/>
      <c r="VRZ746" s="213"/>
      <c r="VSA746" s="213"/>
      <c r="VSB746" s="213"/>
      <c r="VSC746" s="213"/>
      <c r="VSD746" s="213"/>
      <c r="VSE746" s="213"/>
      <c r="VSF746" s="213"/>
      <c r="VSG746" s="213"/>
      <c r="VSH746" s="213"/>
      <c r="VSI746" s="213"/>
      <c r="VSJ746" s="213"/>
      <c r="VSK746" s="213"/>
      <c r="VSL746" s="213"/>
      <c r="VSM746" s="213"/>
      <c r="VSN746" s="213"/>
      <c r="VSO746" s="213"/>
      <c r="VSP746" s="213"/>
      <c r="VSQ746" s="213"/>
      <c r="VSR746" s="213"/>
      <c r="VSS746" s="213"/>
      <c r="VST746" s="213"/>
      <c r="VSU746" s="213"/>
      <c r="VSV746" s="213"/>
      <c r="VSW746" s="213"/>
      <c r="VSX746" s="213"/>
      <c r="VSY746" s="213"/>
      <c r="VSZ746" s="213"/>
      <c r="VTA746" s="213"/>
      <c r="VTB746" s="213"/>
      <c r="VTC746" s="213"/>
      <c r="VTD746" s="213"/>
      <c r="VTE746" s="213"/>
      <c r="VTF746" s="213"/>
      <c r="VTG746" s="213"/>
      <c r="VTH746" s="213"/>
      <c r="VTI746" s="213"/>
      <c r="VTJ746" s="213"/>
      <c r="VTK746" s="213"/>
      <c r="VTL746" s="213"/>
      <c r="VTM746" s="213"/>
      <c r="VTN746" s="213"/>
      <c r="VTO746" s="213"/>
      <c r="VTP746" s="213"/>
      <c r="VTQ746" s="213"/>
      <c r="VTR746" s="213"/>
      <c r="VTS746" s="213"/>
      <c r="VTT746" s="213"/>
      <c r="VTU746" s="213"/>
      <c r="VTV746" s="213"/>
      <c r="VTW746" s="213"/>
      <c r="VTX746" s="213"/>
      <c r="VTY746" s="213"/>
      <c r="VTZ746" s="213"/>
      <c r="VUA746" s="213"/>
      <c r="VUB746" s="213"/>
      <c r="VUC746" s="213"/>
      <c r="VUD746" s="213"/>
      <c r="VUE746" s="213"/>
      <c r="VUF746" s="213"/>
      <c r="VUG746" s="213"/>
      <c r="VUH746" s="213"/>
      <c r="VUI746" s="213"/>
      <c r="VUJ746" s="213"/>
      <c r="VUK746" s="213"/>
      <c r="VUL746" s="213"/>
      <c r="VUM746" s="213"/>
      <c r="VUN746" s="213"/>
      <c r="VUO746" s="213"/>
      <c r="VUP746" s="213"/>
      <c r="VUQ746" s="213"/>
      <c r="VUR746" s="213"/>
      <c r="VUS746" s="213"/>
      <c r="VUT746" s="213"/>
      <c r="VUU746" s="213"/>
      <c r="VUV746" s="213"/>
      <c r="VUW746" s="213"/>
      <c r="VUX746" s="213"/>
      <c r="VUY746" s="213"/>
      <c r="VUZ746" s="213"/>
      <c r="VVA746" s="213"/>
      <c r="VVB746" s="213"/>
      <c r="VVC746" s="213"/>
      <c r="VVD746" s="213"/>
      <c r="VVE746" s="213"/>
      <c r="VVF746" s="213"/>
      <c r="VVG746" s="213"/>
      <c r="VVH746" s="213"/>
      <c r="VVI746" s="213"/>
      <c r="VVJ746" s="213"/>
      <c r="VVK746" s="213"/>
      <c r="VVL746" s="213"/>
      <c r="VVM746" s="213"/>
      <c r="VVN746" s="213"/>
      <c r="VVO746" s="213"/>
      <c r="VVP746" s="213"/>
      <c r="VVQ746" s="213"/>
      <c r="VVR746" s="213"/>
      <c r="VVS746" s="213"/>
      <c r="VVT746" s="213"/>
      <c r="VVU746" s="213"/>
      <c r="VVV746" s="213"/>
      <c r="VVW746" s="213"/>
      <c r="VVX746" s="213"/>
      <c r="VVY746" s="213"/>
      <c r="VVZ746" s="213"/>
      <c r="VWA746" s="213"/>
      <c r="VWB746" s="213"/>
      <c r="VWC746" s="213"/>
      <c r="VWD746" s="213"/>
      <c r="VWE746" s="213"/>
      <c r="VWF746" s="213"/>
      <c r="VWG746" s="213"/>
      <c r="VWH746" s="213"/>
      <c r="VWI746" s="213"/>
      <c r="VWJ746" s="213"/>
      <c r="VWK746" s="213"/>
      <c r="VWL746" s="213"/>
      <c r="VWM746" s="213"/>
      <c r="VWN746" s="213"/>
      <c r="VWO746" s="213"/>
      <c r="VWP746" s="213"/>
      <c r="VWQ746" s="213"/>
      <c r="VWR746" s="213"/>
      <c r="VWS746" s="213"/>
      <c r="VWT746" s="213"/>
      <c r="VWU746" s="213"/>
      <c r="VWV746" s="213"/>
      <c r="VWW746" s="213"/>
      <c r="VWX746" s="213"/>
      <c r="VWY746" s="213"/>
      <c r="VWZ746" s="213"/>
      <c r="VXA746" s="213"/>
      <c r="VXB746" s="213"/>
      <c r="VXC746" s="213"/>
      <c r="VXD746" s="213"/>
      <c r="VXE746" s="213"/>
      <c r="VXF746" s="213"/>
      <c r="VXG746" s="213"/>
      <c r="VXH746" s="213"/>
      <c r="VXI746" s="213"/>
      <c r="VXJ746" s="213"/>
      <c r="VXK746" s="213"/>
      <c r="VXL746" s="213"/>
      <c r="VXM746" s="213"/>
      <c r="VXN746" s="213"/>
      <c r="VXO746" s="213"/>
      <c r="VXP746" s="213"/>
      <c r="VXQ746" s="213"/>
      <c r="VXR746" s="213"/>
      <c r="VXS746" s="213"/>
      <c r="VXT746" s="213"/>
      <c r="VXU746" s="213"/>
      <c r="VXV746" s="213"/>
      <c r="VXW746" s="213"/>
      <c r="VXX746" s="213"/>
      <c r="VXY746" s="213"/>
      <c r="VXZ746" s="213"/>
      <c r="VYA746" s="213"/>
      <c r="VYB746" s="213"/>
      <c r="VYC746" s="213"/>
      <c r="VYD746" s="213"/>
      <c r="VYE746" s="213"/>
      <c r="VYF746" s="213"/>
      <c r="VYG746" s="213"/>
      <c r="VYH746" s="213"/>
      <c r="VYI746" s="213"/>
      <c r="VYJ746" s="213"/>
      <c r="VYK746" s="213"/>
      <c r="VYL746" s="213"/>
      <c r="VYM746" s="213"/>
      <c r="VYN746" s="213"/>
      <c r="VYO746" s="213"/>
      <c r="VYP746" s="213"/>
      <c r="VYQ746" s="213"/>
      <c r="VYR746" s="213"/>
      <c r="VYS746" s="213"/>
      <c r="VYT746" s="213"/>
      <c r="VYU746" s="213"/>
      <c r="VYV746" s="213"/>
      <c r="VYW746" s="213"/>
      <c r="VYX746" s="213"/>
      <c r="VYY746" s="213"/>
      <c r="VYZ746" s="213"/>
      <c r="VZA746" s="213"/>
      <c r="VZB746" s="213"/>
      <c r="VZC746" s="213"/>
      <c r="VZD746" s="213"/>
      <c r="VZE746" s="213"/>
      <c r="VZF746" s="213"/>
      <c r="VZG746" s="213"/>
      <c r="VZH746" s="213"/>
      <c r="VZI746" s="213"/>
      <c r="VZJ746" s="213"/>
      <c r="VZK746" s="213"/>
      <c r="VZL746" s="213"/>
      <c r="VZM746" s="213"/>
      <c r="VZN746" s="213"/>
      <c r="VZO746" s="213"/>
      <c r="VZP746" s="213"/>
      <c r="VZQ746" s="213"/>
      <c r="VZR746" s="213"/>
      <c r="VZS746" s="213"/>
      <c r="VZT746" s="213"/>
      <c r="VZU746" s="213"/>
      <c r="VZV746" s="213"/>
      <c r="VZW746" s="213"/>
      <c r="VZX746" s="213"/>
      <c r="VZY746" s="213"/>
      <c r="VZZ746" s="213"/>
      <c r="WAA746" s="213"/>
      <c r="WAB746" s="213"/>
      <c r="WAC746" s="213"/>
      <c r="WAD746" s="213"/>
      <c r="WAE746" s="213"/>
      <c r="WAF746" s="213"/>
      <c r="WAG746" s="213"/>
      <c r="WAH746" s="213"/>
      <c r="WAI746" s="213"/>
      <c r="WAJ746" s="213"/>
      <c r="WAK746" s="213"/>
      <c r="WAL746" s="213"/>
      <c r="WAM746" s="213"/>
      <c r="WAN746" s="213"/>
      <c r="WAO746" s="213"/>
      <c r="WAP746" s="213"/>
      <c r="WAQ746" s="213"/>
      <c r="WAR746" s="213"/>
      <c r="WAS746" s="213"/>
      <c r="WAT746" s="213"/>
      <c r="WAU746" s="213"/>
      <c r="WAV746" s="213"/>
      <c r="WAW746" s="213"/>
      <c r="WAX746" s="213"/>
      <c r="WAY746" s="213"/>
      <c r="WAZ746" s="213"/>
      <c r="WBA746" s="213"/>
      <c r="WBB746" s="213"/>
      <c r="WBC746" s="213"/>
      <c r="WBD746" s="213"/>
      <c r="WBE746" s="213"/>
      <c r="WBF746" s="213"/>
      <c r="WBG746" s="213"/>
      <c r="WBH746" s="213"/>
      <c r="WBI746" s="213"/>
      <c r="WBJ746" s="213"/>
      <c r="WBK746" s="213"/>
      <c r="WBL746" s="213"/>
      <c r="WBM746" s="213"/>
      <c r="WBN746" s="213"/>
      <c r="WBO746" s="213"/>
      <c r="WBP746" s="213"/>
      <c r="WBQ746" s="213"/>
      <c r="WBR746" s="213"/>
      <c r="WBS746" s="213"/>
      <c r="WBT746" s="213"/>
      <c r="WBU746" s="213"/>
      <c r="WBV746" s="213"/>
      <c r="WBW746" s="213"/>
      <c r="WBX746" s="213"/>
      <c r="WBY746" s="213"/>
      <c r="WBZ746" s="213"/>
      <c r="WCA746" s="213"/>
      <c r="WCB746" s="213"/>
      <c r="WCC746" s="213"/>
      <c r="WCD746" s="213"/>
      <c r="WCE746" s="213"/>
      <c r="WCF746" s="213"/>
      <c r="WCG746" s="213"/>
      <c r="WCH746" s="213"/>
      <c r="WCI746" s="213"/>
      <c r="WCJ746" s="213"/>
      <c r="WCK746" s="213"/>
      <c r="WCL746" s="213"/>
      <c r="WCM746" s="213"/>
      <c r="WCN746" s="213"/>
      <c r="WCO746" s="213"/>
      <c r="WCP746" s="213"/>
      <c r="WCQ746" s="213"/>
      <c r="WCR746" s="213"/>
      <c r="WCS746" s="213"/>
      <c r="WCT746" s="213"/>
      <c r="WCU746" s="213"/>
      <c r="WCV746" s="213"/>
      <c r="WCW746" s="213"/>
      <c r="WCX746" s="213"/>
      <c r="WCY746" s="213"/>
      <c r="WCZ746" s="213"/>
      <c r="WDA746" s="213"/>
      <c r="WDB746" s="213"/>
      <c r="WDC746" s="213"/>
      <c r="WDD746" s="213"/>
      <c r="WDE746" s="213"/>
      <c r="WDF746" s="213"/>
      <c r="WDG746" s="213"/>
      <c r="WDH746" s="213"/>
      <c r="WDI746" s="213"/>
      <c r="WDJ746" s="213"/>
      <c r="WDK746" s="213"/>
      <c r="WDL746" s="213"/>
      <c r="WDM746" s="213"/>
      <c r="WDN746" s="213"/>
      <c r="WDO746" s="213"/>
      <c r="WDP746" s="213"/>
      <c r="WDQ746" s="213"/>
      <c r="WDR746" s="213"/>
      <c r="WDS746" s="213"/>
      <c r="WDT746" s="213"/>
      <c r="WDU746" s="213"/>
      <c r="WDV746" s="213"/>
      <c r="WDW746" s="213"/>
      <c r="WDX746" s="213"/>
      <c r="WDY746" s="213"/>
      <c r="WDZ746" s="213"/>
      <c r="WEA746" s="213"/>
      <c r="WEB746" s="213"/>
      <c r="WEC746" s="213"/>
      <c r="WED746" s="213"/>
      <c r="WEE746" s="213"/>
      <c r="WEF746" s="213"/>
      <c r="WEG746" s="213"/>
      <c r="WEH746" s="213"/>
      <c r="WEI746" s="213"/>
      <c r="WEJ746" s="213"/>
      <c r="WEK746" s="213"/>
      <c r="WEL746" s="213"/>
      <c r="WEM746" s="213"/>
      <c r="WEN746" s="213"/>
      <c r="WEO746" s="213"/>
      <c r="WEP746" s="213"/>
      <c r="WEQ746" s="213"/>
      <c r="WER746" s="213"/>
      <c r="WES746" s="213"/>
      <c r="WET746" s="213"/>
      <c r="WEU746" s="213"/>
      <c r="WEV746" s="213"/>
      <c r="WEW746" s="213"/>
      <c r="WEX746" s="213"/>
      <c r="WEY746" s="213"/>
      <c r="WEZ746" s="213"/>
      <c r="WFA746" s="213"/>
      <c r="WFB746" s="213"/>
      <c r="WFC746" s="213"/>
      <c r="WFD746" s="213"/>
      <c r="WFE746" s="213"/>
      <c r="WFF746" s="213"/>
      <c r="WFG746" s="213"/>
      <c r="WFH746" s="213"/>
      <c r="WFI746" s="213"/>
      <c r="WFJ746" s="213"/>
      <c r="WFK746" s="213"/>
      <c r="WFL746" s="213"/>
      <c r="WFM746" s="213"/>
      <c r="WFN746" s="213"/>
      <c r="WFO746" s="213"/>
      <c r="WFP746" s="213"/>
      <c r="WFQ746" s="213"/>
      <c r="WFR746" s="213"/>
      <c r="WFS746" s="213"/>
      <c r="WFT746" s="213"/>
      <c r="WFU746" s="213"/>
      <c r="WFV746" s="213"/>
      <c r="WFW746" s="213"/>
      <c r="WFX746" s="213"/>
      <c r="WFY746" s="213"/>
      <c r="WFZ746" s="213"/>
      <c r="WGA746" s="213"/>
      <c r="WGB746" s="213"/>
      <c r="WGC746" s="213"/>
      <c r="WGD746" s="213"/>
      <c r="WGE746" s="213"/>
      <c r="WGF746" s="213"/>
      <c r="WGG746" s="213"/>
      <c r="WGH746" s="213"/>
      <c r="WGI746" s="213"/>
      <c r="WGJ746" s="213"/>
      <c r="WGK746" s="213"/>
      <c r="WGL746" s="213"/>
      <c r="WGM746" s="213"/>
      <c r="WGN746" s="213"/>
      <c r="WGO746" s="213"/>
      <c r="WGP746" s="213"/>
      <c r="WGQ746" s="213"/>
      <c r="WGR746" s="213"/>
      <c r="WGS746" s="213"/>
      <c r="WGT746" s="213"/>
      <c r="WGU746" s="213"/>
      <c r="WGV746" s="213"/>
      <c r="WGW746" s="213"/>
      <c r="WGX746" s="213"/>
      <c r="WGY746" s="213"/>
      <c r="WGZ746" s="213"/>
      <c r="WHA746" s="213"/>
      <c r="WHB746" s="213"/>
      <c r="WHC746" s="213"/>
      <c r="WHD746" s="213"/>
      <c r="WHE746" s="213"/>
      <c r="WHF746" s="213"/>
      <c r="WHG746" s="213"/>
      <c r="WHH746" s="213"/>
      <c r="WHI746" s="213"/>
      <c r="WHJ746" s="213"/>
      <c r="WHK746" s="213"/>
      <c r="WHL746" s="213"/>
      <c r="WHM746" s="213"/>
      <c r="WHN746" s="213"/>
      <c r="WHO746" s="213"/>
      <c r="WHP746" s="213"/>
      <c r="WHQ746" s="213"/>
      <c r="WHR746" s="213"/>
      <c r="WHS746" s="213"/>
      <c r="WHT746" s="213"/>
      <c r="WHU746" s="213"/>
      <c r="WHV746" s="213"/>
      <c r="WHW746" s="213"/>
      <c r="WHX746" s="213"/>
      <c r="WHY746" s="213"/>
      <c r="WHZ746" s="213"/>
      <c r="WIA746" s="213"/>
      <c r="WIB746" s="213"/>
      <c r="WIC746" s="213"/>
      <c r="WID746" s="213"/>
      <c r="WIE746" s="213"/>
      <c r="WIF746" s="213"/>
      <c r="WIG746" s="213"/>
      <c r="WIH746" s="213"/>
      <c r="WII746" s="213"/>
      <c r="WIJ746" s="213"/>
      <c r="WIK746" s="213"/>
      <c r="WIL746" s="213"/>
      <c r="WIM746" s="213"/>
      <c r="WIN746" s="213"/>
      <c r="WIO746" s="213"/>
      <c r="WIP746" s="213"/>
      <c r="WIQ746" s="213"/>
      <c r="WIR746" s="213"/>
      <c r="WIS746" s="213"/>
      <c r="WIT746" s="213"/>
      <c r="WIU746" s="213"/>
      <c r="WIV746" s="213"/>
      <c r="WIW746" s="213"/>
      <c r="WIX746" s="213"/>
      <c r="WIY746" s="213"/>
      <c r="WIZ746" s="213"/>
      <c r="WJA746" s="213"/>
      <c r="WJB746" s="213"/>
      <c r="WJC746" s="213"/>
      <c r="WJD746" s="213"/>
      <c r="WJE746" s="213"/>
      <c r="WJF746" s="213"/>
      <c r="WJG746" s="213"/>
      <c r="WJH746" s="213"/>
      <c r="WJI746" s="213"/>
      <c r="WJJ746" s="213"/>
      <c r="WJK746" s="213"/>
      <c r="WJL746" s="213"/>
      <c r="WJM746" s="213"/>
      <c r="WJN746" s="213"/>
      <c r="WJO746" s="213"/>
      <c r="WJP746" s="213"/>
      <c r="WJQ746" s="213"/>
      <c r="WJR746" s="213"/>
      <c r="WJS746" s="213"/>
      <c r="WJT746" s="213"/>
      <c r="WJU746" s="213"/>
      <c r="WJV746" s="213"/>
      <c r="WJW746" s="213"/>
      <c r="WJX746" s="213"/>
      <c r="WJY746" s="213"/>
      <c r="WJZ746" s="213"/>
      <c r="WKA746" s="213"/>
      <c r="WKB746" s="213"/>
      <c r="WKC746" s="213"/>
      <c r="WKD746" s="213"/>
      <c r="WKE746" s="213"/>
      <c r="WKF746" s="213"/>
      <c r="WKG746" s="213"/>
      <c r="WKH746" s="213"/>
      <c r="WKI746" s="213"/>
      <c r="WKJ746" s="213"/>
      <c r="WKK746" s="213"/>
      <c r="WKL746" s="213"/>
      <c r="WKM746" s="213"/>
      <c r="WKN746" s="213"/>
      <c r="WKO746" s="213"/>
      <c r="WKP746" s="213"/>
      <c r="WKQ746" s="213"/>
      <c r="WKR746" s="213"/>
      <c r="WKS746" s="213"/>
      <c r="WKT746" s="213"/>
      <c r="WKU746" s="213"/>
      <c r="WKV746" s="213"/>
      <c r="WKW746" s="213"/>
      <c r="WKX746" s="213"/>
      <c r="WKY746" s="213"/>
      <c r="WKZ746" s="213"/>
      <c r="WLA746" s="213"/>
      <c r="WLB746" s="213"/>
      <c r="WLC746" s="213"/>
      <c r="WLD746" s="213"/>
      <c r="WLE746" s="213"/>
      <c r="WLF746" s="213"/>
      <c r="WLG746" s="213"/>
      <c r="WLH746" s="213"/>
      <c r="WLI746" s="213"/>
      <c r="WLJ746" s="213"/>
      <c r="WLK746" s="213"/>
      <c r="WLL746" s="213"/>
      <c r="WLM746" s="213"/>
      <c r="WLN746" s="213"/>
      <c r="WLO746" s="213"/>
      <c r="WLP746" s="213"/>
      <c r="WLQ746" s="213"/>
      <c r="WLR746" s="213"/>
      <c r="WLS746" s="213"/>
      <c r="WLT746" s="213"/>
      <c r="WLU746" s="213"/>
      <c r="WLV746" s="213"/>
      <c r="WLW746" s="213"/>
      <c r="WLX746" s="213"/>
      <c r="WLY746" s="213"/>
      <c r="WLZ746" s="213"/>
      <c r="WMA746" s="213"/>
      <c r="WMB746" s="213"/>
      <c r="WMC746" s="213"/>
      <c r="WMD746" s="213"/>
      <c r="WME746" s="213"/>
      <c r="WMF746" s="213"/>
      <c r="WMG746" s="213"/>
      <c r="WMH746" s="213"/>
      <c r="WMI746" s="213"/>
      <c r="WMJ746" s="213"/>
      <c r="WMK746" s="213"/>
      <c r="WML746" s="213"/>
      <c r="WMM746" s="213"/>
      <c r="WMN746" s="213"/>
      <c r="WMO746" s="213"/>
      <c r="WMP746" s="213"/>
      <c r="WMQ746" s="213"/>
      <c r="WMR746" s="213"/>
      <c r="WMS746" s="213"/>
      <c r="WMT746" s="213"/>
      <c r="WMU746" s="213"/>
      <c r="WMV746" s="213"/>
      <c r="WMW746" s="213"/>
      <c r="WMX746" s="213"/>
      <c r="WMY746" s="213"/>
      <c r="WMZ746" s="213"/>
      <c r="WNA746" s="213"/>
      <c r="WNB746" s="213"/>
      <c r="WNC746" s="213"/>
      <c r="WND746" s="213"/>
      <c r="WNE746" s="213"/>
      <c r="WNF746" s="213"/>
      <c r="WNG746" s="213"/>
      <c r="WNH746" s="213"/>
      <c r="WNI746" s="213"/>
      <c r="WNJ746" s="213"/>
      <c r="WNK746" s="213"/>
      <c r="WNL746" s="213"/>
      <c r="WNM746" s="213"/>
      <c r="WNN746" s="213"/>
      <c r="WNO746" s="213"/>
      <c r="WNP746" s="213"/>
      <c r="WNQ746" s="213"/>
      <c r="WNR746" s="213"/>
      <c r="WNS746" s="213"/>
      <c r="WNT746" s="213"/>
      <c r="WNU746" s="213"/>
      <c r="WNV746" s="213"/>
      <c r="WNW746" s="213"/>
      <c r="WNX746" s="213"/>
      <c r="WNY746" s="213"/>
      <c r="WNZ746" s="213"/>
      <c r="WOA746" s="213"/>
      <c r="WOB746" s="213"/>
      <c r="WOC746" s="213"/>
      <c r="WOD746" s="213"/>
      <c r="WOE746" s="213"/>
      <c r="WOF746" s="213"/>
      <c r="WOG746" s="213"/>
      <c r="WOH746" s="213"/>
      <c r="WOI746" s="213"/>
      <c r="WOJ746" s="213"/>
      <c r="WOK746" s="213"/>
      <c r="WOL746" s="213"/>
      <c r="WOM746" s="213"/>
      <c r="WON746" s="213"/>
      <c r="WOO746" s="213"/>
      <c r="WOP746" s="213"/>
      <c r="WOQ746" s="213"/>
      <c r="WOR746" s="213"/>
      <c r="WOS746" s="213"/>
      <c r="WOT746" s="213"/>
      <c r="WOU746" s="213"/>
      <c r="WOV746" s="213"/>
      <c r="WOW746" s="213"/>
      <c r="WOX746" s="213"/>
      <c r="WOY746" s="213"/>
      <c r="WOZ746" s="213"/>
      <c r="WPA746" s="213"/>
      <c r="WPB746" s="213"/>
      <c r="WPC746" s="213"/>
      <c r="WPD746" s="213"/>
      <c r="WPE746" s="213"/>
      <c r="WPF746" s="213"/>
      <c r="WPG746" s="213"/>
      <c r="WPH746" s="213"/>
      <c r="WPI746" s="213"/>
      <c r="WPJ746" s="213"/>
      <c r="WPK746" s="213"/>
      <c r="WPL746" s="213"/>
      <c r="WPM746" s="213"/>
      <c r="WPN746" s="213"/>
      <c r="WPO746" s="213"/>
      <c r="WPP746" s="213"/>
      <c r="WPQ746" s="213"/>
      <c r="WPR746" s="213"/>
      <c r="WPS746" s="213"/>
      <c r="WPT746" s="213"/>
      <c r="WPU746" s="213"/>
      <c r="WPV746" s="213"/>
      <c r="WPW746" s="213"/>
      <c r="WPX746" s="213"/>
      <c r="WPY746" s="213"/>
      <c r="WPZ746" s="213"/>
      <c r="WQA746" s="213"/>
      <c r="WQB746" s="213"/>
      <c r="WQC746" s="213"/>
      <c r="WQD746" s="213"/>
      <c r="WQE746" s="213"/>
      <c r="WQF746" s="213"/>
      <c r="WQG746" s="213"/>
      <c r="WQH746" s="213"/>
      <c r="WQI746" s="213"/>
      <c r="WQJ746" s="213"/>
      <c r="WQK746" s="213"/>
      <c r="WQL746" s="213"/>
      <c r="WQM746" s="213"/>
      <c r="WQN746" s="213"/>
      <c r="WQO746" s="213"/>
      <c r="WQP746" s="213"/>
      <c r="WQQ746" s="213"/>
      <c r="WQR746" s="213"/>
      <c r="WQS746" s="213"/>
      <c r="WQT746" s="213"/>
      <c r="WQU746" s="213"/>
      <c r="WQV746" s="213"/>
      <c r="WQW746" s="213"/>
      <c r="WQX746" s="213"/>
      <c r="WQY746" s="213"/>
      <c r="WQZ746" s="213"/>
      <c r="WRA746" s="213"/>
      <c r="WRB746" s="213"/>
      <c r="WRC746" s="213"/>
      <c r="WRD746" s="213"/>
      <c r="WRE746" s="213"/>
      <c r="WRF746" s="213"/>
      <c r="WRG746" s="213"/>
      <c r="WRH746" s="213"/>
      <c r="WRI746" s="213"/>
      <c r="WRJ746" s="213"/>
      <c r="WRK746" s="213"/>
      <c r="WRL746" s="213"/>
      <c r="WRM746" s="213"/>
      <c r="WRN746" s="213"/>
      <c r="WRO746" s="213"/>
      <c r="WRP746" s="213"/>
      <c r="WRQ746" s="213"/>
      <c r="WRR746" s="213"/>
      <c r="WRS746" s="213"/>
      <c r="WRT746" s="213"/>
      <c r="WRU746" s="213"/>
      <c r="WRV746" s="213"/>
      <c r="WRW746" s="213"/>
      <c r="WRX746" s="213"/>
      <c r="WRY746" s="213"/>
      <c r="WRZ746" s="213"/>
      <c r="WSA746" s="213"/>
      <c r="WSB746" s="213"/>
      <c r="WSC746" s="213"/>
      <c r="WSD746" s="213"/>
      <c r="WSE746" s="213"/>
      <c r="WSF746" s="213"/>
      <c r="WSG746" s="213"/>
      <c r="WSH746" s="213"/>
      <c r="WSI746" s="213"/>
      <c r="WSJ746" s="213"/>
      <c r="WSK746" s="213"/>
      <c r="WSL746" s="213"/>
      <c r="WSM746" s="213"/>
      <c r="WSN746" s="213"/>
      <c r="WSO746" s="213"/>
      <c r="WSP746" s="213"/>
      <c r="WSQ746" s="213"/>
      <c r="WSR746" s="213"/>
      <c r="WSS746" s="213"/>
      <c r="WST746" s="213"/>
      <c r="WSU746" s="213"/>
      <c r="WSV746" s="213"/>
      <c r="WSW746" s="213"/>
      <c r="WSX746" s="213"/>
      <c r="WSY746" s="213"/>
      <c r="WSZ746" s="213"/>
      <c r="WTA746" s="213"/>
      <c r="WTB746" s="213"/>
      <c r="WTC746" s="213"/>
      <c r="WTD746" s="213"/>
      <c r="WTE746" s="213"/>
      <c r="WTF746" s="213"/>
      <c r="WTG746" s="213"/>
      <c r="WTH746" s="213"/>
      <c r="WTI746" s="213"/>
      <c r="WTJ746" s="213"/>
      <c r="WTK746" s="213"/>
      <c r="WTL746" s="213"/>
      <c r="WTM746" s="213"/>
      <c r="WTN746" s="213"/>
      <c r="WTO746" s="213"/>
      <c r="WTP746" s="213"/>
      <c r="WTQ746" s="213"/>
      <c r="WTR746" s="213"/>
      <c r="WTS746" s="213"/>
      <c r="WTT746" s="213"/>
      <c r="WTU746" s="213"/>
      <c r="WTV746" s="213"/>
      <c r="WTW746" s="213"/>
      <c r="WTX746" s="213"/>
      <c r="WTY746" s="213"/>
      <c r="WTZ746" s="213"/>
      <c r="WUA746" s="213"/>
      <c r="WUB746" s="213"/>
      <c r="WUC746" s="213"/>
      <c r="WUD746" s="213"/>
      <c r="WUE746" s="213"/>
      <c r="WUF746" s="213"/>
      <c r="WUG746" s="213"/>
      <c r="WUH746" s="213"/>
      <c r="WUI746" s="213"/>
      <c r="WUJ746" s="213"/>
      <c r="WUK746" s="213"/>
      <c r="WUL746" s="213"/>
      <c r="WUM746" s="213"/>
      <c r="WUN746" s="213"/>
      <c r="WUO746" s="213"/>
      <c r="WUP746" s="213"/>
      <c r="WUQ746" s="213"/>
      <c r="WUR746" s="213"/>
      <c r="WUS746" s="213"/>
      <c r="WUT746" s="213"/>
      <c r="WUU746" s="213"/>
      <c r="WUV746" s="213"/>
      <c r="WUW746" s="213"/>
      <c r="WUX746" s="213"/>
      <c r="WUY746" s="213"/>
      <c r="WUZ746" s="213"/>
      <c r="WVA746" s="213"/>
      <c r="WVB746" s="213"/>
      <c r="WVC746" s="213"/>
      <c r="WVD746" s="213"/>
      <c r="WVE746" s="213"/>
      <c r="WVF746" s="213"/>
      <c r="WVG746" s="213"/>
      <c r="WVH746" s="213"/>
      <c r="WVI746" s="213"/>
      <c r="WVJ746" s="213"/>
      <c r="WVK746" s="213"/>
      <c r="WVL746" s="213"/>
      <c r="WVM746" s="213"/>
      <c r="WVN746" s="213"/>
      <c r="WVO746" s="213"/>
      <c r="WVP746" s="213"/>
      <c r="WVQ746" s="213"/>
      <c r="WVR746" s="213"/>
      <c r="WVS746" s="213"/>
      <c r="WVT746" s="213"/>
      <c r="WVU746" s="213"/>
      <c r="WVV746" s="213"/>
      <c r="WVW746" s="213"/>
      <c r="WVX746" s="213"/>
      <c r="WVY746" s="213"/>
      <c r="WVZ746" s="213"/>
      <c r="WWA746" s="213"/>
      <c r="WWB746" s="213"/>
      <c r="WWC746" s="213"/>
      <c r="WWD746" s="213"/>
      <c r="WWE746" s="213"/>
      <c r="WWF746" s="213"/>
      <c r="WWG746" s="213"/>
      <c r="WWH746" s="213"/>
      <c r="WWI746" s="213"/>
      <c r="WWJ746" s="213"/>
      <c r="WWK746" s="213"/>
      <c r="WWL746" s="213"/>
      <c r="WWM746" s="213"/>
      <c r="WWN746" s="213"/>
      <c r="WWO746" s="213"/>
      <c r="WWP746" s="213"/>
      <c r="WWQ746" s="213"/>
      <c r="WWR746" s="213"/>
      <c r="WWS746" s="213"/>
      <c r="WWT746" s="213"/>
      <c r="WWU746" s="213"/>
      <c r="WWV746" s="213"/>
      <c r="WWW746" s="213"/>
      <c r="WWX746" s="213"/>
      <c r="WWY746" s="213"/>
      <c r="WWZ746" s="213"/>
      <c r="WXA746" s="213"/>
      <c r="WXB746" s="213"/>
      <c r="WXC746" s="213"/>
      <c r="WXD746" s="213"/>
      <c r="WXE746" s="213"/>
      <c r="WXF746" s="213"/>
      <c r="WXG746" s="213"/>
      <c r="WXH746" s="213"/>
      <c r="WXI746" s="213"/>
      <c r="WXJ746" s="213"/>
      <c r="WXK746" s="213"/>
      <c r="WXL746" s="213"/>
      <c r="WXM746" s="213"/>
      <c r="WXN746" s="213"/>
      <c r="WXO746" s="213"/>
      <c r="WXP746" s="213"/>
      <c r="WXQ746" s="213"/>
      <c r="WXR746" s="213"/>
      <c r="WXS746" s="213"/>
      <c r="WXT746" s="213"/>
      <c r="WXU746" s="213"/>
      <c r="WXV746" s="213"/>
      <c r="WXW746" s="213"/>
      <c r="WXX746" s="213"/>
      <c r="WXY746" s="213"/>
      <c r="WXZ746" s="213"/>
      <c r="WYA746" s="213"/>
      <c r="WYB746" s="213"/>
      <c r="WYC746" s="213"/>
      <c r="WYD746" s="213"/>
      <c r="WYE746" s="213"/>
      <c r="WYF746" s="213"/>
      <c r="WYG746" s="213"/>
      <c r="WYH746" s="213"/>
      <c r="WYI746" s="213"/>
      <c r="WYJ746" s="213"/>
      <c r="WYK746" s="213"/>
      <c r="WYL746" s="213"/>
      <c r="WYM746" s="213"/>
      <c r="WYN746" s="213"/>
      <c r="WYO746" s="213"/>
      <c r="WYP746" s="213"/>
      <c r="WYQ746" s="213"/>
      <c r="WYR746" s="213"/>
      <c r="WYS746" s="213"/>
      <c r="WYT746" s="213"/>
      <c r="WYU746" s="213"/>
      <c r="WYV746" s="213"/>
      <c r="WYW746" s="213"/>
      <c r="WYX746" s="213"/>
      <c r="WYY746" s="213"/>
      <c r="WYZ746" s="213"/>
      <c r="WZA746" s="213"/>
      <c r="WZB746" s="213"/>
      <c r="WZC746" s="213"/>
      <c r="WZD746" s="213"/>
      <c r="WZE746" s="213"/>
      <c r="WZF746" s="213"/>
      <c r="WZG746" s="213"/>
      <c r="WZH746" s="213"/>
      <c r="WZI746" s="213"/>
      <c r="WZJ746" s="213"/>
      <c r="WZK746" s="213"/>
      <c r="WZL746" s="213"/>
      <c r="WZM746" s="213"/>
      <c r="WZN746" s="213"/>
      <c r="WZO746" s="213"/>
      <c r="WZP746" s="213"/>
      <c r="WZQ746" s="213"/>
      <c r="WZR746" s="213"/>
      <c r="WZS746" s="213"/>
      <c r="WZT746" s="213"/>
      <c r="WZU746" s="213"/>
      <c r="WZV746" s="213"/>
      <c r="WZW746" s="213"/>
      <c r="WZX746" s="213"/>
      <c r="WZY746" s="213"/>
      <c r="WZZ746" s="213"/>
      <c r="XAA746" s="213"/>
      <c r="XAB746" s="213"/>
      <c r="XAC746" s="213"/>
      <c r="XAD746" s="213"/>
      <c r="XAE746" s="213"/>
      <c r="XAF746" s="213"/>
      <c r="XAG746" s="213"/>
      <c r="XAH746" s="213"/>
      <c r="XAI746" s="213"/>
      <c r="XAJ746" s="213"/>
      <c r="XAK746" s="213"/>
      <c r="XAL746" s="213"/>
      <c r="XAM746" s="213"/>
      <c r="XAN746" s="213"/>
      <c r="XAO746" s="213"/>
      <c r="XAP746" s="213"/>
      <c r="XAQ746" s="213"/>
      <c r="XAR746" s="213"/>
      <c r="XAS746" s="213"/>
      <c r="XAT746" s="213"/>
      <c r="XAU746" s="213"/>
      <c r="XAV746" s="213"/>
      <c r="XAW746" s="213"/>
      <c r="XAX746" s="213"/>
      <c r="XAY746" s="213"/>
      <c r="XAZ746" s="213"/>
      <c r="XBA746" s="213"/>
      <c r="XBB746" s="213"/>
      <c r="XBC746" s="213"/>
      <c r="XBD746" s="213"/>
      <c r="XBE746" s="213"/>
      <c r="XBF746" s="213"/>
      <c r="XBG746" s="213"/>
      <c r="XBH746" s="213"/>
      <c r="XBI746" s="213"/>
      <c r="XBJ746" s="213"/>
      <c r="XBK746" s="213"/>
      <c r="XBL746" s="213"/>
      <c r="XBM746" s="213"/>
      <c r="XBN746" s="213"/>
      <c r="XBO746" s="213"/>
      <c r="XBP746" s="213"/>
      <c r="XBQ746" s="213"/>
      <c r="XBR746" s="213"/>
      <c r="XBS746" s="213"/>
      <c r="XBT746" s="213"/>
      <c r="XBU746" s="213"/>
      <c r="XBV746" s="213"/>
      <c r="XBW746" s="213"/>
      <c r="XBX746" s="213"/>
      <c r="XBY746" s="213"/>
      <c r="XBZ746" s="213"/>
      <c r="XCA746" s="213"/>
      <c r="XCB746" s="213"/>
      <c r="XCC746" s="213"/>
      <c r="XCD746" s="213"/>
      <c r="XCE746" s="213"/>
      <c r="XCF746" s="213"/>
      <c r="XCG746" s="213"/>
      <c r="XCH746" s="213"/>
      <c r="XCI746" s="213"/>
      <c r="XCJ746" s="213"/>
      <c r="XCK746" s="213"/>
      <c r="XCL746" s="213"/>
      <c r="XCM746" s="213"/>
      <c r="XCN746" s="213"/>
      <c r="XCO746" s="213"/>
      <c r="XCP746" s="213"/>
      <c r="XCQ746" s="213"/>
      <c r="XCR746" s="213"/>
      <c r="XCS746" s="213"/>
      <c r="XCT746" s="213"/>
      <c r="XCU746" s="213"/>
      <c r="XCV746" s="213"/>
      <c r="XCW746" s="213"/>
      <c r="XCX746" s="213"/>
      <c r="XCY746" s="213"/>
      <c r="XCZ746" s="213"/>
      <c r="XDA746" s="213"/>
      <c r="XDB746" s="213"/>
      <c r="XDC746" s="213"/>
      <c r="XDD746" s="213"/>
      <c r="XDE746" s="213"/>
      <c r="XDF746" s="213"/>
      <c r="XDG746" s="213"/>
      <c r="XDH746" s="213"/>
      <c r="XDI746" s="213"/>
      <c r="XDJ746" s="213"/>
      <c r="XDK746" s="213"/>
      <c r="XDL746" s="213"/>
      <c r="XDM746" s="213"/>
      <c r="XDN746" s="213"/>
      <c r="XDO746" s="213"/>
      <c r="XDP746" s="213"/>
      <c r="XDQ746" s="213"/>
      <c r="XDR746" s="213"/>
      <c r="XDS746" s="213"/>
      <c r="XDT746" s="213"/>
      <c r="XDU746" s="213"/>
      <c r="XDV746" s="213"/>
      <c r="XDW746" s="213"/>
      <c r="XDX746" s="213"/>
      <c r="XDY746" s="213"/>
      <c r="XDZ746" s="213"/>
      <c r="XEA746" s="213"/>
      <c r="XEB746" s="213"/>
      <c r="XEC746" s="213"/>
      <c r="XED746" s="213"/>
      <c r="XEE746" s="213"/>
      <c r="XEF746" s="213"/>
      <c r="XEG746" s="213"/>
      <c r="XEH746" s="213"/>
      <c r="XEI746" s="213"/>
      <c r="XEJ746" s="213"/>
      <c r="XEK746" s="213"/>
      <c r="XEL746" s="213"/>
      <c r="XEM746" s="213"/>
      <c r="XEN746" s="213"/>
      <c r="XEO746" s="213"/>
      <c r="XEP746" s="213"/>
      <c r="XEQ746" s="213"/>
      <c r="XER746" s="213"/>
      <c r="XES746" s="213"/>
      <c r="XET746" s="213"/>
      <c r="XEU746" s="213"/>
      <c r="XEV746" s="213"/>
      <c r="XEW746" s="213"/>
      <c r="XEX746" s="213"/>
      <c r="XEY746" s="213"/>
      <c r="XEZ746" s="213"/>
      <c r="XFA746" s="213"/>
      <c r="XFB746" s="213"/>
      <c r="XFC746" s="213"/>
    </row>
    <row r="747" spans="1:16383" ht="13.2" customHeight="1">
      <c r="B747" s="1314"/>
      <c r="C747" s="1315"/>
      <c r="D747" s="1315"/>
      <c r="E747" s="1315"/>
      <c r="F747" s="1316"/>
      <c r="G747" s="1336"/>
      <c r="H747" s="1337"/>
      <c r="I747" s="1337"/>
      <c r="J747" s="1338"/>
      <c r="K747" s="1330"/>
      <c r="L747" s="1331"/>
      <c r="M747" s="1331"/>
      <c r="N747" s="1332"/>
      <c r="O747" s="1311"/>
      <c r="P747" s="1312"/>
      <c r="Q747" s="1312"/>
      <c r="R747" s="1312"/>
      <c r="S747" s="1313"/>
      <c r="T747" s="1311"/>
      <c r="U747" s="1312"/>
      <c r="V747" s="1312"/>
      <c r="W747" s="1313"/>
      <c r="X747" s="1512">
        <f t="shared" si="61"/>
        <v>0</v>
      </c>
      <c r="Y747" s="1513"/>
      <c r="Z747" s="1513"/>
      <c r="AA747" s="1513"/>
      <c r="AB747" s="1514"/>
      <c r="AC747" s="1308"/>
      <c r="AD747" s="1309"/>
      <c r="AE747" s="1309"/>
      <c r="AF747" s="1309"/>
      <c r="AG747" s="1310"/>
      <c r="AH747" s="1333" t="str">
        <f t="shared" si="60"/>
        <v/>
      </c>
      <c r="AI747" s="1334"/>
      <c r="AJ747" s="1335"/>
      <c r="AK747" s="1314" t="s">
        <v>299</v>
      </c>
      <c r="AL747" s="1315"/>
      <c r="AM747" s="1315"/>
      <c r="AN747" s="1315"/>
      <c r="AO747" s="1316"/>
      <c r="AP747" s="3"/>
      <c r="AQ747" s="3"/>
      <c r="AR747" s="3"/>
      <c r="AS747" s="3"/>
      <c r="AY747" s="881"/>
      <c r="AZ747" s="881"/>
      <c r="BA747" s="881"/>
      <c r="BB747" s="881"/>
      <c r="BC747" s="881"/>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2" customHeight="1">
      <c r="A748"/>
      <c r="B748" s="1314"/>
      <c r="C748" s="1315"/>
      <c r="D748" s="1315"/>
      <c r="E748" s="1315"/>
      <c r="F748" s="1316"/>
      <c r="G748" s="1336"/>
      <c r="H748" s="1337"/>
      <c r="I748" s="1337"/>
      <c r="J748" s="1338"/>
      <c r="K748" s="1330"/>
      <c r="L748" s="1331"/>
      <c r="M748" s="1331"/>
      <c r="N748" s="1332"/>
      <c r="O748" s="1311"/>
      <c r="P748" s="1312"/>
      <c r="Q748" s="1312"/>
      <c r="R748" s="1312"/>
      <c r="S748" s="1313"/>
      <c r="T748" s="1311"/>
      <c r="U748" s="1312"/>
      <c r="V748" s="1312"/>
      <c r="W748" s="1313"/>
      <c r="X748" s="1512">
        <f t="shared" si="61"/>
        <v>0</v>
      </c>
      <c r="Y748" s="1513"/>
      <c r="Z748" s="1513"/>
      <c r="AA748" s="1513"/>
      <c r="AB748" s="1514"/>
      <c r="AC748" s="1308"/>
      <c r="AD748" s="1309"/>
      <c r="AE748" s="1309"/>
      <c r="AF748" s="1309"/>
      <c r="AG748" s="1310"/>
      <c r="AH748" s="1333" t="str">
        <f t="shared" si="60"/>
        <v/>
      </c>
      <c r="AI748" s="1334"/>
      <c r="AJ748" s="1335"/>
      <c r="AK748" s="1314" t="s">
        <v>299</v>
      </c>
      <c r="AL748" s="1315"/>
      <c r="AM748" s="1315"/>
      <c r="AN748" s="1315"/>
      <c r="AO748" s="1316"/>
      <c r="AT748"/>
      <c r="AU748"/>
      <c r="AV748"/>
      <c r="AW748"/>
      <c r="AX748"/>
      <c r="AY748" s="881"/>
      <c r="AZ748" s="881"/>
      <c r="BA748" s="881"/>
      <c r="BB748" s="881"/>
      <c r="BC748" s="881"/>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2" customHeight="1">
      <c r="A749"/>
      <c r="B749" s="1314"/>
      <c r="C749" s="1315"/>
      <c r="D749" s="1315"/>
      <c r="E749" s="1315"/>
      <c r="F749" s="1316"/>
      <c r="G749" s="1336"/>
      <c r="H749" s="1337"/>
      <c r="I749" s="1337"/>
      <c r="J749" s="1338"/>
      <c r="K749" s="1330"/>
      <c r="L749" s="1331"/>
      <c r="M749" s="1331"/>
      <c r="N749" s="1332"/>
      <c r="O749" s="1311"/>
      <c r="P749" s="1312"/>
      <c r="Q749" s="1312"/>
      <c r="R749" s="1312"/>
      <c r="S749" s="1313"/>
      <c r="T749" s="1311"/>
      <c r="U749" s="1312"/>
      <c r="V749" s="1312"/>
      <c r="W749" s="1313"/>
      <c r="X749" s="1512">
        <f t="shared" si="61"/>
        <v>0</v>
      </c>
      <c r="Y749" s="1513"/>
      <c r="Z749" s="1513"/>
      <c r="AA749" s="1513"/>
      <c r="AB749" s="1514"/>
      <c r="AC749" s="1308"/>
      <c r="AD749" s="1309"/>
      <c r="AE749" s="1309"/>
      <c r="AF749" s="1309"/>
      <c r="AG749" s="1310"/>
      <c r="AH749" s="1333" t="str">
        <f t="shared" si="60"/>
        <v/>
      </c>
      <c r="AI749" s="1334"/>
      <c r="AJ749" s="1335"/>
      <c r="AK749" s="1314" t="s">
        <v>299</v>
      </c>
      <c r="AL749" s="1315"/>
      <c r="AM749" s="1315"/>
      <c r="AN749" s="1315"/>
      <c r="AO749" s="1316"/>
      <c r="AT749"/>
      <c r="AU749"/>
      <c r="AV749"/>
      <c r="AW749"/>
      <c r="AX749"/>
      <c r="AY749" s="881"/>
      <c r="AZ749" s="881"/>
      <c r="BA749" s="881"/>
      <c r="BB749" s="881"/>
      <c r="BC749" s="881"/>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2" customHeight="1">
      <c r="A750"/>
      <c r="B750" s="1314"/>
      <c r="C750" s="1315"/>
      <c r="D750" s="1315"/>
      <c r="E750" s="1315"/>
      <c r="F750" s="1316"/>
      <c r="G750" s="1336"/>
      <c r="H750" s="1337"/>
      <c r="I750" s="1337"/>
      <c r="J750" s="1338"/>
      <c r="K750" s="1330"/>
      <c r="L750" s="1331"/>
      <c r="M750" s="1331"/>
      <c r="N750" s="1332"/>
      <c r="O750" s="1311"/>
      <c r="P750" s="1312"/>
      <c r="Q750" s="1312"/>
      <c r="R750" s="1312"/>
      <c r="S750" s="1313"/>
      <c r="T750" s="1311"/>
      <c r="U750" s="1312"/>
      <c r="V750" s="1312"/>
      <c r="W750" s="1313"/>
      <c r="X750" s="1512">
        <f t="shared" si="61"/>
        <v>0</v>
      </c>
      <c r="Y750" s="1513"/>
      <c r="Z750" s="1513"/>
      <c r="AA750" s="1513"/>
      <c r="AB750" s="1514"/>
      <c r="AC750" s="1308"/>
      <c r="AD750" s="1309"/>
      <c r="AE750" s="1309"/>
      <c r="AF750" s="1309"/>
      <c r="AG750" s="1310"/>
      <c r="AH750" s="1333" t="str">
        <f t="shared" si="60"/>
        <v/>
      </c>
      <c r="AI750" s="1334"/>
      <c r="AJ750" s="1335"/>
      <c r="AK750" s="1314" t="s">
        <v>299</v>
      </c>
      <c r="AL750" s="1315"/>
      <c r="AM750" s="1315"/>
      <c r="AN750" s="1315"/>
      <c r="AO750" s="131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2" customHeight="1">
      <c r="A751"/>
      <c r="B751" s="1314"/>
      <c r="C751" s="1315"/>
      <c r="D751" s="1315"/>
      <c r="E751" s="1315"/>
      <c r="F751" s="1316"/>
      <c r="G751" s="1336"/>
      <c r="H751" s="1337"/>
      <c r="I751" s="1337"/>
      <c r="J751" s="1338"/>
      <c r="K751" s="1330"/>
      <c r="L751" s="1331"/>
      <c r="M751" s="1331"/>
      <c r="N751" s="1332"/>
      <c r="O751" s="1311"/>
      <c r="P751" s="1312"/>
      <c r="Q751" s="1312"/>
      <c r="R751" s="1312"/>
      <c r="S751" s="1313"/>
      <c r="T751" s="1311"/>
      <c r="U751" s="1312"/>
      <c r="V751" s="1312"/>
      <c r="W751" s="1313"/>
      <c r="X751" s="1512">
        <f t="shared" si="61"/>
        <v>0</v>
      </c>
      <c r="Y751" s="1513"/>
      <c r="Z751" s="1513"/>
      <c r="AA751" s="1513"/>
      <c r="AB751" s="1514"/>
      <c r="AC751" s="1308"/>
      <c r="AD751" s="1309"/>
      <c r="AE751" s="1309"/>
      <c r="AF751" s="1309"/>
      <c r="AG751" s="1310"/>
      <c r="AH751" s="1333" t="str">
        <f t="shared" si="60"/>
        <v/>
      </c>
      <c r="AI751" s="1334"/>
      <c r="AJ751" s="1335"/>
      <c r="AK751" s="1314" t="s">
        <v>299</v>
      </c>
      <c r="AL751" s="1315"/>
      <c r="AM751" s="1315"/>
      <c r="AN751" s="1315"/>
      <c r="AO751" s="131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2" customHeight="1">
      <c r="A752"/>
      <c r="B752" s="1314"/>
      <c r="C752" s="1315"/>
      <c r="D752" s="1315"/>
      <c r="E752" s="1315"/>
      <c r="F752" s="1316"/>
      <c r="G752" s="1336"/>
      <c r="H752" s="1337"/>
      <c r="I752" s="1337"/>
      <c r="J752" s="1338"/>
      <c r="K752" s="1330"/>
      <c r="L752" s="1331"/>
      <c r="M752" s="1331"/>
      <c r="N752" s="1332"/>
      <c r="O752" s="1311"/>
      <c r="P752" s="1312"/>
      <c r="Q752" s="1312"/>
      <c r="R752" s="1312"/>
      <c r="S752" s="1313"/>
      <c r="T752" s="1311"/>
      <c r="U752" s="1312"/>
      <c r="V752" s="1312"/>
      <c r="W752" s="1313"/>
      <c r="X752" s="1512">
        <f>O752+T752</f>
        <v>0</v>
      </c>
      <c r="Y752" s="1513"/>
      <c r="Z752" s="1513"/>
      <c r="AA752" s="1513"/>
      <c r="AB752" s="1514"/>
      <c r="AC752" s="1308"/>
      <c r="AD752" s="1309"/>
      <c r="AE752" s="1309"/>
      <c r="AF752" s="1309"/>
      <c r="AG752" s="1310"/>
      <c r="AH752" s="1333" t="str">
        <f>IF($AC752&gt;0,($X752/$BA701), "")</f>
        <v/>
      </c>
      <c r="AI752" s="1334"/>
      <c r="AJ752" s="1335"/>
      <c r="AK752" s="1314" t="s">
        <v>299</v>
      </c>
      <c r="AL752" s="1315"/>
      <c r="AM752" s="1315"/>
      <c r="AN752" s="1315"/>
      <c r="AO752" s="131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2" customHeight="1">
      <c r="A753"/>
      <c r="B753" s="1555" t="s">
        <v>1566</v>
      </c>
      <c r="C753" s="1556"/>
      <c r="D753" s="1556"/>
      <c r="E753" s="1556"/>
      <c r="F753" s="1557"/>
      <c r="G753" s="1716">
        <f>SUM(G718:G752)</f>
        <v>100</v>
      </c>
      <c r="H753" s="1717"/>
      <c r="I753" s="1717"/>
      <c r="J753" s="1718"/>
      <c r="K753" s="823" t="s">
        <v>1567</v>
      </c>
      <c r="L753" s="5"/>
      <c r="M753" s="5"/>
      <c r="N753" s="39"/>
      <c r="O753" s="1512">
        <f>SUMPRODUCT(G718:G752,O718:O752)</f>
        <v>121164</v>
      </c>
      <c r="P753" s="1513"/>
      <c r="Q753" s="1513"/>
      <c r="R753" s="1513"/>
      <c r="S753" s="1514"/>
      <c r="T753"/>
      <c r="U753"/>
      <c r="V753"/>
      <c r="W753"/>
      <c r="X753" s="825" t="s">
        <v>1568</v>
      </c>
      <c r="Y753" s="824"/>
      <c r="Z753" s="824"/>
      <c r="AA753" s="824"/>
      <c r="AB753" s="826"/>
      <c r="AC753" s="1670">
        <f>BI703</f>
        <v>0.5</v>
      </c>
      <c r="AD753" s="1671"/>
      <c r="AE753" s="1671"/>
      <c r="AF753" s="1671"/>
      <c r="AG753" s="1672"/>
      <c r="AH753" s="1670">
        <f>IFERROR(BV703,"")</f>
        <v>0.5</v>
      </c>
      <c r="AI753" s="1671"/>
      <c r="AJ753" s="1672"/>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2" customHeight="1">
      <c r="A754"/>
      <c r="B754" s="1559" t="s">
        <v>1569</v>
      </c>
      <c r="C754" s="1559"/>
      <c r="D754" s="1559"/>
      <c r="E754" s="1559"/>
      <c r="F754" s="1559"/>
      <c r="G754" s="1559"/>
      <c r="H754" s="1559"/>
      <c r="I754" s="1559"/>
      <c r="J754" s="1559"/>
      <c r="K754" s="1559"/>
      <c r="L754" s="1559"/>
      <c r="M754" s="1559"/>
      <c r="N754" s="1559"/>
      <c r="O754" s="1559"/>
      <c r="P754" s="1559"/>
      <c r="Q754" s="1559"/>
      <c r="R754" s="1559"/>
      <c r="S754" s="1559"/>
      <c r="T754" s="1559"/>
      <c r="U754" s="1559"/>
      <c r="V754" s="1559"/>
      <c r="W754" s="1559"/>
      <c r="X754" s="1559"/>
      <c r="Y754" s="1559"/>
      <c r="Z754" s="1559"/>
      <c r="AA754" s="1559"/>
      <c r="AB754" s="1559"/>
      <c r="AC754" s="1559"/>
      <c r="AD754" s="1559"/>
      <c r="AE754" s="1559"/>
      <c r="AF754" s="1559"/>
      <c r="AG754" s="1559"/>
      <c r="AH754" s="155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2" customHeight="1">
      <c r="B755" s="1559"/>
      <c r="C755" s="1559"/>
      <c r="D755" s="1559"/>
      <c r="E755" s="1559"/>
      <c r="F755" s="1559"/>
      <c r="G755" s="1559"/>
      <c r="H755" s="1559"/>
      <c r="I755" s="1559"/>
      <c r="J755" s="1559"/>
      <c r="K755" s="1559"/>
      <c r="L755" s="1559"/>
      <c r="M755" s="1559"/>
      <c r="N755" s="1559"/>
      <c r="O755" s="1559"/>
      <c r="P755" s="1559"/>
      <c r="Q755" s="1559"/>
      <c r="R755" s="1559"/>
      <c r="S755" s="1559"/>
      <c r="T755" s="1559"/>
      <c r="U755" s="1559"/>
      <c r="V755" s="1559"/>
      <c r="W755" s="1559"/>
      <c r="X755" s="1559"/>
      <c r="Y755" s="1559"/>
      <c r="Z755" s="1559"/>
      <c r="AA755" s="1559"/>
      <c r="AB755" s="1559"/>
      <c r="AC755" s="1559"/>
      <c r="AD755" s="1559"/>
      <c r="AE755" s="1559"/>
      <c r="AF755" s="1559"/>
      <c r="AG755" s="1559"/>
      <c r="AH755" s="155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2" customHeight="1">
      <c r="A756" s="3"/>
      <c r="B756" s="3"/>
      <c r="C756" s="85" t="s">
        <v>1570</v>
      </c>
      <c r="D756" s="948"/>
      <c r="E756" s="948"/>
      <c r="F756" s="948"/>
      <c r="G756" s="949"/>
      <c r="H756" s="949"/>
      <c r="I756" s="949"/>
      <c r="J756" s="949"/>
      <c r="K756" s="948"/>
      <c r="L756" s="948"/>
      <c r="M756" s="948"/>
      <c r="N756" s="948"/>
      <c r="O756" s="1342">
        <f>CS634</f>
        <v>103</v>
      </c>
      <c r="P756" s="1342"/>
      <c r="Q756" s="1342"/>
      <c r="R756" s="1342"/>
      <c r="S756" s="888"/>
      <c r="T756" s="888"/>
      <c r="U756" s="85" t="s">
        <v>1571</v>
      </c>
      <c r="V756" s="948"/>
      <c r="W756" s="948"/>
      <c r="X756" s="948"/>
      <c r="Y756" s="949"/>
      <c r="Z756" s="949"/>
      <c r="AA756" s="949"/>
      <c r="AB756" s="949"/>
      <c r="AC756" s="948"/>
      <c r="AD756" s="948"/>
      <c r="AE756" s="948"/>
      <c r="AF756" s="948"/>
      <c r="AG756" s="1550">
        <v>75</v>
      </c>
      <c r="AH756" s="1550"/>
      <c r="AI756" s="1550"/>
      <c r="AJ756" s="1550"/>
      <c r="AK756" s="3"/>
      <c r="AL756" s="3"/>
      <c r="AM756" s="3"/>
      <c r="AN756" s="3"/>
      <c r="AO756" s="3"/>
      <c r="AP756" s="3"/>
      <c r="AQ756" s="3"/>
      <c r="AR756" s="3"/>
      <c r="AS756" s="3"/>
      <c r="AZ756" s="3"/>
      <c r="BA756" s="3"/>
      <c r="BB756" s="213"/>
      <c r="BC756" s="213"/>
      <c r="BD756" s="213"/>
      <c r="BE756" s="213"/>
      <c r="BF756" s="213"/>
      <c r="BG756" s="213"/>
      <c r="BH756" s="213"/>
      <c r="BI756" s="213"/>
      <c r="BJ756" s="213"/>
      <c r="BK756" s="213"/>
      <c r="BL756" s="213"/>
      <c r="BM756" s="213"/>
      <c r="BN756" s="213"/>
      <c r="BO756" s="213"/>
      <c r="BP756" s="213"/>
      <c r="BQ756" s="213"/>
      <c r="BR756" s="213"/>
      <c r="BS756" s="213"/>
      <c r="BT756" s="213"/>
      <c r="BU756" s="213"/>
      <c r="BV756" s="213"/>
      <c r="BW756" s="213"/>
      <c r="BX756" s="213"/>
      <c r="BY756" s="213"/>
      <c r="BZ756" s="213"/>
      <c r="CA756" s="213"/>
      <c r="CB756" s="213"/>
      <c r="CC756" s="213"/>
      <c r="CE756" s="3"/>
      <c r="CF756" s="213"/>
      <c r="CG756" s="213"/>
      <c r="CH756" s="213"/>
      <c r="CI756" s="213"/>
      <c r="CJ756" s="213"/>
      <c r="CK756" s="213"/>
      <c r="CL756" s="213"/>
      <c r="CM756" s="213"/>
      <c r="CN756" s="213"/>
      <c r="CO756" s="213"/>
      <c r="CP756" s="213"/>
      <c r="CQ756" s="213"/>
      <c r="CR756" s="213"/>
      <c r="CS756" s="213"/>
      <c r="CT756" s="213"/>
      <c r="CU756" s="213"/>
      <c r="CV756" s="213"/>
      <c r="CW756" s="213"/>
      <c r="CX756" s="213"/>
      <c r="CY756" s="213"/>
      <c r="CZ756" s="213"/>
      <c r="DA756" s="213"/>
      <c r="DB756" s="213"/>
      <c r="DC756" s="213"/>
      <c r="DD756" s="213"/>
      <c r="DE756" s="213"/>
      <c r="DF756" s="213"/>
      <c r="DG756" s="213"/>
      <c r="DH756" s="213"/>
      <c r="DI756" s="213"/>
      <c r="DJ756" s="213"/>
      <c r="DK756" s="213"/>
      <c r="DL756" s="213"/>
      <c r="DM756" s="213"/>
      <c r="DN756" s="213"/>
      <c r="DO756" s="213"/>
      <c r="DP756" s="213"/>
      <c r="DQ756" s="213"/>
      <c r="DR756" s="213"/>
      <c r="DS756" s="213"/>
      <c r="DT756" s="213"/>
      <c r="DU756" s="213"/>
      <c r="DV756" s="213"/>
      <c r="DW756" s="213"/>
      <c r="FB756" s="213"/>
      <c r="FC756" s="213"/>
    </row>
    <row r="757" spans="1:159" ht="13.2" customHeight="1">
      <c r="B757" s="50"/>
      <c r="C757" s="1788" t="str">
        <f>IF(G753&lt;&gt;AG440,"! Total Low-Income Units in the Unit Mix Table above does not match the number of Total Low-Income Units on row #"&amp;TEXT(ROW(D440),"#"),"")</f>
        <v/>
      </c>
      <c r="D757" s="1788"/>
      <c r="E757" s="1788"/>
      <c r="F757" s="1788"/>
      <c r="G757" s="1788"/>
      <c r="H757" s="1788"/>
      <c r="I757" s="1788"/>
      <c r="J757" s="1788"/>
      <c r="K757" s="1788"/>
      <c r="L757" s="1788"/>
      <c r="M757" s="1788"/>
      <c r="N757" s="1788"/>
      <c r="O757" s="1788"/>
      <c r="P757" s="1788"/>
      <c r="Q757" s="1788"/>
      <c r="R757" s="1788"/>
      <c r="S757" s="1788"/>
      <c r="T757" s="1788"/>
      <c r="U757" s="1788"/>
      <c r="V757" s="1788"/>
      <c r="W757" s="1788"/>
      <c r="X757" s="1788"/>
      <c r="Y757" s="1788"/>
      <c r="Z757" s="1788"/>
      <c r="AA757" s="1788"/>
      <c r="AB757" s="1788"/>
      <c r="AC757" s="1788"/>
      <c r="AD757" s="1788"/>
      <c r="AE757" s="1788"/>
      <c r="AF757" s="1788"/>
      <c r="AG757" s="1788"/>
      <c r="AH757" s="1788"/>
      <c r="AI757" s="1788"/>
      <c r="AJ757" s="1788"/>
      <c r="AK757" s="1788"/>
      <c r="AL757" s="1788"/>
      <c r="AM757" s="1788"/>
      <c r="AP757" s="213"/>
      <c r="AQ757" s="213"/>
      <c r="AR757" s="213"/>
      <c r="AS757" s="21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2" customHeight="1">
      <c r="B758" s="50"/>
      <c r="C758" s="1788"/>
      <c r="D758" s="1788"/>
      <c r="E758" s="1788"/>
      <c r="F758" s="1788"/>
      <c r="G758" s="1788"/>
      <c r="H758" s="1788"/>
      <c r="I758" s="1788"/>
      <c r="J758" s="1788"/>
      <c r="K758" s="1788"/>
      <c r="L758" s="1788"/>
      <c r="M758" s="1788"/>
      <c r="N758" s="1788"/>
      <c r="O758" s="1788"/>
      <c r="P758" s="1788"/>
      <c r="Q758" s="1788"/>
      <c r="R758" s="1788"/>
      <c r="S758" s="1788"/>
      <c r="T758" s="1788"/>
      <c r="U758" s="1788"/>
      <c r="V758" s="1788"/>
      <c r="W758" s="1788"/>
      <c r="X758" s="1788"/>
      <c r="Y758" s="1788"/>
      <c r="Z758" s="1788"/>
      <c r="AA758" s="1788"/>
      <c r="AB758" s="1788"/>
      <c r="AC758" s="1788"/>
      <c r="AD758" s="1788"/>
      <c r="AE758" s="1788"/>
      <c r="AF758" s="1788"/>
      <c r="AG758" s="1788"/>
      <c r="AH758" s="1788"/>
      <c r="AI758" s="1788"/>
      <c r="AJ758" s="1788"/>
      <c r="AK758" s="1788"/>
      <c r="AL758" s="1788"/>
      <c r="AM758" s="1788"/>
      <c r="AP758" s="213"/>
      <c r="AQ758" s="213"/>
      <c r="AR758" s="213"/>
      <c r="AS758" s="21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2" customHeight="1">
      <c r="B759" s="3"/>
      <c r="C759" s="85" t="s">
        <v>1572</v>
      </c>
      <c r="D759" s="950"/>
      <c r="E759" s="950"/>
      <c r="F759" s="950"/>
      <c r="G759" s="950"/>
      <c r="H759" s="950"/>
      <c r="I759" s="950"/>
      <c r="J759" s="950"/>
      <c r="K759" s="950"/>
      <c r="L759" s="950"/>
      <c r="M759" s="950"/>
      <c r="N759" s="950"/>
      <c r="O759" s="950"/>
      <c r="P759" s="950"/>
      <c r="Q759" s="950"/>
      <c r="R759" s="950"/>
      <c r="S759" s="950"/>
      <c r="T759" s="950"/>
      <c r="U759" s="950"/>
      <c r="V759" s="950"/>
      <c r="W759" s="950"/>
      <c r="X759" s="950"/>
      <c r="Y759" s="950"/>
      <c r="Z759" s="950"/>
      <c r="AA759" s="950"/>
      <c r="AB759" s="950"/>
      <c r="AC759" s="950"/>
      <c r="AD759" s="1719" t="s">
        <v>299</v>
      </c>
      <c r="AE759" s="1719"/>
      <c r="AF759" s="1719"/>
      <c r="AG759" s="950"/>
      <c r="AH759" s="950"/>
      <c r="AI759" s="950"/>
      <c r="AJ759" s="950"/>
      <c r="AK759" s="950"/>
      <c r="AL759" s="950"/>
      <c r="AM759" s="950"/>
      <c r="AN759" s="950"/>
      <c r="AO759" s="950"/>
      <c r="AP759" s="950"/>
      <c r="AQ759" s="950"/>
      <c r="AR759" s="950"/>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2" customHeight="1">
      <c r="C760" s="951" t="s">
        <v>1573</v>
      </c>
      <c r="D760" s="950"/>
      <c r="E760" s="950"/>
      <c r="F760" s="950"/>
      <c r="G760" s="950"/>
      <c r="H760" s="950"/>
      <c r="I760" s="950"/>
      <c r="J760" s="950"/>
      <c r="K760" s="950"/>
      <c r="L760" s="950"/>
      <c r="M760" s="950"/>
      <c r="N760" s="950"/>
      <c r="O760" s="950"/>
      <c r="P760" s="950"/>
      <c r="Q760" s="950"/>
      <c r="R760" s="950"/>
      <c r="S760" s="950"/>
      <c r="T760" s="950"/>
      <c r="U760" s="950"/>
      <c r="V760" s="950"/>
      <c r="W760" s="950"/>
      <c r="X760" s="950"/>
      <c r="Y760" s="950"/>
      <c r="Z760" s="950"/>
      <c r="AA760" s="950"/>
      <c r="AB760" s="950"/>
      <c r="AC760" s="950"/>
      <c r="AD760" s="950"/>
      <c r="AE760" s="950"/>
      <c r="AF760" s="950"/>
      <c r="AG760" s="950"/>
      <c r="AH760" s="950"/>
      <c r="AI760" s="950"/>
      <c r="AJ760" s="950"/>
      <c r="AK760" s="950"/>
      <c r="AL760" s="950"/>
      <c r="AM760" s="950"/>
      <c r="AN760" s="950"/>
      <c r="AO760" s="950"/>
      <c r="AP760" s="950"/>
      <c r="AQ760" s="950"/>
      <c r="AR760" s="950"/>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2" customHeight="1">
      <c r="A761" s="2" t="s">
        <v>960</v>
      </c>
      <c r="B761" s="49"/>
      <c r="C761" s="50" t="s">
        <v>1574</v>
      </c>
      <c r="D761" s="49"/>
      <c r="E761" s="49"/>
      <c r="F761" s="49"/>
      <c r="G761" s="278"/>
      <c r="H761" s="278"/>
      <c r="I761" s="278"/>
      <c r="J761" s="278"/>
      <c r="K761" s="278"/>
      <c r="L761" s="49"/>
      <c r="M761" s="49"/>
      <c r="N761" s="49"/>
      <c r="O761" s="49"/>
      <c r="P761" s="49"/>
      <c r="Q761" s="278"/>
      <c r="R761" s="278"/>
      <c r="S761" s="278"/>
      <c r="T761" s="278"/>
      <c r="U761" s="27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2" customHeight="1">
      <c r="A762" s="3"/>
      <c r="B762" s="948"/>
      <c r="C762" s="85" t="s">
        <v>1575</v>
      </c>
      <c r="D762" s="948"/>
      <c r="E762" s="948"/>
      <c r="F762" s="948"/>
      <c r="G762" s="278"/>
      <c r="H762" s="278"/>
      <c r="I762" s="278"/>
      <c r="J762" s="278"/>
      <c r="K762" s="278"/>
      <c r="L762" s="948"/>
      <c r="M762" s="948"/>
      <c r="N762" s="948"/>
      <c r="O762" s="948"/>
      <c r="P762" s="948"/>
      <c r="Q762" s="278"/>
      <c r="R762" s="278"/>
      <c r="S762" s="278"/>
      <c r="T762" s="278"/>
      <c r="U762" s="278"/>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2" customHeight="1">
      <c r="A763" s="3"/>
      <c r="B763" s="948"/>
      <c r="C763" s="1226" t="s">
        <v>1576</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2" customHeight="1">
      <c r="A764" s="3"/>
      <c r="B764" s="948"/>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2" customHeight="1">
      <c r="A765" s="3"/>
      <c r="B765" s="948"/>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2" customHeight="1">
      <c r="A766" s="3"/>
      <c r="B766" s="948"/>
      <c r="C766" s="1226" t="s">
        <v>1577</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3"/>
      <c r="DY766" s="213"/>
      <c r="DZ766" s="213"/>
      <c r="EA766" s="213"/>
      <c r="EB766" s="213"/>
      <c r="EC766" s="213"/>
      <c r="ED766" s="213"/>
      <c r="EE766" s="213"/>
      <c r="EF766" s="213"/>
      <c r="EG766" s="213"/>
      <c r="EH766" s="213"/>
      <c r="EI766" s="213"/>
      <c r="EJ766" s="213"/>
      <c r="EK766" s="213"/>
      <c r="EL766" s="213"/>
      <c r="EM766" s="213"/>
      <c r="EN766" s="213"/>
      <c r="EO766" s="213"/>
      <c r="EP766" s="213"/>
      <c r="EQ766" s="213"/>
      <c r="ER766" s="213"/>
      <c r="ES766" s="213"/>
      <c r="ET766" s="213"/>
      <c r="EU766" s="213"/>
      <c r="EV766" s="213"/>
      <c r="EW766" s="213"/>
      <c r="EX766" s="213"/>
      <c r="EY766" s="213"/>
      <c r="EZ766" s="213"/>
      <c r="FA766" s="213"/>
    </row>
    <row r="767" spans="1:159" ht="13.2" customHeight="1">
      <c r="A767" s="3"/>
      <c r="B767" s="948"/>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2" customHeight="1">
      <c r="A768" s="3"/>
      <c r="B768" s="948"/>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2" customHeight="1">
      <c r="J769" s="1320" t="s">
        <v>1557</v>
      </c>
      <c r="K769" s="1321"/>
      <c r="L769" s="1321"/>
      <c r="M769" s="1321"/>
      <c r="N769" s="1322"/>
      <c r="O769" s="1558" t="s">
        <v>1558</v>
      </c>
      <c r="P769" s="1558"/>
      <c r="Q769" s="1558"/>
      <c r="R769" s="1558"/>
      <c r="S769" s="1558"/>
      <c r="T769" s="1541" t="s">
        <v>1559</v>
      </c>
      <c r="U769" s="1542"/>
      <c r="V769" s="1542"/>
      <c r="W769" s="1543"/>
      <c r="X769" s="1320" t="s">
        <v>1560</v>
      </c>
      <c r="Y769" s="1321"/>
      <c r="Z769" s="1321"/>
      <c r="AA769" s="1321"/>
      <c r="AB769" s="1322"/>
      <c r="AC769" s="1320" t="s">
        <v>1578</v>
      </c>
      <c r="AD769" s="1321"/>
      <c r="AE769" s="1321"/>
      <c r="AF769" s="1321"/>
      <c r="AG769" s="1322"/>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2" customHeight="1">
      <c r="J770" s="1323"/>
      <c r="K770" s="1324"/>
      <c r="L770" s="1324"/>
      <c r="M770" s="1324"/>
      <c r="N770" s="1325"/>
      <c r="O770" s="1558"/>
      <c r="P770" s="1558"/>
      <c r="Q770" s="1558"/>
      <c r="R770" s="1558"/>
      <c r="S770" s="1558"/>
      <c r="T770" s="1544"/>
      <c r="U770" s="1545"/>
      <c r="V770" s="1545"/>
      <c r="W770" s="1546"/>
      <c r="X770" s="1323"/>
      <c r="Y770" s="1324"/>
      <c r="Z770" s="1324"/>
      <c r="AA770" s="1324"/>
      <c r="AB770" s="1325"/>
      <c r="AC770" s="1323"/>
      <c r="AD770" s="1324"/>
      <c r="AE770" s="1324"/>
      <c r="AF770" s="1324"/>
      <c r="AG770" s="1325"/>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2" customHeight="1">
      <c r="J771" s="1323"/>
      <c r="K771" s="1324"/>
      <c r="L771" s="1324"/>
      <c r="M771" s="1324"/>
      <c r="N771" s="1325"/>
      <c r="O771" s="1558"/>
      <c r="P771" s="1558"/>
      <c r="Q771" s="1558"/>
      <c r="R771" s="1558"/>
      <c r="S771" s="1558"/>
      <c r="T771" s="1544"/>
      <c r="U771" s="1545"/>
      <c r="V771" s="1545"/>
      <c r="W771" s="1546"/>
      <c r="X771" s="1323"/>
      <c r="Y771" s="1324"/>
      <c r="Z771" s="1324"/>
      <c r="AA771" s="1324"/>
      <c r="AB771" s="1325"/>
      <c r="AC771" s="1323"/>
      <c r="AD771" s="1324"/>
      <c r="AE771" s="1324"/>
      <c r="AF771" s="1324"/>
      <c r="AG771" s="1325"/>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2" customHeight="1">
      <c r="J772" s="1326"/>
      <c r="K772" s="1327"/>
      <c r="L772" s="1327"/>
      <c r="M772" s="1327"/>
      <c r="N772" s="1328"/>
      <c r="O772" s="1558"/>
      <c r="P772" s="1558"/>
      <c r="Q772" s="1558"/>
      <c r="R772" s="1558"/>
      <c r="S772" s="1558"/>
      <c r="T772" s="1547"/>
      <c r="U772" s="1548"/>
      <c r="V772" s="1548"/>
      <c r="W772" s="1549"/>
      <c r="X772" s="1326"/>
      <c r="Y772" s="1327"/>
      <c r="Z772" s="1327"/>
      <c r="AA772" s="1327"/>
      <c r="AB772" s="1328"/>
      <c r="AC772" s="1326"/>
      <c r="AD772" s="1327"/>
      <c r="AE772" s="1327"/>
      <c r="AF772" s="1327"/>
      <c r="AG772" s="1328"/>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2" customHeight="1">
      <c r="J773" s="1314" t="s">
        <v>1382</v>
      </c>
      <c r="K773" s="1315"/>
      <c r="L773" s="1315"/>
      <c r="M773" s="1315"/>
      <c r="N773" s="1316"/>
      <c r="O773" s="1388">
        <v>1</v>
      </c>
      <c r="P773" s="1388"/>
      <c r="Q773" s="1388"/>
      <c r="R773" s="1388"/>
      <c r="S773" s="1388"/>
      <c r="T773" s="1330">
        <v>828</v>
      </c>
      <c r="U773" s="1331"/>
      <c r="V773" s="1331"/>
      <c r="W773" s="1332"/>
      <c r="X773" s="1311"/>
      <c r="Y773" s="1312"/>
      <c r="Z773" s="1312"/>
      <c r="AA773" s="1312"/>
      <c r="AB773" s="1313"/>
      <c r="AC773" s="1512">
        <f>X773*O773</f>
        <v>0</v>
      </c>
      <c r="AD773" s="1513"/>
      <c r="AE773" s="1513"/>
      <c r="AF773" s="1513"/>
      <c r="AG773" s="1514"/>
      <c r="AH773" s="1169"/>
      <c r="AI773" s="86"/>
      <c r="AJ773" s="86"/>
      <c r="AK773" s="1169"/>
      <c r="AL773" s="116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2" customHeight="1">
      <c r="J774" s="1314"/>
      <c r="K774" s="1315"/>
      <c r="L774" s="1315"/>
      <c r="M774" s="1315"/>
      <c r="N774" s="1316"/>
      <c r="O774" s="1388"/>
      <c r="P774" s="1388"/>
      <c r="Q774" s="1388"/>
      <c r="R774" s="1388"/>
      <c r="S774" s="1388"/>
      <c r="T774" s="1330"/>
      <c r="U774" s="1331"/>
      <c r="V774" s="1331"/>
      <c r="W774" s="1332"/>
      <c r="X774" s="1311"/>
      <c r="Y774" s="1312"/>
      <c r="Z774" s="1312"/>
      <c r="AA774" s="1312"/>
      <c r="AB774" s="1313"/>
      <c r="AC774" s="1512">
        <f>X774*O774</f>
        <v>0</v>
      </c>
      <c r="AD774" s="1513"/>
      <c r="AE774" s="1513"/>
      <c r="AF774" s="1513"/>
      <c r="AG774" s="1514"/>
      <c r="AH774" s="1169"/>
      <c r="AI774" s="1169"/>
      <c r="AJ774" s="1169"/>
      <c r="AK774" s="1169"/>
      <c r="AL774" s="116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2" customHeight="1">
      <c r="J775" s="1314"/>
      <c r="K775" s="1315"/>
      <c r="L775" s="1315"/>
      <c r="M775" s="1315"/>
      <c r="N775" s="1316"/>
      <c r="O775" s="1388"/>
      <c r="P775" s="1388"/>
      <c r="Q775" s="1388"/>
      <c r="R775" s="1388"/>
      <c r="S775" s="1388"/>
      <c r="T775" s="1330"/>
      <c r="U775" s="1331"/>
      <c r="V775" s="1331"/>
      <c r="W775" s="1332"/>
      <c r="X775" s="1311"/>
      <c r="Y775" s="1312"/>
      <c r="Z775" s="1312"/>
      <c r="AA775" s="1312"/>
      <c r="AB775" s="1313"/>
      <c r="AC775" s="1512">
        <f>X775*O775</f>
        <v>0</v>
      </c>
      <c r="AD775" s="1513"/>
      <c r="AE775" s="1513"/>
      <c r="AF775" s="1513"/>
      <c r="AG775" s="1514"/>
      <c r="AH775" s="1169"/>
      <c r="AI775" s="1169"/>
      <c r="AJ775" s="1169"/>
      <c r="AK775" s="1169"/>
      <c r="AL775" s="1169"/>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2" customHeight="1">
      <c r="J776" s="1314"/>
      <c r="K776" s="1315"/>
      <c r="L776" s="1315"/>
      <c r="M776" s="1315"/>
      <c r="N776" s="1316"/>
      <c r="O776" s="1388"/>
      <c r="P776" s="1388"/>
      <c r="Q776" s="1388"/>
      <c r="R776" s="1388"/>
      <c r="S776" s="1388"/>
      <c r="T776" s="1330"/>
      <c r="U776" s="1331"/>
      <c r="V776" s="1331"/>
      <c r="W776" s="1332"/>
      <c r="X776" s="1311"/>
      <c r="Y776" s="1312"/>
      <c r="Z776" s="1312"/>
      <c r="AA776" s="1312"/>
      <c r="AB776" s="1313"/>
      <c r="AC776" s="1512">
        <f>X776*O776</f>
        <v>0</v>
      </c>
      <c r="AD776" s="1513"/>
      <c r="AE776" s="1513"/>
      <c r="AF776" s="1513"/>
      <c r="AG776" s="1514"/>
      <c r="AH776" s="1169"/>
      <c r="AI776" s="1169"/>
      <c r="AJ776" s="1169"/>
      <c r="AK776" s="1169"/>
      <c r="AL776" s="116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2" customHeight="1">
      <c r="J777" s="1555" t="s">
        <v>1566</v>
      </c>
      <c r="K777" s="1556"/>
      <c r="L777" s="1556"/>
      <c r="M777" s="1556"/>
      <c r="N777" s="1557"/>
      <c r="O777" s="1339">
        <f>SUM(O773:S776)</f>
        <v>1</v>
      </c>
      <c r="P777" s="1340"/>
      <c r="Q777" s="1340"/>
      <c r="R777" s="1340"/>
      <c r="S777" s="1341"/>
      <c r="X777" s="1555" t="s">
        <v>1567</v>
      </c>
      <c r="Y777" s="1556"/>
      <c r="Z777" s="1556"/>
      <c r="AA777" s="1556"/>
      <c r="AB777" s="1557"/>
      <c r="AC777" s="1512">
        <f>SUM(AC773:AG776)</f>
        <v>0</v>
      </c>
      <c r="AD777" s="1513"/>
      <c r="AE777" s="1513"/>
      <c r="AF777" s="1513"/>
      <c r="AG777" s="1514"/>
      <c r="AI777" s="1169"/>
      <c r="AJ777" s="116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2" customHeight="1">
      <c r="J778" s="49"/>
      <c r="K778" s="49"/>
      <c r="L778" s="49"/>
      <c r="M778" s="49"/>
      <c r="N778" s="49"/>
      <c r="O778" s="278"/>
      <c r="P778" s="278"/>
      <c r="Q778" s="278"/>
      <c r="R778" s="278"/>
      <c r="S778" s="278"/>
      <c r="T778" s="49"/>
      <c r="U778" s="49"/>
      <c r="V778" s="49"/>
      <c r="W778" s="49"/>
      <c r="X778" s="49"/>
      <c r="Y778" s="888"/>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2" customHeight="1">
      <c r="B779" s="49"/>
      <c r="C779" s="49"/>
      <c r="D779" s="49"/>
      <c r="E779" s="49"/>
      <c r="F779" s="49"/>
      <c r="G779" s="278"/>
      <c r="H779" s="278"/>
      <c r="I779" s="278"/>
      <c r="J779" s="1354" t="s">
        <v>892</v>
      </c>
      <c r="K779" s="1354"/>
      <c r="L779" s="49"/>
      <c r="M779" s="85" t="s">
        <v>1579</v>
      </c>
      <c r="N779" s="49"/>
      <c r="O779" s="49"/>
      <c r="P779" s="49"/>
      <c r="Q779" s="278"/>
      <c r="R779" s="278"/>
      <c r="S779" s="278"/>
      <c r="T779" s="278"/>
      <c r="U779" s="27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2" customHeight="1">
      <c r="B780" s="49"/>
      <c r="C780" s="49"/>
      <c r="D780" s="49"/>
      <c r="E780" s="49"/>
      <c r="F780" s="49"/>
      <c r="G780" s="278"/>
      <c r="H780" s="278"/>
      <c r="I780" s="278"/>
      <c r="J780" s="278"/>
      <c r="K780" s="278"/>
      <c r="L780" s="49"/>
      <c r="M780" s="85" t="s">
        <v>1580</v>
      </c>
      <c r="N780" s="49"/>
      <c r="O780" s="49"/>
      <c r="P780" s="49"/>
      <c r="Q780" s="278"/>
      <c r="R780" s="278"/>
      <c r="S780" s="278"/>
      <c r="T780" s="278"/>
      <c r="U780" s="27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2" customHeight="1">
      <c r="A781" s="2" t="s">
        <v>1038</v>
      </c>
      <c r="B781" s="50"/>
      <c r="C781" s="50" t="s">
        <v>208</v>
      </c>
      <c r="D781" s="49"/>
      <c r="E781" s="49"/>
      <c r="F781" s="49"/>
      <c r="G781" s="278"/>
      <c r="H781" s="278"/>
      <c r="I781" s="278"/>
      <c r="J781" s="278"/>
      <c r="K781" s="278"/>
      <c r="L781" s="49"/>
      <c r="M781" s="49"/>
      <c r="N781" s="49"/>
      <c r="O781" s="49"/>
      <c r="P781" s="49"/>
      <c r="Q781" s="278"/>
      <c r="R781" s="278"/>
      <c r="S781" s="278"/>
      <c r="T781" s="278"/>
      <c r="U781" s="2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2" customHeight="1">
      <c r="B782" s="49"/>
      <c r="C782" s="49"/>
      <c r="D782" s="49"/>
      <c r="E782" s="49"/>
      <c r="F782" s="49"/>
      <c r="G782" s="278"/>
      <c r="H782" s="278"/>
      <c r="I782" s="278"/>
      <c r="J782" s="436"/>
      <c r="K782" s="278"/>
      <c r="L782" s="49"/>
      <c r="M782" s="49"/>
      <c r="N782" s="49"/>
      <c r="O782" s="49"/>
      <c r="P782" s="49"/>
      <c r="Q782" s="278"/>
      <c r="R782" s="278"/>
      <c r="S782" s="278"/>
      <c r="T782" s="278"/>
      <c r="U782" s="2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2" customHeight="1">
      <c r="J783" s="1320" t="s">
        <v>1557</v>
      </c>
      <c r="K783" s="1321"/>
      <c r="L783" s="1321"/>
      <c r="M783" s="1321"/>
      <c r="N783" s="1322"/>
      <c r="O783" s="1558" t="s">
        <v>1558</v>
      </c>
      <c r="P783" s="1558"/>
      <c r="Q783" s="1558"/>
      <c r="R783" s="1558"/>
      <c r="S783" s="1558"/>
      <c r="T783" s="1541" t="s">
        <v>1559</v>
      </c>
      <c r="U783" s="1542"/>
      <c r="V783" s="1542"/>
      <c r="W783" s="1543"/>
      <c r="X783" s="1320" t="s">
        <v>1560</v>
      </c>
      <c r="Y783" s="1321"/>
      <c r="Z783" s="1321"/>
      <c r="AA783" s="1321"/>
      <c r="AB783" s="1322"/>
      <c r="AC783" s="1320" t="s">
        <v>1578</v>
      </c>
      <c r="AD783" s="1321"/>
      <c r="AE783" s="1321"/>
      <c r="AF783" s="1321"/>
      <c r="AG783" s="132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2" customHeight="1">
      <c r="J784" s="1323"/>
      <c r="K784" s="1324"/>
      <c r="L784" s="1324"/>
      <c r="M784" s="1324"/>
      <c r="N784" s="1325"/>
      <c r="O784" s="1558"/>
      <c r="P784" s="1558"/>
      <c r="Q784" s="1558"/>
      <c r="R784" s="1558"/>
      <c r="S784" s="1558"/>
      <c r="T784" s="1544"/>
      <c r="U784" s="1545"/>
      <c r="V784" s="1545"/>
      <c r="W784" s="1546"/>
      <c r="X784" s="1323"/>
      <c r="Y784" s="1324"/>
      <c r="Z784" s="1324"/>
      <c r="AA784" s="1324"/>
      <c r="AB784" s="1325"/>
      <c r="AC784" s="1323"/>
      <c r="AD784" s="1324"/>
      <c r="AE784" s="1324"/>
      <c r="AF784" s="1324"/>
      <c r="AG784" s="132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2" customHeight="1">
      <c r="J785" s="1323"/>
      <c r="K785" s="1324"/>
      <c r="L785" s="1324"/>
      <c r="M785" s="1324"/>
      <c r="N785" s="1325"/>
      <c r="O785" s="1558"/>
      <c r="P785" s="1558"/>
      <c r="Q785" s="1558"/>
      <c r="R785" s="1558"/>
      <c r="S785" s="1558"/>
      <c r="T785" s="1544"/>
      <c r="U785" s="1545"/>
      <c r="V785" s="1545"/>
      <c r="W785" s="1546"/>
      <c r="X785" s="1323"/>
      <c r="Y785" s="1324"/>
      <c r="Z785" s="1324"/>
      <c r="AA785" s="1324"/>
      <c r="AB785" s="1325"/>
      <c r="AC785" s="1323"/>
      <c r="AD785" s="1324"/>
      <c r="AE785" s="1324"/>
      <c r="AF785" s="1324"/>
      <c r="AG785" s="132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2" customHeight="1">
      <c r="J786" s="1326"/>
      <c r="K786" s="1327"/>
      <c r="L786" s="1327"/>
      <c r="M786" s="1327"/>
      <c r="N786" s="1328"/>
      <c r="O786" s="1558"/>
      <c r="P786" s="1558"/>
      <c r="Q786" s="1558"/>
      <c r="R786" s="1558"/>
      <c r="S786" s="1558"/>
      <c r="T786" s="1547"/>
      <c r="U786" s="1548"/>
      <c r="V786" s="1548"/>
      <c r="W786" s="1549"/>
      <c r="X786" s="1326"/>
      <c r="Y786" s="1327"/>
      <c r="Z786" s="1327"/>
      <c r="AA786" s="1327"/>
      <c r="AB786" s="1328"/>
      <c r="AC786" s="1326"/>
      <c r="AD786" s="1327"/>
      <c r="AE786" s="1327"/>
      <c r="AF786" s="1327"/>
      <c r="AG786" s="132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2" customHeight="1">
      <c r="J787" s="1314"/>
      <c r="K787" s="1315"/>
      <c r="L787" s="1315"/>
      <c r="M787" s="1315"/>
      <c r="N787" s="1316"/>
      <c r="O787" s="1388"/>
      <c r="P787" s="1388"/>
      <c r="Q787" s="1388"/>
      <c r="R787" s="1388"/>
      <c r="S787" s="1388"/>
      <c r="T787" s="1330"/>
      <c r="U787" s="1331"/>
      <c r="V787" s="1331"/>
      <c r="W787" s="1332"/>
      <c r="X787" s="1311"/>
      <c r="Y787" s="1312"/>
      <c r="Z787" s="1312"/>
      <c r="AA787" s="1312"/>
      <c r="AB787" s="1313"/>
      <c r="AC787" s="1512">
        <f t="shared" ref="AC787:AC796" si="62">X787*O787</f>
        <v>0</v>
      </c>
      <c r="AD787" s="1513"/>
      <c r="AE787" s="1513"/>
      <c r="AF787" s="1513"/>
      <c r="AG787" s="151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2" customHeight="1">
      <c r="A788"/>
      <c r="B788"/>
      <c r="C788"/>
      <c r="D788"/>
      <c r="E788"/>
      <c r="F788"/>
      <c r="G788"/>
      <c r="H788"/>
      <c r="I788"/>
      <c r="J788" s="1314"/>
      <c r="K788" s="1315"/>
      <c r="L788" s="1315"/>
      <c r="M788" s="1315"/>
      <c r="N788" s="1316"/>
      <c r="O788" s="1388"/>
      <c r="P788" s="1388"/>
      <c r="Q788" s="1388"/>
      <c r="R788" s="1388"/>
      <c r="S788" s="1388"/>
      <c r="T788" s="1330"/>
      <c r="U788" s="1331"/>
      <c r="V788" s="1331"/>
      <c r="W788" s="1332"/>
      <c r="X788" s="1311"/>
      <c r="Y788" s="1312"/>
      <c r="Z788" s="1312"/>
      <c r="AA788" s="1312"/>
      <c r="AB788" s="1313"/>
      <c r="AC788" s="1512">
        <f t="shared" si="62"/>
        <v>0</v>
      </c>
      <c r="AD788" s="1513"/>
      <c r="AE788" s="1513"/>
      <c r="AF788" s="1513"/>
      <c r="AG788" s="151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2" customHeight="1">
      <c r="A789"/>
      <c r="B789"/>
      <c r="C789"/>
      <c r="D789"/>
      <c r="E789"/>
      <c r="F789"/>
      <c r="G789"/>
      <c r="H789"/>
      <c r="I789"/>
      <c r="J789" s="1314"/>
      <c r="K789" s="1315"/>
      <c r="L789" s="1315"/>
      <c r="M789" s="1315"/>
      <c r="N789" s="1316"/>
      <c r="O789" s="1388"/>
      <c r="P789" s="1388"/>
      <c r="Q789" s="1388"/>
      <c r="R789" s="1388"/>
      <c r="S789" s="1388"/>
      <c r="T789" s="1330"/>
      <c r="U789" s="1331"/>
      <c r="V789" s="1331"/>
      <c r="W789" s="1332"/>
      <c r="X789" s="1311"/>
      <c r="Y789" s="1312"/>
      <c r="Z789" s="1312"/>
      <c r="AA789" s="1312"/>
      <c r="AB789" s="1313"/>
      <c r="AC789" s="1512">
        <f t="shared" si="62"/>
        <v>0</v>
      </c>
      <c r="AD789" s="1513"/>
      <c r="AE789" s="1513"/>
      <c r="AF789" s="1513"/>
      <c r="AG789" s="151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2" customHeight="1">
      <c r="A790"/>
      <c r="B790"/>
      <c r="C790"/>
      <c r="D790"/>
      <c r="E790"/>
      <c r="F790"/>
      <c r="G790"/>
      <c r="H790"/>
      <c r="I790"/>
      <c r="J790" s="1314"/>
      <c r="K790" s="1315"/>
      <c r="L790" s="1315"/>
      <c r="M790" s="1315"/>
      <c r="N790" s="1316"/>
      <c r="O790" s="1388"/>
      <c r="P790" s="1388"/>
      <c r="Q790" s="1388"/>
      <c r="R790" s="1388"/>
      <c r="S790" s="1388"/>
      <c r="T790" s="1330"/>
      <c r="U790" s="1331"/>
      <c r="V790" s="1331"/>
      <c r="W790" s="1332"/>
      <c r="X790" s="1311"/>
      <c r="Y790" s="1312"/>
      <c r="Z790" s="1312"/>
      <c r="AA790" s="1312"/>
      <c r="AB790" s="1313"/>
      <c r="AC790" s="1512">
        <f t="shared" si="62"/>
        <v>0</v>
      </c>
      <c r="AD790" s="1513"/>
      <c r="AE790" s="1513"/>
      <c r="AF790" s="1513"/>
      <c r="AG790" s="151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2" customHeight="1">
      <c r="A791"/>
      <c r="B791"/>
      <c r="C791"/>
      <c r="D791"/>
      <c r="E791"/>
      <c r="F791"/>
      <c r="G791"/>
      <c r="H791"/>
      <c r="I791"/>
      <c r="J791" s="1314"/>
      <c r="K791" s="1315"/>
      <c r="L791" s="1315"/>
      <c r="M791" s="1315"/>
      <c r="N791" s="1316"/>
      <c r="O791" s="1388"/>
      <c r="P791" s="1388"/>
      <c r="Q791" s="1388"/>
      <c r="R791" s="1388"/>
      <c r="S791" s="1388"/>
      <c r="T791" s="1330"/>
      <c r="U791" s="1331"/>
      <c r="V791" s="1331"/>
      <c r="W791" s="1332"/>
      <c r="X791" s="1311"/>
      <c r="Y791" s="1312"/>
      <c r="Z791" s="1312"/>
      <c r="AA791" s="1312"/>
      <c r="AB791" s="1313"/>
      <c r="AC791" s="1512">
        <f t="shared" si="62"/>
        <v>0</v>
      </c>
      <c r="AD791" s="1513"/>
      <c r="AE791" s="1513"/>
      <c r="AF791" s="1513"/>
      <c r="AG791" s="151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2" customHeight="1">
      <c r="A792"/>
      <c r="B792"/>
      <c r="C792"/>
      <c r="D792"/>
      <c r="E792"/>
      <c r="F792"/>
      <c r="G792"/>
      <c r="H792"/>
      <c r="I792"/>
      <c r="J792" s="1314"/>
      <c r="K792" s="1315"/>
      <c r="L792" s="1315"/>
      <c r="M792" s="1315"/>
      <c r="N792" s="1316"/>
      <c r="O792" s="1388"/>
      <c r="P792" s="1388"/>
      <c r="Q792" s="1388"/>
      <c r="R792" s="1388"/>
      <c r="S792" s="1388"/>
      <c r="T792" s="1330"/>
      <c r="U792" s="1331"/>
      <c r="V792" s="1331"/>
      <c r="W792" s="1332"/>
      <c r="X792" s="1311"/>
      <c r="Y792" s="1312"/>
      <c r="Z792" s="1312"/>
      <c r="AA792" s="1312"/>
      <c r="AB792" s="1313"/>
      <c r="AC792" s="1512">
        <f t="shared" si="62"/>
        <v>0</v>
      </c>
      <c r="AD792" s="1513"/>
      <c r="AE792" s="1513"/>
      <c r="AF792" s="1513"/>
      <c r="AG792" s="151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2" customHeight="1">
      <c r="A793"/>
      <c r="B793"/>
      <c r="C793"/>
      <c r="D793"/>
      <c r="E793"/>
      <c r="F793"/>
      <c r="G793"/>
      <c r="H793"/>
      <c r="I793"/>
      <c r="J793" s="1314"/>
      <c r="K793" s="1315"/>
      <c r="L793" s="1315"/>
      <c r="M793" s="1315"/>
      <c r="N793" s="1316"/>
      <c r="O793" s="1388"/>
      <c r="P793" s="1388"/>
      <c r="Q793" s="1388"/>
      <c r="R793" s="1388"/>
      <c r="S793" s="1388"/>
      <c r="T793" s="1330"/>
      <c r="U793" s="1331"/>
      <c r="V793" s="1331"/>
      <c r="W793" s="1332"/>
      <c r="X793" s="1311"/>
      <c r="Y793" s="1312"/>
      <c r="Z793" s="1312"/>
      <c r="AA793" s="1312"/>
      <c r="AB793" s="1313"/>
      <c r="AC793" s="1512">
        <f t="shared" si="62"/>
        <v>0</v>
      </c>
      <c r="AD793" s="1513"/>
      <c r="AE793" s="1513"/>
      <c r="AF793" s="1513"/>
      <c r="AG793" s="151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2" customHeight="1">
      <c r="A794"/>
      <c r="B794"/>
      <c r="C794"/>
      <c r="D794"/>
      <c r="E794"/>
      <c r="F794"/>
      <c r="G794"/>
      <c r="H794"/>
      <c r="I794"/>
      <c r="J794" s="1314"/>
      <c r="K794" s="1315"/>
      <c r="L794" s="1315"/>
      <c r="M794" s="1315"/>
      <c r="N794" s="1316"/>
      <c r="O794" s="1388"/>
      <c r="P794" s="1388"/>
      <c r="Q794" s="1388"/>
      <c r="R794" s="1388"/>
      <c r="S794" s="1388"/>
      <c r="T794" s="1330"/>
      <c r="U794" s="1331"/>
      <c r="V794" s="1331"/>
      <c r="W794" s="1332"/>
      <c r="X794" s="1311"/>
      <c r="Y794" s="1312"/>
      <c r="Z794" s="1312"/>
      <c r="AA794" s="1312"/>
      <c r="AB794" s="1313"/>
      <c r="AC794" s="1512">
        <f t="shared" si="62"/>
        <v>0</v>
      </c>
      <c r="AD794" s="1513"/>
      <c r="AE794" s="1513"/>
      <c r="AF794" s="1513"/>
      <c r="AG794" s="151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2" customHeight="1">
      <c r="A795"/>
      <c r="B795"/>
      <c r="C795"/>
      <c r="D795"/>
      <c r="E795"/>
      <c r="F795"/>
      <c r="G795"/>
      <c r="H795"/>
      <c r="I795"/>
      <c r="J795" s="1314"/>
      <c r="K795" s="1315"/>
      <c r="L795" s="1315"/>
      <c r="M795" s="1315"/>
      <c r="N795" s="1316"/>
      <c r="O795" s="1388"/>
      <c r="P795" s="1388"/>
      <c r="Q795" s="1388"/>
      <c r="R795" s="1388"/>
      <c r="S795" s="1388"/>
      <c r="T795" s="1330"/>
      <c r="U795" s="1331"/>
      <c r="V795" s="1331"/>
      <c r="W795" s="1332"/>
      <c r="X795" s="1311"/>
      <c r="Y795" s="1312"/>
      <c r="Z795" s="1312"/>
      <c r="AA795" s="1312"/>
      <c r="AB795" s="1313"/>
      <c r="AC795" s="1512">
        <f t="shared" si="62"/>
        <v>0</v>
      </c>
      <c r="AD795" s="1513"/>
      <c r="AE795" s="1513"/>
      <c r="AF795" s="1513"/>
      <c r="AG795" s="151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2" customHeight="1">
      <c r="A796"/>
      <c r="B796"/>
      <c r="C796"/>
      <c r="D796"/>
      <c r="E796"/>
      <c r="F796"/>
      <c r="G796"/>
      <c r="H796"/>
      <c r="I796"/>
      <c r="J796" s="1314"/>
      <c r="K796" s="1315"/>
      <c r="L796" s="1315"/>
      <c r="M796" s="1315"/>
      <c r="N796" s="1316"/>
      <c r="O796" s="1388"/>
      <c r="P796" s="1388"/>
      <c r="Q796" s="1388"/>
      <c r="R796" s="1388"/>
      <c r="S796" s="1388"/>
      <c r="T796" s="1330"/>
      <c r="U796" s="1331"/>
      <c r="V796" s="1331"/>
      <c r="W796" s="1332"/>
      <c r="X796" s="1311"/>
      <c r="Y796" s="1312"/>
      <c r="Z796" s="1312"/>
      <c r="AA796" s="1312"/>
      <c r="AB796" s="1313"/>
      <c r="AC796" s="1512">
        <f t="shared" si="62"/>
        <v>0</v>
      </c>
      <c r="AD796" s="1513"/>
      <c r="AE796" s="1513"/>
      <c r="AF796" s="1513"/>
      <c r="AG796" s="1514"/>
      <c r="AH796"/>
      <c r="AI796"/>
      <c r="AJ796"/>
      <c r="AK796"/>
      <c r="AL796"/>
      <c r="AM796"/>
      <c r="AN796"/>
      <c r="AO796"/>
      <c r="AP796"/>
      <c r="AQ796"/>
      <c r="AR796"/>
      <c r="AS796"/>
      <c r="AT796"/>
      <c r="AU796"/>
      <c r="AV796"/>
      <c r="AW796"/>
      <c r="AX796"/>
      <c r="AY796"/>
      <c r="AZ796" s="3"/>
      <c r="BA796" s="3"/>
      <c r="BB796" s="14" t="s">
        <v>1581</v>
      </c>
      <c r="BC796" s="14"/>
      <c r="BD796" s="14"/>
      <c r="BE796" s="14"/>
      <c r="BF796" s="14"/>
      <c r="BG796" s="14"/>
      <c r="BH796" s="14"/>
      <c r="BI796" s="14"/>
      <c r="BJ796" s="14"/>
      <c r="BK796" s="14"/>
      <c r="BL796" s="14"/>
      <c r="BM796" s="14"/>
      <c r="BN796" s="1676" t="s">
        <v>1582</v>
      </c>
      <c r="BO796" s="1677"/>
      <c r="BP796" s="3"/>
      <c r="BQ796" s="3"/>
      <c r="BR796" s="3"/>
      <c r="BS796" s="14" t="s">
        <v>1583</v>
      </c>
      <c r="BT796" s="14"/>
      <c r="BU796" s="14"/>
      <c r="BV796" s="14"/>
      <c r="BW796" s="14"/>
      <c r="BX796" s="14"/>
      <c r="BY796" s="14"/>
      <c r="BZ796" s="14"/>
      <c r="CA796" s="14"/>
      <c r="CB796" s="1673" t="str">
        <f>T189</f>
        <v>Los Angeles</v>
      </c>
      <c r="CC796" s="1674"/>
      <c r="CD796" s="1674"/>
      <c r="CE796" s="1674"/>
      <c r="CF796" s="1674"/>
      <c r="CG796" s="1674"/>
      <c r="CH796" s="167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2" customHeight="1">
      <c r="A797"/>
      <c r="B797"/>
      <c r="C797"/>
      <c r="D797"/>
      <c r="E797"/>
      <c r="F797"/>
      <c r="G797"/>
      <c r="H797"/>
      <c r="I797"/>
      <c r="J797" s="1555" t="s">
        <v>1566</v>
      </c>
      <c r="K797" s="1556"/>
      <c r="L797" s="1556"/>
      <c r="M797" s="1556"/>
      <c r="N797" s="1557"/>
      <c r="O797" s="1342">
        <f>SUM(O787:S796)</f>
        <v>0</v>
      </c>
      <c r="P797" s="1342"/>
      <c r="Q797" s="1342"/>
      <c r="R797" s="1342"/>
      <c r="S797" s="1342"/>
      <c r="T797"/>
      <c r="U797"/>
      <c r="V797"/>
      <c r="W797"/>
      <c r="X797" s="823" t="s">
        <v>1567</v>
      </c>
      <c r="Y797" s="11"/>
      <c r="Z797" s="11"/>
      <c r="AA797" s="11"/>
      <c r="AB797" s="830"/>
      <c r="AC797" s="1512">
        <f>SUM(AC787:AG796)</f>
        <v>0</v>
      </c>
      <c r="AD797" s="1513"/>
      <c r="AE797" s="1513"/>
      <c r="AF797" s="1513"/>
      <c r="AG797" s="151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2" customHeight="1">
      <c r="A798"/>
      <c r="B798"/>
      <c r="C798" s="1367" t="str">
        <f>IF(O797&lt;&gt;AG438,"! Total market rate units in the Unit Mix Table above does not match the number of  market rate units on row #"&amp;TEXT(ROW(D438),"#"),"")</f>
        <v/>
      </c>
      <c r="D798" s="1367"/>
      <c r="E798" s="1367"/>
      <c r="F798" s="1367"/>
      <c r="G798" s="1367"/>
      <c r="H798" s="1367"/>
      <c r="I798" s="1367"/>
      <c r="J798" s="1367"/>
      <c r="K798" s="1367"/>
      <c r="L798" s="1367"/>
      <c r="M798" s="1367"/>
      <c r="N798" s="1367"/>
      <c r="O798" s="1367"/>
      <c r="P798" s="1367"/>
      <c r="Q798" s="1367"/>
      <c r="R798" s="1367"/>
      <c r="S798" s="1367"/>
      <c r="T798" s="1367"/>
      <c r="U798" s="1367"/>
      <c r="V798" s="1367"/>
      <c r="W798" s="1367"/>
      <c r="X798" s="1367"/>
      <c r="Y798" s="1367"/>
      <c r="Z798" s="1367"/>
      <c r="AA798" s="1367"/>
      <c r="AB798" s="1367"/>
      <c r="AC798" s="1367"/>
      <c r="AD798" s="1367"/>
      <c r="AE798" s="1367"/>
      <c r="AF798" s="1367"/>
      <c r="AG798" s="1367"/>
      <c r="AH798" s="1367"/>
      <c r="AI798" s="1367"/>
      <c r="AJ798" s="1367"/>
      <c r="AK798" s="1367"/>
      <c r="AL798" s="1367"/>
      <c r="AM798" s="1367"/>
      <c r="AN798" s="1367"/>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1582</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2" customHeight="1">
      <c r="A799"/>
      <c r="B799"/>
      <c r="C799" s="1367"/>
      <c r="D799" s="1367"/>
      <c r="E799" s="1367"/>
      <c r="F799" s="1367"/>
      <c r="G799" s="1367"/>
      <c r="H799" s="1367"/>
      <c r="I799" s="1367"/>
      <c r="J799" s="1367"/>
      <c r="K799" s="1367"/>
      <c r="L799" s="1367"/>
      <c r="M799" s="1367"/>
      <c r="N799" s="1367"/>
      <c r="O799" s="1367"/>
      <c r="P799" s="1367"/>
      <c r="Q799" s="1367"/>
      <c r="R799" s="1367"/>
      <c r="S799" s="1367"/>
      <c r="T799" s="1367"/>
      <c r="U799" s="1367"/>
      <c r="V799" s="1367"/>
      <c r="W799" s="1367"/>
      <c r="X799" s="1367"/>
      <c r="Y799" s="1367"/>
      <c r="Z799" s="1367"/>
      <c r="AA799" s="1367"/>
      <c r="AB799" s="1367"/>
      <c r="AC799" s="1367"/>
      <c r="AD799" s="1367"/>
      <c r="AE799" s="1367"/>
      <c r="AF799" s="1367"/>
      <c r="AG799" s="1367"/>
      <c r="AH799" s="1367"/>
      <c r="AI799" s="1367"/>
      <c r="AJ799" s="1367"/>
      <c r="AK799" s="1367"/>
      <c r="AL799" s="1367"/>
      <c r="AM799" s="1367"/>
      <c r="AN799" s="1367"/>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1584</v>
      </c>
      <c r="BO799" s="27" t="s">
        <v>1585</v>
      </c>
      <c r="BP799" s="28"/>
      <c r="BQ799" s="28"/>
      <c r="BR799" s="28"/>
      <c r="BS799" s="28"/>
      <c r="BT799" s="28"/>
      <c r="BU799" s="14"/>
      <c r="BV799" s="27" t="s">
        <v>1586</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2" customHeight="1">
      <c r="A800"/>
      <c r="B800"/>
      <c r="C800"/>
      <c r="D800"/>
      <c r="E800"/>
      <c r="F800"/>
      <c r="G800"/>
      <c r="H800"/>
      <c r="I800"/>
      <c r="J800" s="38"/>
      <c r="K800" s="5"/>
      <c r="L800" s="5"/>
      <c r="M800" s="5"/>
      <c r="N800" s="5"/>
      <c r="O800" s="5"/>
      <c r="P800" s="5"/>
      <c r="Q800" s="5"/>
      <c r="R800" s="5"/>
      <c r="S800" s="5"/>
      <c r="T800" s="5"/>
      <c r="U800" s="5"/>
      <c r="V800" s="5"/>
      <c r="W800" s="5"/>
      <c r="X800" s="47" t="s">
        <v>1587</v>
      </c>
      <c r="Y800" s="1553">
        <f>O753+AC777+AC797</f>
        <v>121164</v>
      </c>
      <c r="Z800" s="1553"/>
      <c r="AA800" s="1553"/>
      <c r="AB800" s="1553"/>
      <c r="AC800" s="1553"/>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2" customHeight="1">
      <c r="A801"/>
      <c r="B801"/>
      <c r="C801"/>
      <c r="D801"/>
      <c r="E801"/>
      <c r="F801"/>
      <c r="G801"/>
      <c r="H801"/>
      <c r="I801"/>
      <c r="J801" s="40"/>
      <c r="K801" s="41"/>
      <c r="L801" s="41"/>
      <c r="M801" s="41"/>
      <c r="N801" s="41"/>
      <c r="O801" s="41"/>
      <c r="P801" s="41"/>
      <c r="Q801" s="41"/>
      <c r="R801" s="41"/>
      <c r="S801" s="41"/>
      <c r="T801" s="41"/>
      <c r="U801" s="41"/>
      <c r="V801" s="41"/>
      <c r="W801" s="41"/>
      <c r="X801" s="70" t="s">
        <v>1588</v>
      </c>
      <c r="Y801" s="1553">
        <f>(O753+AC777+AC797)*12</f>
        <v>1453968</v>
      </c>
      <c r="Z801" s="1553"/>
      <c r="AA801" s="1553"/>
      <c r="AB801" s="1553"/>
      <c r="AC801" s="155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1582</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2"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2" customHeight="1">
      <c r="A803" s="2" t="s">
        <v>1056</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2" customHeight="1">
      <c r="A804" s="2"/>
      <c r="B804" s="2"/>
      <c r="C804" s="2" t="s">
        <v>1589</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2"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0" t="s">
        <v>1503</v>
      </c>
      <c r="BQ805" s="1171" t="s">
        <v>1381</v>
      </c>
      <c r="BR805" s="1171" t="s">
        <v>1382</v>
      </c>
      <c r="BS805" s="1171" t="s">
        <v>1383</v>
      </c>
      <c r="BT805" s="1171" t="s">
        <v>1504</v>
      </c>
      <c r="BU805" s="14"/>
      <c r="BV805" s="14"/>
      <c r="BW805" s="1170" t="s">
        <v>1503</v>
      </c>
      <c r="BX805" s="1171" t="s">
        <v>1381</v>
      </c>
      <c r="BY805" s="1171" t="s">
        <v>1382</v>
      </c>
      <c r="BZ805" s="1171" t="s">
        <v>1383</v>
      </c>
      <c r="CA805" s="1171" t="s">
        <v>1504</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2" customHeight="1">
      <c r="A806"/>
      <c r="B806"/>
      <c r="C806"/>
      <c r="D806"/>
      <c r="E806"/>
      <c r="F806"/>
      <c r="G806"/>
      <c r="H806" s="38" t="s">
        <v>1590</v>
      </c>
      <c r="I806" s="5"/>
      <c r="J806" s="5"/>
      <c r="K806" s="5"/>
      <c r="L806" s="5"/>
      <c r="M806" s="5"/>
      <c r="N806" s="5"/>
      <c r="O806" s="5"/>
      <c r="P806" s="5"/>
      <c r="Q806" s="5"/>
      <c r="R806" s="5"/>
      <c r="S806" s="5"/>
      <c r="T806" s="5"/>
      <c r="U806" s="5"/>
      <c r="V806" s="5"/>
      <c r="W806" s="5"/>
      <c r="X806" s="5"/>
      <c r="Y806" s="5"/>
      <c r="Z806" s="1603">
        <v>100</v>
      </c>
      <c r="AA806" s="1561"/>
      <c r="AB806" s="1561"/>
      <c r="AC806" s="1561"/>
      <c r="AD806" s="1561"/>
      <c r="AE806" s="1562"/>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876</v>
      </c>
      <c r="BP806" s="246">
        <v>473390</v>
      </c>
      <c r="BQ806" s="246">
        <v>545814</v>
      </c>
      <c r="BR806" s="246">
        <v>658400</v>
      </c>
      <c r="BS806" s="246">
        <v>842752</v>
      </c>
      <c r="BT806" s="246">
        <v>938878</v>
      </c>
      <c r="BU806" s="14"/>
      <c r="BV806" s="140" t="s">
        <v>876</v>
      </c>
      <c r="BW806" s="246">
        <v>473390</v>
      </c>
      <c r="BX806" s="246">
        <v>545814</v>
      </c>
      <c r="BY806" s="246">
        <v>658400</v>
      </c>
      <c r="BZ806" s="246">
        <v>842752</v>
      </c>
      <c r="CA806" s="246">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2" customHeight="1">
      <c r="A807"/>
      <c r="B807"/>
      <c r="C807"/>
      <c r="D807"/>
      <c r="E807"/>
      <c r="F807"/>
      <c r="G807"/>
      <c r="H807" s="38" t="s">
        <v>1591</v>
      </c>
      <c r="I807" s="5"/>
      <c r="J807" s="5"/>
      <c r="K807" s="5"/>
      <c r="L807" s="5"/>
      <c r="M807" s="5"/>
      <c r="N807" s="5"/>
      <c r="O807" s="5"/>
      <c r="P807" s="5"/>
      <c r="Q807" s="5"/>
      <c r="R807" s="5"/>
      <c r="S807" s="5"/>
      <c r="T807" s="5"/>
      <c r="U807" s="5"/>
      <c r="V807" s="5"/>
      <c r="W807" s="5"/>
      <c r="X807" s="5"/>
      <c r="Y807" s="5"/>
      <c r="Z807" s="1560">
        <v>20</v>
      </c>
      <c r="AA807" s="1561"/>
      <c r="AB807" s="1561"/>
      <c r="AC807" s="1561"/>
      <c r="AD807" s="1561"/>
      <c r="AE807" s="1562"/>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879</v>
      </c>
      <c r="BP807" s="244">
        <v>352022</v>
      </c>
      <c r="BQ807" s="244">
        <v>405878</v>
      </c>
      <c r="BR807" s="244">
        <v>489600</v>
      </c>
      <c r="BS807" s="244">
        <v>626688</v>
      </c>
      <c r="BT807" s="244">
        <v>698170</v>
      </c>
      <c r="BU807" s="14"/>
      <c r="BV807" s="140" t="s">
        <v>879</v>
      </c>
      <c r="BW807" s="244">
        <v>352022</v>
      </c>
      <c r="BX807" s="244">
        <v>405878</v>
      </c>
      <c r="BY807" s="244">
        <v>489600</v>
      </c>
      <c r="BZ807" s="244">
        <v>626688</v>
      </c>
      <c r="CA807" s="244">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2" customHeight="1">
      <c r="A808"/>
      <c r="B808"/>
      <c r="C808"/>
      <c r="D808"/>
      <c r="E808"/>
      <c r="F808"/>
      <c r="G808"/>
      <c r="H808" s="38" t="s">
        <v>1592</v>
      </c>
      <c r="I808" s="5"/>
      <c r="J808" s="5"/>
      <c r="K808" s="5"/>
      <c r="L808" s="5"/>
      <c r="M808" s="5"/>
      <c r="N808" s="5"/>
      <c r="O808" s="5"/>
      <c r="P808" s="5"/>
      <c r="Q808" s="5"/>
      <c r="R808" s="5"/>
      <c r="S808" s="5"/>
      <c r="T808" s="5"/>
      <c r="U808" s="5"/>
      <c r="V808" s="5"/>
      <c r="W808" s="5"/>
      <c r="X808" s="5"/>
      <c r="Y808" s="5"/>
      <c r="Z808" s="1742">
        <v>53966</v>
      </c>
      <c r="AA808" s="1614"/>
      <c r="AB808" s="1614"/>
      <c r="AC808" s="1614"/>
      <c r="AD808" s="1614"/>
      <c r="AE808" s="1615"/>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884</v>
      </c>
      <c r="BP808" s="246">
        <v>352022</v>
      </c>
      <c r="BQ808" s="246">
        <v>405878</v>
      </c>
      <c r="BR808" s="246">
        <v>489600</v>
      </c>
      <c r="BS808" s="246">
        <v>626688</v>
      </c>
      <c r="BT808" s="246">
        <v>698170</v>
      </c>
      <c r="BU808" s="14"/>
      <c r="BV808" s="140" t="s">
        <v>884</v>
      </c>
      <c r="BW808" s="246">
        <v>352022</v>
      </c>
      <c r="BX808" s="246">
        <v>405878</v>
      </c>
      <c r="BY808" s="246">
        <v>489600</v>
      </c>
      <c r="BZ808" s="246">
        <v>626688</v>
      </c>
      <c r="CA808" s="246">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2" customHeight="1">
      <c r="A809"/>
      <c r="B809"/>
      <c r="C809"/>
      <c r="D809"/>
      <c r="E809"/>
      <c r="F809"/>
      <c r="G809"/>
      <c r="H809" s="38"/>
      <c r="I809" s="5"/>
      <c r="J809" s="5"/>
      <c r="K809" s="5"/>
      <c r="L809" s="5"/>
      <c r="M809" s="5"/>
      <c r="N809" s="5"/>
      <c r="O809" s="5"/>
      <c r="P809" s="5"/>
      <c r="Q809" s="5"/>
      <c r="R809" s="5"/>
      <c r="S809" s="5"/>
      <c r="T809" s="5"/>
      <c r="U809" s="5"/>
      <c r="V809" s="5"/>
      <c r="W809" s="5"/>
      <c r="X809" s="5"/>
      <c r="Y809" s="46" t="s">
        <v>1593</v>
      </c>
      <c r="Z809" s="1530">
        <f>'Subsidy Contract Calculation'!J40</f>
        <v>960744</v>
      </c>
      <c r="AA809" s="1531"/>
      <c r="AB809" s="1531"/>
      <c r="AC809" s="1531"/>
      <c r="AD809" s="1531"/>
      <c r="AE809" s="1532"/>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888</v>
      </c>
      <c r="BP809" s="244">
        <v>319236</v>
      </c>
      <c r="BQ809" s="244">
        <v>368076</v>
      </c>
      <c r="BR809" s="244">
        <v>444000</v>
      </c>
      <c r="BS809" s="244">
        <v>568320</v>
      </c>
      <c r="BT809" s="244">
        <v>633144</v>
      </c>
      <c r="BU809" s="14"/>
      <c r="BV809" s="140" t="s">
        <v>888</v>
      </c>
      <c r="BW809" s="244">
        <v>319236</v>
      </c>
      <c r="BX809" s="244">
        <v>368076</v>
      </c>
      <c r="BY809" s="244">
        <v>444000</v>
      </c>
      <c r="BZ809" s="244">
        <v>568320</v>
      </c>
      <c r="CA809" s="244">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2"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893</v>
      </c>
      <c r="BP810" s="246">
        <v>352022</v>
      </c>
      <c r="BQ810" s="246">
        <v>405878</v>
      </c>
      <c r="BR810" s="246">
        <v>489600</v>
      </c>
      <c r="BS810" s="246">
        <v>626688</v>
      </c>
      <c r="BT810" s="246">
        <v>698170</v>
      </c>
      <c r="BU810" s="14"/>
      <c r="BV810" s="140" t="s">
        <v>893</v>
      </c>
      <c r="BW810" s="246">
        <v>352022</v>
      </c>
      <c r="BX810" s="246">
        <v>405878</v>
      </c>
      <c r="BY810" s="246">
        <v>489600</v>
      </c>
      <c r="BZ810" s="246">
        <v>626688</v>
      </c>
      <c r="CA810" s="246">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2" customHeight="1">
      <c r="A811" s="2" t="s">
        <v>1068</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895</v>
      </c>
      <c r="BP811" s="244">
        <v>352022</v>
      </c>
      <c r="BQ811" s="244">
        <v>405878</v>
      </c>
      <c r="BR811" s="244">
        <v>489600</v>
      </c>
      <c r="BS811" s="244">
        <v>626688</v>
      </c>
      <c r="BT811" s="244">
        <v>698170</v>
      </c>
      <c r="BU811" s="14"/>
      <c r="BV811" s="140" t="s">
        <v>895</v>
      </c>
      <c r="BW811" s="244">
        <v>352022</v>
      </c>
      <c r="BX811" s="244">
        <v>405878</v>
      </c>
      <c r="BY811" s="244">
        <v>489600</v>
      </c>
      <c r="BZ811" s="244">
        <v>626688</v>
      </c>
      <c r="CA811" s="244">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2"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899</v>
      </c>
      <c r="BP812" s="246">
        <v>473390</v>
      </c>
      <c r="BQ812" s="246">
        <v>545814</v>
      </c>
      <c r="BR812" s="246">
        <v>658400</v>
      </c>
      <c r="BS812" s="246">
        <v>842752</v>
      </c>
      <c r="BT812" s="246">
        <v>938878</v>
      </c>
      <c r="BU812" s="14"/>
      <c r="BV812" s="140" t="s">
        <v>899</v>
      </c>
      <c r="BW812" s="246">
        <v>473390</v>
      </c>
      <c r="BX812" s="246">
        <v>545814</v>
      </c>
      <c r="BY812" s="246">
        <v>658400</v>
      </c>
      <c r="BZ812" s="246">
        <v>842752</v>
      </c>
      <c r="CA812" s="246">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2" customHeight="1">
      <c r="A813"/>
      <c r="B813"/>
      <c r="C813"/>
      <c r="D813"/>
      <c r="E813"/>
      <c r="F813"/>
      <c r="G813"/>
      <c r="H813" s="38" t="s">
        <v>1594</v>
      </c>
      <c r="I813" s="5"/>
      <c r="J813" s="5"/>
      <c r="K813" s="5"/>
      <c r="L813" s="5"/>
      <c r="M813" s="5"/>
      <c r="N813" s="5"/>
      <c r="O813" s="5"/>
      <c r="P813" s="5"/>
      <c r="Q813" s="5"/>
      <c r="R813" s="5"/>
      <c r="S813" s="5"/>
      <c r="T813" s="5"/>
      <c r="U813" s="5"/>
      <c r="V813" s="5"/>
      <c r="W813" s="5"/>
      <c r="X813" s="5"/>
      <c r="Y813" s="5"/>
      <c r="Z813" s="1533">
        <v>8484</v>
      </c>
      <c r="AA813" s="1534"/>
      <c r="AB813" s="1534"/>
      <c r="AC813" s="1534"/>
      <c r="AD813" s="1534"/>
      <c r="AE813" s="1535"/>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902</v>
      </c>
      <c r="BP813" s="244">
        <v>352022</v>
      </c>
      <c r="BQ813" s="244">
        <v>405878</v>
      </c>
      <c r="BR813" s="244">
        <v>489600</v>
      </c>
      <c r="BS813" s="244">
        <v>626688</v>
      </c>
      <c r="BT813" s="244">
        <v>698170</v>
      </c>
      <c r="BU813" s="14"/>
      <c r="BV813" s="140" t="s">
        <v>902</v>
      </c>
      <c r="BW813" s="244">
        <v>352022</v>
      </c>
      <c r="BX813" s="244">
        <v>405878</v>
      </c>
      <c r="BY813" s="244">
        <v>489600</v>
      </c>
      <c r="BZ813" s="244">
        <v>626688</v>
      </c>
      <c r="CA813" s="244">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2" customHeight="1">
      <c r="A814"/>
      <c r="B814"/>
      <c r="C814"/>
      <c r="D814"/>
      <c r="E814"/>
      <c r="F814"/>
      <c r="G814"/>
      <c r="H814" s="38" t="s">
        <v>1595</v>
      </c>
      <c r="I814" s="5"/>
      <c r="J814" s="5"/>
      <c r="K814" s="5"/>
      <c r="L814" s="5"/>
      <c r="M814" s="5"/>
      <c r="N814" s="5"/>
      <c r="O814" s="5"/>
      <c r="P814" s="5"/>
      <c r="Q814" s="5"/>
      <c r="R814" s="5"/>
      <c r="S814" s="5"/>
      <c r="T814" s="5"/>
      <c r="U814" s="5"/>
      <c r="V814" s="5"/>
      <c r="W814" s="5"/>
      <c r="X814" s="5"/>
      <c r="Y814" s="5"/>
      <c r="Z814" s="1533"/>
      <c r="AA814" s="1534"/>
      <c r="AB814" s="1534"/>
      <c r="AC814" s="1534"/>
      <c r="AD814" s="1534"/>
      <c r="AE814" s="1535"/>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904</v>
      </c>
      <c r="BP814" s="246">
        <v>331890</v>
      </c>
      <c r="BQ814" s="246">
        <v>382666</v>
      </c>
      <c r="BR814" s="246">
        <v>461600</v>
      </c>
      <c r="BS814" s="246">
        <v>590848</v>
      </c>
      <c r="BT814" s="246">
        <v>658242</v>
      </c>
      <c r="BU814" s="14"/>
      <c r="BV814" s="140" t="s">
        <v>904</v>
      </c>
      <c r="BW814" s="246">
        <v>331890</v>
      </c>
      <c r="BX814" s="246">
        <v>382666</v>
      </c>
      <c r="BY814" s="246">
        <v>461600</v>
      </c>
      <c r="BZ814" s="246">
        <v>590848</v>
      </c>
      <c r="CA814" s="246">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2" customHeight="1">
      <c r="A815"/>
      <c r="B815"/>
      <c r="C815"/>
      <c r="D815"/>
      <c r="E815"/>
      <c r="F815"/>
      <c r="G815"/>
      <c r="H815" s="38" t="s">
        <v>1596</v>
      </c>
      <c r="I815" s="5"/>
      <c r="J815" s="5"/>
      <c r="K815" s="5"/>
      <c r="L815" s="5"/>
      <c r="M815" s="5"/>
      <c r="N815" s="5"/>
      <c r="O815" s="5"/>
      <c r="P815" s="5"/>
      <c r="Q815" s="5"/>
      <c r="R815" s="5"/>
      <c r="S815" s="5"/>
      <c r="T815" s="5"/>
      <c r="U815" s="5"/>
      <c r="V815" s="5"/>
      <c r="W815" s="5"/>
      <c r="X815" s="5"/>
      <c r="Y815" s="5"/>
      <c r="Z815" s="1533"/>
      <c r="AA815" s="1534"/>
      <c r="AB815" s="1534"/>
      <c r="AC815" s="1534"/>
      <c r="AD815" s="1534"/>
      <c r="AE815" s="1535"/>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906</v>
      </c>
      <c r="BP815" s="244">
        <v>307732</v>
      </c>
      <c r="BQ815" s="244">
        <v>354812</v>
      </c>
      <c r="BR815" s="244">
        <v>428000</v>
      </c>
      <c r="BS815" s="244">
        <v>547840</v>
      </c>
      <c r="BT815" s="244">
        <v>610328</v>
      </c>
      <c r="BU815" s="14"/>
      <c r="BV815" s="140" t="s">
        <v>906</v>
      </c>
      <c r="BW815" s="244">
        <v>307732</v>
      </c>
      <c r="BX815" s="244">
        <v>354812</v>
      </c>
      <c r="BY815" s="244">
        <v>428000</v>
      </c>
      <c r="BZ815" s="244">
        <v>547840</v>
      </c>
      <c r="CA815" s="244">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2" customHeight="1">
      <c r="A816"/>
      <c r="B816"/>
      <c r="C816"/>
      <c r="D816"/>
      <c r="E816"/>
      <c r="F816"/>
      <c r="G816"/>
      <c r="H816" s="38" t="s">
        <v>1597</v>
      </c>
      <c r="I816" s="5"/>
      <c r="J816" s="5"/>
      <c r="K816" s="5"/>
      <c r="L816" s="5"/>
      <c r="M816" s="5"/>
      <c r="N816" s="5"/>
      <c r="O816" s="5"/>
      <c r="P816" s="1569" t="s">
        <v>1406</v>
      </c>
      <c r="Q816" s="1570"/>
      <c r="R816" s="1570"/>
      <c r="S816" s="1570"/>
      <c r="T816" s="1570"/>
      <c r="U816" s="1570"/>
      <c r="V816" s="1570"/>
      <c r="W816" s="1570"/>
      <c r="X816" s="1570"/>
      <c r="Y816" s="1571"/>
      <c r="Z816" s="1533"/>
      <c r="AA816" s="1534"/>
      <c r="AB816" s="1534"/>
      <c r="AC816" s="1534"/>
      <c r="AD816" s="1534"/>
      <c r="AE816" s="1535"/>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908</v>
      </c>
      <c r="BP816" s="246">
        <v>352022</v>
      </c>
      <c r="BQ816" s="246">
        <v>405878</v>
      </c>
      <c r="BR816" s="246">
        <v>489600</v>
      </c>
      <c r="BS816" s="246">
        <v>626688</v>
      </c>
      <c r="BT816" s="246">
        <v>698170</v>
      </c>
      <c r="BU816" s="14"/>
      <c r="BV816" s="140" t="s">
        <v>908</v>
      </c>
      <c r="BW816" s="246">
        <v>352022</v>
      </c>
      <c r="BX816" s="246">
        <v>405878</v>
      </c>
      <c r="BY816" s="246">
        <v>489600</v>
      </c>
      <c r="BZ816" s="246">
        <v>626688</v>
      </c>
      <c r="CA816" s="246">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2" customHeight="1">
      <c r="A817"/>
      <c r="B817"/>
      <c r="C817"/>
      <c r="D817"/>
      <c r="E817"/>
      <c r="F817"/>
      <c r="G817"/>
      <c r="H817" s="38"/>
      <c r="I817" s="5"/>
      <c r="J817" s="5"/>
      <c r="K817" s="5"/>
      <c r="L817" s="5"/>
      <c r="M817" s="5"/>
      <c r="N817" s="5"/>
      <c r="O817" s="5"/>
      <c r="P817" s="5"/>
      <c r="Q817" s="5"/>
      <c r="R817" s="5"/>
      <c r="S817" s="5"/>
      <c r="T817" s="5"/>
      <c r="U817" s="5"/>
      <c r="V817" s="5"/>
      <c r="W817" s="5"/>
      <c r="X817" s="5"/>
      <c r="Y817" s="46" t="s">
        <v>1598</v>
      </c>
      <c r="Z817" s="1530">
        <f>SUM(Z813:AE816)</f>
        <v>8484</v>
      </c>
      <c r="AA817" s="1531"/>
      <c r="AB817" s="1531"/>
      <c r="AC817" s="1531"/>
      <c r="AD817" s="1531"/>
      <c r="AE817" s="1532"/>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910</v>
      </c>
      <c r="BP817" s="244">
        <v>352022</v>
      </c>
      <c r="BQ817" s="244">
        <v>405878</v>
      </c>
      <c r="BR817" s="244">
        <v>489600</v>
      </c>
      <c r="BS817" s="244">
        <v>626688</v>
      </c>
      <c r="BT817" s="244">
        <v>698170</v>
      </c>
      <c r="BU817" s="14"/>
      <c r="BV817" s="140" t="s">
        <v>910</v>
      </c>
      <c r="BW817" s="244">
        <v>352022</v>
      </c>
      <c r="BX817" s="244">
        <v>405878</v>
      </c>
      <c r="BY817" s="244">
        <v>489600</v>
      </c>
      <c r="BZ817" s="244">
        <v>626688</v>
      </c>
      <c r="CA817" s="244">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2" customHeight="1">
      <c r="A818"/>
      <c r="B818"/>
      <c r="C818"/>
      <c r="D818"/>
      <c r="E818"/>
      <c r="F818"/>
      <c r="G818"/>
      <c r="H818" s="38"/>
      <c r="I818" s="5"/>
      <c r="J818" s="5"/>
      <c r="K818" s="5"/>
      <c r="L818" s="5"/>
      <c r="M818" s="5"/>
      <c r="N818" s="5"/>
      <c r="O818" s="5"/>
      <c r="P818" s="5"/>
      <c r="Q818" s="5"/>
      <c r="R818" s="5"/>
      <c r="S818" s="5"/>
      <c r="T818" s="5"/>
      <c r="U818" s="5"/>
      <c r="V818" s="5"/>
      <c r="W818" s="5"/>
      <c r="X818" s="5"/>
      <c r="Y818" s="46" t="s">
        <v>1599</v>
      </c>
      <c r="Z818" s="1530">
        <f>Z817+Y801+Z809</f>
        <v>2423196</v>
      </c>
      <c r="AA818" s="1531"/>
      <c r="AB818" s="1531"/>
      <c r="AC818" s="1531"/>
      <c r="AD818" s="1531"/>
      <c r="AE818" s="1532"/>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913</v>
      </c>
      <c r="BP818" s="246">
        <v>314634</v>
      </c>
      <c r="BQ818" s="246">
        <v>362770</v>
      </c>
      <c r="BR818" s="246">
        <v>437600</v>
      </c>
      <c r="BS818" s="246">
        <v>560128</v>
      </c>
      <c r="BT818" s="246">
        <v>624018</v>
      </c>
      <c r="BU818" s="14"/>
      <c r="BV818" s="140" t="s">
        <v>913</v>
      </c>
      <c r="BW818" s="246">
        <v>314634</v>
      </c>
      <c r="BX818" s="246">
        <v>362770</v>
      </c>
      <c r="BY818" s="246">
        <v>437600</v>
      </c>
      <c r="BZ818" s="246">
        <v>560128</v>
      </c>
      <c r="CA818" s="246">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2"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915</v>
      </c>
      <c r="BP819" s="244">
        <v>352022</v>
      </c>
      <c r="BQ819" s="244">
        <v>405878</v>
      </c>
      <c r="BR819" s="244">
        <v>489600</v>
      </c>
      <c r="BS819" s="244">
        <v>626688</v>
      </c>
      <c r="BT819" s="244">
        <v>698170</v>
      </c>
      <c r="BU819" s="14"/>
      <c r="BV819" s="140" t="s">
        <v>915</v>
      </c>
      <c r="BW819" s="244">
        <v>352022</v>
      </c>
      <c r="BX819" s="244">
        <v>405878</v>
      </c>
      <c r="BY819" s="244">
        <v>489600</v>
      </c>
      <c r="BZ819" s="244">
        <v>626688</v>
      </c>
      <c r="CA819" s="244">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2" customHeight="1">
      <c r="A820" s="2" t="s">
        <v>1094</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917</v>
      </c>
      <c r="BP820" s="246">
        <v>307732</v>
      </c>
      <c r="BQ820" s="246">
        <v>354812</v>
      </c>
      <c r="BR820" s="246">
        <v>428000</v>
      </c>
      <c r="BS820" s="246">
        <v>547840</v>
      </c>
      <c r="BT820" s="246">
        <v>610328</v>
      </c>
      <c r="BU820" s="14"/>
      <c r="BV820" s="140" t="s">
        <v>917</v>
      </c>
      <c r="BW820" s="246">
        <v>307732</v>
      </c>
      <c r="BX820" s="246">
        <v>354812</v>
      </c>
      <c r="BY820" s="246">
        <v>428000</v>
      </c>
      <c r="BZ820" s="246">
        <v>547840</v>
      </c>
      <c r="CA820" s="246">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2" customHeight="1">
      <c r="A821"/>
      <c r="B821"/>
      <c r="C821" s="20" t="s">
        <v>1600</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920</v>
      </c>
      <c r="BP821" s="244">
        <v>307732</v>
      </c>
      <c r="BQ821" s="244">
        <v>354812</v>
      </c>
      <c r="BR821" s="244">
        <v>428000</v>
      </c>
      <c r="BS821" s="244">
        <v>547840</v>
      </c>
      <c r="BT821" s="244">
        <v>610328</v>
      </c>
      <c r="BU821" s="14"/>
      <c r="BV821" s="140" t="s">
        <v>920</v>
      </c>
      <c r="BW821" s="244">
        <v>307732</v>
      </c>
      <c r="BX821" s="244">
        <v>354812</v>
      </c>
      <c r="BY821" s="244">
        <v>428000</v>
      </c>
      <c r="BZ821" s="244">
        <v>547840</v>
      </c>
      <c r="CA821" s="244">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2"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924</v>
      </c>
      <c r="BP822" s="246">
        <v>352022</v>
      </c>
      <c r="BQ822" s="246">
        <v>405878</v>
      </c>
      <c r="BR822" s="246">
        <v>489600</v>
      </c>
      <c r="BS822" s="246">
        <v>626688</v>
      </c>
      <c r="BT822" s="246">
        <v>698170</v>
      </c>
      <c r="BU822" s="14"/>
      <c r="BV822" s="140" t="s">
        <v>924</v>
      </c>
      <c r="BW822" s="246">
        <v>352022</v>
      </c>
      <c r="BX822" s="246">
        <v>405878</v>
      </c>
      <c r="BY822" s="246">
        <v>489600</v>
      </c>
      <c r="BZ822" s="246">
        <v>626688</v>
      </c>
      <c r="CA822" s="246">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2" customHeight="1">
      <c r="A823"/>
      <c r="B823"/>
      <c r="C823" s="34"/>
      <c r="D823" s="35"/>
      <c r="E823" s="35"/>
      <c r="F823" s="35"/>
      <c r="G823" s="35"/>
      <c r="H823" s="35"/>
      <c r="I823" s="35"/>
      <c r="J823" s="35"/>
      <c r="K823" s="35"/>
      <c r="L823" s="51"/>
      <c r="M823" s="1695" t="s">
        <v>1601</v>
      </c>
      <c r="N823" s="1695"/>
      <c r="O823" s="1695"/>
      <c r="P823" s="1703"/>
      <c r="Q823" s="1552" t="s">
        <v>1602</v>
      </c>
      <c r="R823" s="1552"/>
      <c r="S823" s="1552"/>
      <c r="T823" s="1552"/>
      <c r="U823" s="1552" t="s">
        <v>1603</v>
      </c>
      <c r="V823" s="1552"/>
      <c r="W823" s="1552"/>
      <c r="X823" s="1552"/>
      <c r="Y823" s="1552" t="s">
        <v>1604</v>
      </c>
      <c r="Z823" s="1552"/>
      <c r="AA823" s="1552"/>
      <c r="AB823" s="1552"/>
      <c r="AC823" s="1552" t="s">
        <v>1605</v>
      </c>
      <c r="AD823" s="1552"/>
      <c r="AE823" s="1552"/>
      <c r="AF823" s="1552"/>
      <c r="AG823" s="1580" t="s">
        <v>1606</v>
      </c>
      <c r="AH823" s="1580"/>
      <c r="AI823" s="1580"/>
      <c r="AJ823" s="1580"/>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929</v>
      </c>
      <c r="BP823" s="244">
        <v>352022</v>
      </c>
      <c r="BQ823" s="244">
        <v>405878</v>
      </c>
      <c r="BR823" s="244">
        <v>489600</v>
      </c>
      <c r="BS823" s="244">
        <v>626688</v>
      </c>
      <c r="BT823" s="244">
        <v>698170</v>
      </c>
      <c r="BU823" s="14"/>
      <c r="BV823" s="140" t="s">
        <v>929</v>
      </c>
      <c r="BW823" s="244">
        <v>352022</v>
      </c>
      <c r="BX823" s="244">
        <v>405878</v>
      </c>
      <c r="BY823" s="244">
        <v>489600</v>
      </c>
      <c r="BZ823" s="244">
        <v>626688</v>
      </c>
      <c r="CA823" s="244">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2" customHeight="1">
      <c r="A824"/>
      <c r="B824"/>
      <c r="C824" s="40"/>
      <c r="D824" s="41"/>
      <c r="E824" s="41"/>
      <c r="F824" s="41"/>
      <c r="G824" s="41"/>
      <c r="H824" s="41"/>
      <c r="I824" s="41"/>
      <c r="J824" s="41"/>
      <c r="K824" s="41"/>
      <c r="L824" s="42"/>
      <c r="M824" s="1699"/>
      <c r="N824" s="1699"/>
      <c r="O824" s="1699"/>
      <c r="P824" s="1704"/>
      <c r="Q824" s="1552"/>
      <c r="R824" s="1552"/>
      <c r="S824" s="1552"/>
      <c r="T824" s="1552"/>
      <c r="U824" s="1552"/>
      <c r="V824" s="1552"/>
      <c r="W824" s="1552"/>
      <c r="X824" s="1552"/>
      <c r="Y824" s="1552"/>
      <c r="Z824" s="1552"/>
      <c r="AA824" s="1552"/>
      <c r="AB824" s="1552"/>
      <c r="AC824" s="1552"/>
      <c r="AD824" s="1552"/>
      <c r="AE824" s="1552"/>
      <c r="AF824" s="1552"/>
      <c r="AG824" s="1580"/>
      <c r="AH824" s="1580"/>
      <c r="AI824" s="1580"/>
      <c r="AJ824" s="1580"/>
      <c r="AK824"/>
      <c r="AL824" s="3"/>
      <c r="AM824" s="3"/>
      <c r="AN824" s="3"/>
      <c r="AO824" s="3"/>
      <c r="AP824" s="3"/>
      <c r="AQ824" s="3"/>
      <c r="AR824" s="3"/>
      <c r="AS824" s="3"/>
      <c r="AT824" s="3"/>
      <c r="AU824"/>
      <c r="AV824" s="3"/>
      <c r="AW824" s="3"/>
      <c r="AX824" s="3"/>
      <c r="AY824" s="3"/>
      <c r="AZ824" s="26"/>
      <c r="BA824" s="26"/>
      <c r="BO824" s="140" t="s">
        <v>933</v>
      </c>
      <c r="BP824" s="246">
        <v>437727</v>
      </c>
      <c r="BQ824" s="246">
        <v>504695</v>
      </c>
      <c r="BR824" s="246">
        <v>608800</v>
      </c>
      <c r="BS824" s="246">
        <v>779264</v>
      </c>
      <c r="BT824" s="246">
        <v>868149</v>
      </c>
      <c r="BV824" s="140" t="s">
        <v>933</v>
      </c>
      <c r="BW824" s="246">
        <v>437727</v>
      </c>
      <c r="BX824" s="246">
        <v>504695</v>
      </c>
      <c r="BY824" s="246">
        <v>608800</v>
      </c>
      <c r="BZ824" s="246">
        <v>779264</v>
      </c>
      <c r="CA824" s="246">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2" customHeight="1">
      <c r="A825"/>
      <c r="B825"/>
      <c r="C825" s="1551" t="s">
        <v>1607</v>
      </c>
      <c r="D825" s="1449"/>
      <c r="E825" s="1449"/>
      <c r="F825" s="1449"/>
      <c r="G825" s="1449"/>
      <c r="H825" s="1449"/>
      <c r="I825" s="41"/>
      <c r="J825" s="41"/>
      <c r="K825" s="41"/>
      <c r="L825" s="42"/>
      <c r="M825" s="1554"/>
      <c r="N825" s="1554"/>
      <c r="O825" s="1554"/>
      <c r="P825" s="1554"/>
      <c r="Q825" s="1554">
        <v>27</v>
      </c>
      <c r="R825" s="1554"/>
      <c r="S825" s="1554"/>
      <c r="T825" s="1554"/>
      <c r="U825" s="1554">
        <v>36</v>
      </c>
      <c r="V825" s="1554"/>
      <c r="W825" s="1554"/>
      <c r="X825" s="1554"/>
      <c r="Y825" s="1554"/>
      <c r="Z825" s="1554"/>
      <c r="AA825" s="1554"/>
      <c r="AB825" s="1554"/>
      <c r="AC825" s="1509"/>
      <c r="AD825" s="1510"/>
      <c r="AE825" s="1510"/>
      <c r="AF825" s="1511"/>
      <c r="AG825" s="1509"/>
      <c r="AH825" s="1510"/>
      <c r="AI825" s="1510"/>
      <c r="AJ825" s="1511"/>
      <c r="AK825"/>
      <c r="AL825" s="3"/>
      <c r="AM825" s="3"/>
      <c r="AN825" s="3"/>
      <c r="AO825" s="3"/>
      <c r="AP825" s="3"/>
      <c r="AQ825" s="3"/>
      <c r="AR825" s="3"/>
      <c r="AS825" s="3"/>
      <c r="AT825" s="3"/>
      <c r="AU825"/>
      <c r="AV825" s="3"/>
      <c r="AW825" s="3"/>
      <c r="AX825" s="3"/>
      <c r="AY825" s="3"/>
      <c r="AZ825" s="26"/>
      <c r="BA825" s="26"/>
      <c r="BO825" s="140" t="s">
        <v>940</v>
      </c>
      <c r="BP825" s="244">
        <v>307732</v>
      </c>
      <c r="BQ825" s="244">
        <v>354812</v>
      </c>
      <c r="BR825" s="244">
        <v>428000</v>
      </c>
      <c r="BS825" s="244">
        <v>547840</v>
      </c>
      <c r="BT825" s="244">
        <v>610328</v>
      </c>
      <c r="BV825" s="140" t="s">
        <v>940</v>
      </c>
      <c r="BW825" s="244">
        <v>307732</v>
      </c>
      <c r="BX825" s="244">
        <v>354812</v>
      </c>
      <c r="BY825" s="244">
        <v>428000</v>
      </c>
      <c r="BZ825" s="244">
        <v>547840</v>
      </c>
      <c r="CA825" s="244">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2" customHeight="1">
      <c r="A826"/>
      <c r="B826"/>
      <c r="C826" s="1386" t="s">
        <v>1608</v>
      </c>
      <c r="D826" s="1384"/>
      <c r="E826" s="1384"/>
      <c r="F826" s="1384"/>
      <c r="G826" s="1384"/>
      <c r="H826" s="1384"/>
      <c r="I826" s="5"/>
      <c r="J826" s="5"/>
      <c r="K826" s="5"/>
      <c r="L826" s="39"/>
      <c r="M826" s="1554"/>
      <c r="N826" s="1554"/>
      <c r="O826" s="1554"/>
      <c r="P826" s="1554"/>
      <c r="Q826" s="1554"/>
      <c r="R826" s="1554"/>
      <c r="S826" s="1554"/>
      <c r="T826" s="1554"/>
      <c r="U826" s="1554"/>
      <c r="V826" s="1554"/>
      <c r="W826" s="1554"/>
      <c r="X826" s="1554"/>
      <c r="Y826" s="1554"/>
      <c r="Z826" s="1554"/>
      <c r="AA826" s="1554"/>
      <c r="AB826" s="1554"/>
      <c r="AC826" s="1509"/>
      <c r="AD826" s="1510"/>
      <c r="AE826" s="1510"/>
      <c r="AF826" s="1511"/>
      <c r="AG826" s="1509"/>
      <c r="AH826" s="1510"/>
      <c r="AI826" s="1510"/>
      <c r="AJ826" s="1511"/>
      <c r="AK826"/>
      <c r="AL826" s="3"/>
      <c r="AM826" s="3"/>
      <c r="AN826" s="3"/>
      <c r="AO826" s="3"/>
      <c r="AP826" s="3"/>
      <c r="AQ826" s="3"/>
      <c r="AR826" s="3"/>
      <c r="AS826" s="3"/>
      <c r="AT826" s="3"/>
      <c r="AU826"/>
      <c r="AV826" s="3"/>
      <c r="AW826" s="3"/>
      <c r="AX826" s="3"/>
      <c r="AY826" s="3"/>
      <c r="AZ826" s="26"/>
      <c r="BA826" s="26"/>
      <c r="BO826" s="140" t="s">
        <v>944</v>
      </c>
      <c r="BP826" s="246">
        <v>384234</v>
      </c>
      <c r="BQ826" s="246">
        <v>443018</v>
      </c>
      <c r="BR826" s="246">
        <v>534400</v>
      </c>
      <c r="BS826" s="246">
        <v>684032</v>
      </c>
      <c r="BT826" s="246">
        <v>762054</v>
      </c>
      <c r="BV826" s="140" t="s">
        <v>944</v>
      </c>
      <c r="BW826" s="246">
        <v>384234</v>
      </c>
      <c r="BX826" s="246">
        <v>443018</v>
      </c>
      <c r="BY826" s="246">
        <v>534400</v>
      </c>
      <c r="BZ826" s="246">
        <v>684032</v>
      </c>
      <c r="CA826" s="246">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2" customHeight="1">
      <c r="A827"/>
      <c r="B827"/>
      <c r="C827" s="1386" t="s">
        <v>1609</v>
      </c>
      <c r="D827" s="1384"/>
      <c r="E827" s="1384"/>
      <c r="F827" s="1384"/>
      <c r="G827" s="1384"/>
      <c r="H827" s="1384"/>
      <c r="I827" s="53"/>
      <c r="J827" s="53"/>
      <c r="K827" s="53"/>
      <c r="L827" s="54"/>
      <c r="M827" s="1554"/>
      <c r="N827" s="1554"/>
      <c r="O827" s="1554"/>
      <c r="P827" s="1554"/>
      <c r="Q827" s="1554">
        <v>14</v>
      </c>
      <c r="R827" s="1554"/>
      <c r="S827" s="1554"/>
      <c r="T827" s="1554"/>
      <c r="U827" s="1554">
        <v>18</v>
      </c>
      <c r="V827" s="1554"/>
      <c r="W827" s="1554"/>
      <c r="X827" s="1554"/>
      <c r="Y827" s="1554"/>
      <c r="Z827" s="1554"/>
      <c r="AA827" s="1554"/>
      <c r="AB827" s="1554"/>
      <c r="AC827" s="1509"/>
      <c r="AD827" s="1510"/>
      <c r="AE827" s="1510"/>
      <c r="AF827" s="1511"/>
      <c r="AG827" s="1509"/>
      <c r="AH827" s="1510"/>
      <c r="AI827" s="1510"/>
      <c r="AJ827" s="1511"/>
      <c r="AK827"/>
      <c r="AL827" s="3"/>
      <c r="AM827" s="3"/>
      <c r="AN827" s="3"/>
      <c r="AO827" s="3"/>
      <c r="AP827" s="3"/>
      <c r="AQ827" s="3"/>
      <c r="AR827" s="3"/>
      <c r="AS827" s="3"/>
      <c r="AT827" s="3"/>
      <c r="AU827"/>
      <c r="AV827" s="3"/>
      <c r="AW827" s="3"/>
      <c r="AX827" s="3"/>
      <c r="AY827" s="3"/>
      <c r="AZ827" s="26"/>
      <c r="BA827" s="26"/>
      <c r="BO827" s="140" t="s">
        <v>948</v>
      </c>
      <c r="BP827" s="244">
        <v>352022</v>
      </c>
      <c r="BQ827" s="244">
        <v>405878</v>
      </c>
      <c r="BR827" s="244">
        <v>489600</v>
      </c>
      <c r="BS827" s="244">
        <v>626688</v>
      </c>
      <c r="BT827" s="244">
        <v>698170</v>
      </c>
      <c r="BV827" s="140" t="s">
        <v>948</v>
      </c>
      <c r="BW827" s="244">
        <v>352022</v>
      </c>
      <c r="BX827" s="244">
        <v>405878</v>
      </c>
      <c r="BY827" s="244">
        <v>489600</v>
      </c>
      <c r="BZ827" s="244">
        <v>626688</v>
      </c>
      <c r="CA827" s="244">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2" customHeight="1">
      <c r="A828"/>
      <c r="B828"/>
      <c r="C828" s="1386" t="s">
        <v>1610</v>
      </c>
      <c r="D828" s="1384"/>
      <c r="E828" s="1384"/>
      <c r="F828" s="1384"/>
      <c r="G828" s="1384"/>
      <c r="H828" s="1384"/>
      <c r="I828" s="53"/>
      <c r="J828" s="53"/>
      <c r="K828" s="53"/>
      <c r="L828" s="54"/>
      <c r="M828" s="1554"/>
      <c r="N828" s="1554"/>
      <c r="O828" s="1554"/>
      <c r="P828" s="1554"/>
      <c r="Q828" s="1554"/>
      <c r="R828" s="1554"/>
      <c r="S828" s="1554"/>
      <c r="T828" s="1554"/>
      <c r="U828" s="1554"/>
      <c r="V828" s="1554"/>
      <c r="W828" s="1554"/>
      <c r="X828" s="1554"/>
      <c r="Y828" s="1554"/>
      <c r="Z828" s="1554"/>
      <c r="AA828" s="1554"/>
      <c r="AB828" s="1554"/>
      <c r="AC828" s="1509"/>
      <c r="AD828" s="1510"/>
      <c r="AE828" s="1510"/>
      <c r="AF828" s="1511"/>
      <c r="AG828" s="1509"/>
      <c r="AH828" s="1510"/>
      <c r="AI828" s="1510"/>
      <c r="AJ828" s="1511"/>
      <c r="AK828"/>
      <c r="AL828" s="3"/>
      <c r="AM828" s="3"/>
      <c r="AN828" s="3"/>
      <c r="AO828" s="3"/>
      <c r="AP828" s="3"/>
      <c r="AQ828" s="3"/>
      <c r="AR828" s="3"/>
      <c r="AS828" s="3"/>
      <c r="AT828" s="3"/>
      <c r="AU828"/>
      <c r="AV828" s="3"/>
      <c r="AW828" s="3"/>
      <c r="AX828" s="3"/>
      <c r="AY828" s="3"/>
      <c r="AZ828" s="26"/>
      <c r="BA828" s="26"/>
      <c r="BO828" s="140" t="s">
        <v>950</v>
      </c>
      <c r="BP828" s="246">
        <v>352022</v>
      </c>
      <c r="BQ828" s="246">
        <v>405878</v>
      </c>
      <c r="BR828" s="246">
        <v>489600</v>
      </c>
      <c r="BS828" s="246">
        <v>626688</v>
      </c>
      <c r="BT828" s="246">
        <v>698170</v>
      </c>
      <c r="BV828" s="140" t="s">
        <v>950</v>
      </c>
      <c r="BW828" s="246">
        <v>352022</v>
      </c>
      <c r="BX828" s="246">
        <v>405878</v>
      </c>
      <c r="BY828" s="246">
        <v>489600</v>
      </c>
      <c r="BZ828" s="246">
        <v>626688</v>
      </c>
      <c r="CA828" s="246">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2" customHeight="1">
      <c r="A829"/>
      <c r="B829"/>
      <c r="C829" s="1386" t="s">
        <v>1611</v>
      </c>
      <c r="D829" s="1384"/>
      <c r="E829" s="1384"/>
      <c r="F829" s="1384"/>
      <c r="G829" s="1384"/>
      <c r="H829" s="1384"/>
      <c r="I829" s="53"/>
      <c r="J829" s="53"/>
      <c r="K829" s="53"/>
      <c r="L829" s="54"/>
      <c r="M829" s="1554"/>
      <c r="N829" s="1554"/>
      <c r="O829" s="1554"/>
      <c r="P829" s="1554"/>
      <c r="Q829" s="1554">
        <v>41</v>
      </c>
      <c r="R829" s="1554"/>
      <c r="S829" s="1554"/>
      <c r="T829" s="1554"/>
      <c r="U829" s="1554">
        <v>50</v>
      </c>
      <c r="V829" s="1554"/>
      <c r="W829" s="1554"/>
      <c r="X829" s="1554"/>
      <c r="Y829" s="1554"/>
      <c r="Z829" s="1554"/>
      <c r="AA829" s="1554"/>
      <c r="AB829" s="1554"/>
      <c r="AC829" s="1509"/>
      <c r="AD829" s="1510"/>
      <c r="AE829" s="1510"/>
      <c r="AF829" s="1511"/>
      <c r="AG829" s="1509"/>
      <c r="AH829" s="1510"/>
      <c r="AI829" s="1510"/>
      <c r="AJ829" s="1511"/>
      <c r="AK829"/>
      <c r="AL829" s="3"/>
      <c r="AM829" s="3"/>
      <c r="AN829" s="3"/>
      <c r="AO829" s="3"/>
      <c r="AP829" s="3"/>
      <c r="AQ829" s="3"/>
      <c r="AR829" s="3"/>
      <c r="AS829" s="3"/>
      <c r="AT829" s="3"/>
      <c r="AU829"/>
      <c r="AV829" s="3"/>
      <c r="AW829" s="3"/>
      <c r="AX829" s="3"/>
      <c r="AY829" s="3"/>
      <c r="AZ829" s="26"/>
      <c r="BA829" s="26"/>
      <c r="BO829" s="140" t="s">
        <v>953</v>
      </c>
      <c r="BP829" s="244">
        <v>307732</v>
      </c>
      <c r="BQ829" s="244">
        <v>354812</v>
      </c>
      <c r="BR829" s="244">
        <v>428000</v>
      </c>
      <c r="BS829" s="244">
        <v>547840</v>
      </c>
      <c r="BT829" s="244">
        <v>610328</v>
      </c>
      <c r="BV829" s="140" t="s">
        <v>953</v>
      </c>
      <c r="BW829" s="244">
        <v>307732</v>
      </c>
      <c r="BX829" s="244">
        <v>354812</v>
      </c>
      <c r="BY829" s="244">
        <v>428000</v>
      </c>
      <c r="BZ829" s="244">
        <v>547840</v>
      </c>
      <c r="CA829" s="244">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2" customHeight="1">
      <c r="A830"/>
      <c r="B830"/>
      <c r="C830" s="1364" t="s">
        <v>1612</v>
      </c>
      <c r="D830" s="1384"/>
      <c r="E830" s="1384"/>
      <c r="F830" s="1384"/>
      <c r="G830" s="1384"/>
      <c r="H830" s="1384"/>
      <c r="I830" s="53"/>
      <c r="J830" s="53"/>
      <c r="K830" s="53"/>
      <c r="L830" s="54"/>
      <c r="M830" s="1554"/>
      <c r="N830" s="1554"/>
      <c r="O830" s="1554"/>
      <c r="P830" s="1554"/>
      <c r="Q830" s="1554"/>
      <c r="R830" s="1554"/>
      <c r="S830" s="1554"/>
      <c r="T830" s="1554"/>
      <c r="U830" s="1554"/>
      <c r="V830" s="1554"/>
      <c r="W830" s="1554"/>
      <c r="X830" s="1554"/>
      <c r="Y830" s="1554"/>
      <c r="Z830" s="1554"/>
      <c r="AA830" s="1554"/>
      <c r="AB830" s="1554"/>
      <c r="AC830" s="1509"/>
      <c r="AD830" s="1510"/>
      <c r="AE830" s="1510"/>
      <c r="AF830" s="1511"/>
      <c r="AG830" s="1509"/>
      <c r="AH830" s="1510"/>
      <c r="AI830" s="1510"/>
      <c r="AJ830" s="1511"/>
      <c r="AK830"/>
      <c r="AL830" s="3"/>
      <c r="AM830" s="3"/>
      <c r="AN830" s="3"/>
      <c r="AO830" s="3"/>
      <c r="AP830" s="3"/>
      <c r="AQ830" s="3"/>
      <c r="AR830" s="3"/>
      <c r="AS830" s="3"/>
      <c r="AT830" s="3"/>
      <c r="AU830"/>
      <c r="AV830" s="3"/>
      <c r="AW830" s="3"/>
      <c r="AX830" s="3"/>
      <c r="AY830" s="3"/>
      <c r="AZ830" s="26"/>
      <c r="BA830" s="26"/>
      <c r="BO830" s="140" t="s">
        <v>956</v>
      </c>
      <c r="BP830" s="246">
        <v>352022</v>
      </c>
      <c r="BQ830" s="246">
        <v>405878</v>
      </c>
      <c r="BR830" s="246">
        <v>489600</v>
      </c>
      <c r="BS830" s="246">
        <v>626688</v>
      </c>
      <c r="BT830" s="246">
        <v>698170</v>
      </c>
      <c r="BV830" s="140" t="s">
        <v>956</v>
      </c>
      <c r="BW830" s="246">
        <v>352022</v>
      </c>
      <c r="BX830" s="246">
        <v>405878</v>
      </c>
      <c r="BY830" s="246">
        <v>489600</v>
      </c>
      <c r="BZ830" s="246">
        <v>626688</v>
      </c>
      <c r="CA830" s="246">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2" customHeight="1">
      <c r="A831"/>
      <c r="B831"/>
      <c r="C831" s="52" t="s">
        <v>1613</v>
      </c>
      <c r="D831" s="53"/>
      <c r="E831" s="53"/>
      <c r="F831" s="1569" t="s">
        <v>1614</v>
      </c>
      <c r="G831" s="1570"/>
      <c r="H831" s="1570"/>
      <c r="I831" s="1570"/>
      <c r="J831" s="1570"/>
      <c r="K831" s="1570"/>
      <c r="L831" s="1570"/>
      <c r="M831" s="1554"/>
      <c r="N831" s="1554"/>
      <c r="O831" s="1554"/>
      <c r="P831" s="1554"/>
      <c r="Q831" s="1554">
        <v>18</v>
      </c>
      <c r="R831" s="1554"/>
      <c r="S831" s="1554"/>
      <c r="T831" s="1554"/>
      <c r="U831" s="1554">
        <v>24</v>
      </c>
      <c r="V831" s="1554"/>
      <c r="W831" s="1554"/>
      <c r="X831" s="1554"/>
      <c r="Y831" s="1554"/>
      <c r="Z831" s="1554"/>
      <c r="AA831" s="1554"/>
      <c r="AB831" s="1554"/>
      <c r="AC831" s="1509"/>
      <c r="AD831" s="1510"/>
      <c r="AE831" s="1510"/>
      <c r="AF831" s="1511"/>
      <c r="AG831" s="1509"/>
      <c r="AH831" s="1510"/>
      <c r="AI831" s="1510"/>
      <c r="AJ831" s="1511"/>
      <c r="AK831"/>
      <c r="AL831" s="3"/>
      <c r="AM831" s="3"/>
      <c r="AN831" s="3"/>
      <c r="AO831" s="3"/>
      <c r="AP831" s="3"/>
      <c r="AQ831" s="3"/>
      <c r="AR831" s="3"/>
      <c r="AS831" s="3"/>
      <c r="AT831" s="3"/>
      <c r="AU831"/>
      <c r="AV831" s="3"/>
      <c r="AW831" s="3"/>
      <c r="AX831" s="3"/>
      <c r="AY831" s="3"/>
      <c r="AZ831" s="26"/>
      <c r="BA831" s="26"/>
      <c r="BO831" s="140" t="s">
        <v>958</v>
      </c>
      <c r="BP831" s="244">
        <v>352022</v>
      </c>
      <c r="BQ831" s="244">
        <v>405878</v>
      </c>
      <c r="BR831" s="244">
        <v>489600</v>
      </c>
      <c r="BS831" s="244">
        <v>626688</v>
      </c>
      <c r="BT831" s="244">
        <v>698170</v>
      </c>
      <c r="BV831" s="140" t="s">
        <v>958</v>
      </c>
      <c r="BW831" s="244">
        <v>352022</v>
      </c>
      <c r="BX831" s="244">
        <v>405878</v>
      </c>
      <c r="BY831" s="244">
        <v>489600</v>
      </c>
      <c r="BZ831" s="244">
        <v>626688</v>
      </c>
      <c r="CA831" s="244">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2" customHeight="1">
      <c r="A832"/>
      <c r="B832"/>
      <c r="C832" s="1555" t="s">
        <v>1567</v>
      </c>
      <c r="D832" s="1556"/>
      <c r="E832" s="1556"/>
      <c r="F832" s="1556"/>
      <c r="G832" s="1556"/>
      <c r="H832" s="1556"/>
      <c r="I832" s="1556"/>
      <c r="J832" s="1556"/>
      <c r="K832" s="1556"/>
      <c r="L832" s="1557"/>
      <c r="M832" s="1563">
        <f>SUM(M825:P831)</f>
        <v>0</v>
      </c>
      <c r="N832" s="1563"/>
      <c r="O832" s="1563"/>
      <c r="P832" s="1563"/>
      <c r="Q832" s="1563">
        <f>SUM(Q825:T831)</f>
        <v>100</v>
      </c>
      <c r="R832" s="1563"/>
      <c r="S832" s="1563"/>
      <c r="T832" s="1563"/>
      <c r="U832" s="1563">
        <f>SUM(U825:X831)</f>
        <v>128</v>
      </c>
      <c r="V832" s="1563"/>
      <c r="W832" s="1563"/>
      <c r="X832" s="1563"/>
      <c r="Y832" s="1563">
        <f>SUM(Y825:AB831)</f>
        <v>0</v>
      </c>
      <c r="Z832" s="1563"/>
      <c r="AA832" s="1563"/>
      <c r="AB832" s="1563"/>
      <c r="AC832" s="1563">
        <f>SUM(AC825:AF831)</f>
        <v>0</v>
      </c>
      <c r="AD832" s="1563"/>
      <c r="AE832" s="1563"/>
      <c r="AF832" s="1563"/>
      <c r="AG832" s="1563">
        <f>SUM(AG825:AJ831)</f>
        <v>0</v>
      </c>
      <c r="AH832" s="1563"/>
      <c r="AI832" s="1563"/>
      <c r="AJ832" s="1563"/>
      <c r="AK832"/>
      <c r="AL832" s="3"/>
      <c r="AM832" s="3"/>
      <c r="AN832" s="3"/>
      <c r="AO832" s="3"/>
      <c r="AP832" s="3"/>
      <c r="AQ832" s="3"/>
      <c r="AR832" s="3"/>
      <c r="AS832" s="3"/>
      <c r="AT832" s="3"/>
      <c r="AU832"/>
      <c r="AV832" s="3"/>
      <c r="AW832" s="3"/>
      <c r="AX832" s="3"/>
      <c r="AY832" s="3"/>
      <c r="AZ832" s="26"/>
      <c r="BA832" s="26"/>
      <c r="BO832" s="140" t="s">
        <v>961</v>
      </c>
      <c r="BP832" s="246">
        <v>387110</v>
      </c>
      <c r="BQ832" s="246">
        <v>446334</v>
      </c>
      <c r="BR832" s="246">
        <v>538400</v>
      </c>
      <c r="BS832" s="246">
        <v>689152</v>
      </c>
      <c r="BT832" s="246">
        <v>767758</v>
      </c>
      <c r="BV832" s="140" t="s">
        <v>961</v>
      </c>
      <c r="BW832" s="246">
        <v>387110</v>
      </c>
      <c r="BX832" s="246">
        <v>446334</v>
      </c>
      <c r="BY832" s="246">
        <v>538400</v>
      </c>
      <c r="BZ832" s="246">
        <v>689152</v>
      </c>
      <c r="CA832" s="246">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2" customHeight="1">
      <c r="A833"/>
      <c r="B833"/>
      <c r="C833" s="50" t="s">
        <v>1615</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965</v>
      </c>
      <c r="BP833" s="244">
        <v>384234</v>
      </c>
      <c r="BQ833" s="244">
        <v>443018</v>
      </c>
      <c r="BR833" s="244">
        <v>534400</v>
      </c>
      <c r="BS833" s="244">
        <v>684032</v>
      </c>
      <c r="BT833" s="244">
        <v>762054</v>
      </c>
      <c r="BV833" s="140" t="s">
        <v>965</v>
      </c>
      <c r="BW833" s="244">
        <v>384234</v>
      </c>
      <c r="BX833" s="244">
        <v>443018</v>
      </c>
      <c r="BY833" s="244">
        <v>534400</v>
      </c>
      <c r="BZ833" s="244">
        <v>684032</v>
      </c>
      <c r="CA833" s="244">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2" customHeight="1">
      <c r="A834"/>
      <c r="B834"/>
      <c r="C834" s="50" t="s">
        <v>1616</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970</v>
      </c>
      <c r="BP834" s="246">
        <v>352022</v>
      </c>
      <c r="BQ834" s="246">
        <v>405878</v>
      </c>
      <c r="BR834" s="246">
        <v>489600</v>
      </c>
      <c r="BS834" s="246">
        <v>626688</v>
      </c>
      <c r="BT834" s="246">
        <v>698170</v>
      </c>
      <c r="BV834" s="140" t="s">
        <v>970</v>
      </c>
      <c r="BW834" s="246">
        <v>352022</v>
      </c>
      <c r="BX834" s="246">
        <v>405878</v>
      </c>
      <c r="BY834" s="246">
        <v>489600</v>
      </c>
      <c r="BZ834" s="246">
        <v>626688</v>
      </c>
      <c r="CA834" s="246">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2"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973</v>
      </c>
      <c r="BP835" s="244">
        <v>396888</v>
      </c>
      <c r="BQ835" s="244">
        <v>457608</v>
      </c>
      <c r="BR835" s="244">
        <v>552000</v>
      </c>
      <c r="BS835" s="244">
        <v>706560</v>
      </c>
      <c r="BT835" s="244">
        <v>787152</v>
      </c>
      <c r="BV835" s="140" t="s">
        <v>973</v>
      </c>
      <c r="BW835" s="244">
        <v>396888</v>
      </c>
      <c r="BX835" s="244">
        <v>457608</v>
      </c>
      <c r="BY835" s="244">
        <v>552000</v>
      </c>
      <c r="BZ835" s="244">
        <v>706560</v>
      </c>
      <c r="CA835" s="244">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2" customHeight="1">
      <c r="A836"/>
      <c r="B836"/>
      <c r="C836" s="2" t="s">
        <v>1617</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975</v>
      </c>
      <c r="BP836" s="246">
        <v>331890</v>
      </c>
      <c r="BQ836" s="246">
        <v>382666</v>
      </c>
      <c r="BR836" s="246">
        <v>461600</v>
      </c>
      <c r="BS836" s="246">
        <v>590848</v>
      </c>
      <c r="BT836" s="246">
        <v>658242</v>
      </c>
      <c r="BV836" s="140" t="s">
        <v>975</v>
      </c>
      <c r="BW836" s="246">
        <v>331890</v>
      </c>
      <c r="BX836" s="246">
        <v>382666</v>
      </c>
      <c r="BY836" s="246">
        <v>461600</v>
      </c>
      <c r="BZ836" s="246">
        <v>590848</v>
      </c>
      <c r="CA836" s="246">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2" customHeight="1">
      <c r="A837"/>
      <c r="B837"/>
      <c r="C837" s="1667" t="s">
        <v>1618</v>
      </c>
      <c r="D837" s="1668"/>
      <c r="E837" s="1668"/>
      <c r="F837" s="1668"/>
      <c r="G837" s="1668"/>
      <c r="H837" s="1668"/>
      <c r="I837" s="1668"/>
      <c r="J837" s="1668"/>
      <c r="K837" s="1668"/>
      <c r="L837" s="1668"/>
      <c r="M837" s="1668"/>
      <c r="N837" s="1668"/>
      <c r="O837" s="1668"/>
      <c r="P837" s="1668"/>
      <c r="Q837" s="1668"/>
      <c r="R837" s="1668"/>
      <c r="S837" s="1668"/>
      <c r="T837" s="1668"/>
      <c r="U837" s="1668"/>
      <c r="V837" s="1668"/>
      <c r="W837" s="1668"/>
      <c r="X837" s="1668"/>
      <c r="Y837" s="1668"/>
      <c r="Z837" s="1668"/>
      <c r="AA837" s="1668"/>
      <c r="AB837" s="1668"/>
      <c r="AC837" s="1668"/>
      <c r="AD837" s="1668"/>
      <c r="AE837" s="1668"/>
      <c r="AF837" s="1668"/>
      <c r="AG837" s="1668"/>
      <c r="AH837" s="1668"/>
      <c r="AI837" s="1668"/>
      <c r="AJ837" s="1669"/>
      <c r="AK837"/>
      <c r="AL837" s="3"/>
      <c r="AM837" s="3"/>
      <c r="AN837" s="3"/>
      <c r="AO837" s="3"/>
      <c r="AP837" s="3"/>
      <c r="AQ837" s="3"/>
      <c r="AR837" s="3"/>
      <c r="AS837" s="3"/>
      <c r="AT837" s="3"/>
      <c r="AU837"/>
      <c r="AV837"/>
      <c r="AW837"/>
      <c r="AX837"/>
      <c r="AY837"/>
      <c r="AZ837" s="26"/>
      <c r="BA837" s="26"/>
      <c r="BO837" s="140" t="s">
        <v>977</v>
      </c>
      <c r="BP837" s="244">
        <v>352022</v>
      </c>
      <c r="BQ837" s="244">
        <v>405878</v>
      </c>
      <c r="BR837" s="244">
        <v>489600</v>
      </c>
      <c r="BS837" s="244">
        <v>626688</v>
      </c>
      <c r="BT837" s="244">
        <v>698170</v>
      </c>
      <c r="BV837" s="140" t="s">
        <v>977</v>
      </c>
      <c r="BW837" s="244">
        <v>352022</v>
      </c>
      <c r="BX837" s="244">
        <v>405878</v>
      </c>
      <c r="BY837" s="244">
        <v>489600</v>
      </c>
      <c r="BZ837" s="244">
        <v>626688</v>
      </c>
      <c r="CA837" s="244">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2" customHeight="1">
      <c r="A838"/>
      <c r="B838" s="3"/>
      <c r="C838" s="3" t="s">
        <v>1619</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981</v>
      </c>
      <c r="BP838" s="246">
        <v>314634</v>
      </c>
      <c r="BQ838" s="246">
        <v>362770</v>
      </c>
      <c r="BR838" s="246">
        <v>437600</v>
      </c>
      <c r="BS838" s="246">
        <v>560128</v>
      </c>
      <c r="BT838" s="246">
        <v>624018</v>
      </c>
      <c r="BV838" s="140" t="s">
        <v>981</v>
      </c>
      <c r="BW838" s="246">
        <v>314634</v>
      </c>
      <c r="BX838" s="246">
        <v>362770</v>
      </c>
      <c r="BY838" s="246">
        <v>437600</v>
      </c>
      <c r="BZ838" s="246">
        <v>560128</v>
      </c>
      <c r="CA838" s="246">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2"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986</v>
      </c>
      <c r="BP839" s="244">
        <v>331890</v>
      </c>
      <c r="BQ839" s="244">
        <v>382666</v>
      </c>
      <c r="BR839" s="244">
        <v>461600</v>
      </c>
      <c r="BS839" s="244">
        <v>590848</v>
      </c>
      <c r="BT839" s="244">
        <v>658242</v>
      </c>
      <c r="BV839" s="140" t="s">
        <v>986</v>
      </c>
      <c r="BW839" s="244">
        <v>331890</v>
      </c>
      <c r="BX839" s="244">
        <v>382666</v>
      </c>
      <c r="BY839" s="244">
        <v>461600</v>
      </c>
      <c r="BZ839" s="244">
        <v>590848</v>
      </c>
      <c r="CA839" s="244">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2" customHeight="1">
      <c r="A840" s="2" t="s">
        <v>1154</v>
      </c>
      <c r="B840"/>
      <c r="C840" s="2" t="s">
        <v>1620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991</v>
      </c>
      <c r="BP840" s="246">
        <v>352022</v>
      </c>
      <c r="BQ840" s="246">
        <v>405878</v>
      </c>
      <c r="BR840" s="246">
        <v>489600</v>
      </c>
      <c r="BS840" s="246">
        <v>626688</v>
      </c>
      <c r="BT840" s="246">
        <v>698170</v>
      </c>
      <c r="BV840" s="140" t="s">
        <v>991</v>
      </c>
      <c r="BW840" s="246">
        <v>352022</v>
      </c>
      <c r="BX840" s="246">
        <v>405878</v>
      </c>
      <c r="BY840" s="246">
        <v>489600</v>
      </c>
      <c r="BZ840" s="246">
        <v>626688</v>
      </c>
      <c r="CA840" s="246">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2"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7">
        <f>ROUNDDOWN(BC939*2,2)</f>
        <v>0</v>
      </c>
      <c r="BJ841" s="1587"/>
      <c r="BK841" s="1587"/>
      <c r="BL841" s="1587"/>
      <c r="BO841" s="140" t="s">
        <v>995</v>
      </c>
      <c r="BP841" s="244">
        <v>314634</v>
      </c>
      <c r="BQ841" s="244">
        <v>362770</v>
      </c>
      <c r="BR841" s="244">
        <v>437600</v>
      </c>
      <c r="BS841" s="244">
        <v>560128</v>
      </c>
      <c r="BT841" s="244">
        <v>624018</v>
      </c>
      <c r="BV841" s="140" t="s">
        <v>995</v>
      </c>
      <c r="BW841" s="244">
        <v>314634</v>
      </c>
      <c r="BX841" s="244">
        <v>362770</v>
      </c>
      <c r="BY841" s="244">
        <v>437600</v>
      </c>
      <c r="BZ841" s="244">
        <v>560128</v>
      </c>
      <c r="CA841" s="244">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2" customHeight="1">
      <c r="A842"/>
      <c r="B842"/>
      <c r="C842" s="2" t="s">
        <v>1621</v>
      </c>
      <c r="D842"/>
      <c r="E842"/>
      <c r="F842"/>
      <c r="G842"/>
      <c r="H842"/>
      <c r="I842"/>
      <c r="J842" s="38" t="s">
        <v>1622</v>
      </c>
      <c r="K842" s="5"/>
      <c r="L842" s="5"/>
      <c r="M842" s="5"/>
      <c r="N842" s="5"/>
      <c r="O842" s="5"/>
      <c r="P842" s="5"/>
      <c r="Q842" s="5"/>
      <c r="R842" s="5"/>
      <c r="S842" s="5"/>
      <c r="T842" s="5"/>
      <c r="U842" s="5"/>
      <c r="V842" s="39"/>
      <c r="W842" s="1564">
        <v>600</v>
      </c>
      <c r="X842" s="1564"/>
      <c r="Y842" s="1564"/>
      <c r="Z842" s="1564"/>
      <c r="AA842" s="1564"/>
      <c r="AB842" s="1564"/>
      <c r="AC842" s="1564"/>
      <c r="AD842"/>
      <c r="AE842"/>
      <c r="AF842"/>
      <c r="AG842"/>
      <c r="AH842"/>
      <c r="AI842"/>
      <c r="AJ842"/>
      <c r="AK842"/>
      <c r="AL842"/>
      <c r="AM842"/>
      <c r="AN842"/>
      <c r="AO842"/>
      <c r="AP842"/>
      <c r="AQ842"/>
      <c r="AR842"/>
      <c r="AS842"/>
      <c r="AT842"/>
      <c r="AU842"/>
      <c r="AV842"/>
      <c r="AW842"/>
      <c r="AX842"/>
      <c r="AY842"/>
      <c r="AZ842" s="26"/>
      <c r="BA842" s="26"/>
      <c r="BO842" s="140" t="s">
        <v>1000</v>
      </c>
      <c r="BP842" s="246">
        <v>353173</v>
      </c>
      <c r="BQ842" s="246">
        <v>407205</v>
      </c>
      <c r="BR842" s="246">
        <v>491200</v>
      </c>
      <c r="BS842" s="246">
        <v>628736</v>
      </c>
      <c r="BT842" s="246">
        <v>700451</v>
      </c>
      <c r="BV842" s="140" t="s">
        <v>1000</v>
      </c>
      <c r="BW842" s="246">
        <v>353173</v>
      </c>
      <c r="BX842" s="246">
        <v>407205</v>
      </c>
      <c r="BY842" s="246">
        <v>491200</v>
      </c>
      <c r="BZ842" s="246">
        <v>628736</v>
      </c>
      <c r="CA842" s="246">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2" customHeight="1">
      <c r="A843"/>
      <c r="B843"/>
      <c r="C843"/>
      <c r="D843"/>
      <c r="E843"/>
      <c r="F843"/>
      <c r="G843"/>
      <c r="H843"/>
      <c r="I843"/>
      <c r="J843" s="38" t="s">
        <v>1623</v>
      </c>
      <c r="K843" s="5"/>
      <c r="L843" s="5"/>
      <c r="M843" s="5"/>
      <c r="N843" s="5"/>
      <c r="O843" s="5"/>
      <c r="P843" s="5"/>
      <c r="Q843" s="5"/>
      <c r="R843" s="5"/>
      <c r="S843" s="5"/>
      <c r="T843" s="5"/>
      <c r="U843" s="5"/>
      <c r="V843" s="39"/>
      <c r="W843" s="1564">
        <v>4000</v>
      </c>
      <c r="X843" s="1564"/>
      <c r="Y843" s="1564"/>
      <c r="Z843" s="1564"/>
      <c r="AA843" s="1564"/>
      <c r="AB843" s="1564"/>
      <c r="AC843" s="1564"/>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1003</v>
      </c>
      <c r="BP843" s="244">
        <v>689665</v>
      </c>
      <c r="BQ843" s="244">
        <v>795177</v>
      </c>
      <c r="BR843" s="244">
        <v>959200</v>
      </c>
      <c r="BS843" s="244">
        <v>1227776</v>
      </c>
      <c r="BT843" s="244">
        <v>1367819</v>
      </c>
      <c r="BV843" s="140" t="s">
        <v>1003</v>
      </c>
      <c r="BW843" s="244">
        <v>689665</v>
      </c>
      <c r="BX843" s="244">
        <v>795177</v>
      </c>
      <c r="BY843" s="244">
        <v>959200</v>
      </c>
      <c r="BZ843" s="244">
        <v>1227776</v>
      </c>
      <c r="CA843" s="244">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2" customHeight="1">
      <c r="J844" s="38" t="s">
        <v>1624</v>
      </c>
      <c r="K844" s="5"/>
      <c r="L844" s="5"/>
      <c r="M844" s="5"/>
      <c r="N844" s="5"/>
      <c r="O844" s="5"/>
      <c r="P844" s="5"/>
      <c r="Q844" s="5"/>
      <c r="R844" s="5"/>
      <c r="S844" s="5"/>
      <c r="T844" s="5"/>
      <c r="U844" s="5"/>
      <c r="V844" s="39"/>
      <c r="W844" s="1564">
        <v>8000</v>
      </c>
      <c r="X844" s="1564"/>
      <c r="Y844" s="1564"/>
      <c r="Z844" s="1564"/>
      <c r="AA844" s="1564"/>
      <c r="AB844" s="1564"/>
      <c r="AC844" s="1564"/>
      <c r="AZ844" s="26"/>
      <c r="BA844" s="26"/>
      <c r="BB844" s="14"/>
      <c r="BC844" s="14"/>
      <c r="BD844" s="14"/>
      <c r="BE844" s="14"/>
      <c r="BF844" s="14"/>
      <c r="BG844" s="14"/>
      <c r="BH844" s="14"/>
      <c r="BI844" s="14"/>
      <c r="BJ844" s="14"/>
      <c r="BK844" s="14"/>
      <c r="BL844" s="14"/>
      <c r="BM844" s="14"/>
      <c r="BN844" s="14"/>
      <c r="BO844" s="140" t="s">
        <v>1008</v>
      </c>
      <c r="BP844" s="246">
        <v>307732</v>
      </c>
      <c r="BQ844" s="246">
        <v>354812</v>
      </c>
      <c r="BR844" s="246">
        <v>428000</v>
      </c>
      <c r="BS844" s="246">
        <v>547840</v>
      </c>
      <c r="BT844" s="246">
        <v>610328</v>
      </c>
      <c r="BU844" s="14"/>
      <c r="BV844" s="140" t="s">
        <v>1008</v>
      </c>
      <c r="BW844" s="246">
        <v>307732</v>
      </c>
      <c r="BX844" s="246">
        <v>354812</v>
      </c>
      <c r="BY844" s="246">
        <v>428000</v>
      </c>
      <c r="BZ844" s="246">
        <v>547840</v>
      </c>
      <c r="CA844" s="246">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2" customHeight="1">
      <c r="J845" s="38" t="s">
        <v>1625</v>
      </c>
      <c r="K845" s="5"/>
      <c r="L845" s="5"/>
      <c r="M845" s="5"/>
      <c r="N845" s="5"/>
      <c r="O845" s="5"/>
      <c r="P845" s="5"/>
      <c r="Q845" s="5"/>
      <c r="R845" s="5"/>
      <c r="S845" s="5"/>
      <c r="T845" s="5"/>
      <c r="U845" s="5"/>
      <c r="V845" s="39"/>
      <c r="W845" s="1564">
        <v>20000</v>
      </c>
      <c r="X845" s="1564"/>
      <c r="Y845" s="1564"/>
      <c r="Z845" s="1564"/>
      <c r="AA845" s="1564"/>
      <c r="AB845" s="1564"/>
      <c r="AC845" s="1564"/>
      <c r="AZ845" s="26"/>
      <c r="BA845" s="26"/>
      <c r="BB845" s="14"/>
      <c r="BC845" s="14"/>
      <c r="BD845" s="14"/>
      <c r="BE845" s="14"/>
      <c r="BF845" s="14"/>
      <c r="BG845" s="14"/>
      <c r="BH845" s="14"/>
      <c r="BI845" s="14"/>
      <c r="BJ845" s="14"/>
      <c r="BK845" s="14"/>
      <c r="BL845" s="14"/>
      <c r="BM845" s="14"/>
      <c r="BN845" s="14"/>
      <c r="BO845" s="140" t="s">
        <v>1012</v>
      </c>
      <c r="BP845" s="244">
        <v>387110</v>
      </c>
      <c r="BQ845" s="244">
        <v>446334</v>
      </c>
      <c r="BR845" s="244">
        <v>538400</v>
      </c>
      <c r="BS845" s="244">
        <v>689152</v>
      </c>
      <c r="BT845" s="244">
        <v>767758</v>
      </c>
      <c r="BU845" s="14"/>
      <c r="BV845" s="140" t="s">
        <v>1012</v>
      </c>
      <c r="BW845" s="244">
        <v>387110</v>
      </c>
      <c r="BX845" s="244">
        <v>446334</v>
      </c>
      <c r="BY845" s="244">
        <v>538400</v>
      </c>
      <c r="BZ845" s="244">
        <v>689152</v>
      </c>
      <c r="CA845" s="244">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2" customHeight="1">
      <c r="J846" s="38" t="s">
        <v>232</v>
      </c>
      <c r="K846" s="5"/>
      <c r="L846" s="5"/>
      <c r="M846" s="1569" t="s">
        <v>1626</v>
      </c>
      <c r="N846" s="1570"/>
      <c r="O846" s="1570"/>
      <c r="P846" s="1570"/>
      <c r="Q846" s="1570"/>
      <c r="R846" s="1570"/>
      <c r="S846" s="1570"/>
      <c r="T846" s="1570"/>
      <c r="U846" s="1570"/>
      <c r="V846" s="1571"/>
      <c r="W846" s="1564">
        <f>4300+10500+13000+8500</f>
        <v>36300</v>
      </c>
      <c r="X846" s="1564"/>
      <c r="Y846" s="1564"/>
      <c r="Z846" s="1564"/>
      <c r="AA846" s="1564"/>
      <c r="AB846" s="1564"/>
      <c r="AC846" s="1564"/>
      <c r="AZ846" s="26">
        <f>IF(AJ1028&gt;1,0.05,0)</f>
        <v>0.05</v>
      </c>
      <c r="BA846" s="26"/>
      <c r="BB846" s="14"/>
      <c r="BC846" s="14"/>
      <c r="BD846" s="14"/>
      <c r="BE846" s="14"/>
      <c r="BF846" s="14"/>
      <c r="BG846" s="14"/>
      <c r="BH846" s="14"/>
      <c r="BI846" s="14"/>
      <c r="BJ846" s="14"/>
      <c r="BK846" s="14"/>
      <c r="BL846" s="14"/>
      <c r="BM846" s="14"/>
      <c r="BN846" s="14"/>
      <c r="BO846" s="140" t="s">
        <v>1016</v>
      </c>
      <c r="BP846" s="245">
        <v>532060</v>
      </c>
      <c r="BQ846" s="245">
        <v>613460</v>
      </c>
      <c r="BR846" s="246">
        <v>740000</v>
      </c>
      <c r="BS846" s="245">
        <v>947200</v>
      </c>
      <c r="BT846" s="245">
        <v>1055240</v>
      </c>
      <c r="BU846" s="14"/>
      <c r="BV846" s="140" t="s">
        <v>1016</v>
      </c>
      <c r="BW846" s="245">
        <v>532060</v>
      </c>
      <c r="BX846" s="245">
        <v>613460</v>
      </c>
      <c r="BY846" s="245">
        <v>740000</v>
      </c>
      <c r="BZ846" s="245">
        <v>947200</v>
      </c>
      <c r="CA846" s="245">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2" customHeight="1">
      <c r="J847" s="38"/>
      <c r="K847" s="5"/>
      <c r="L847" s="5"/>
      <c r="M847" s="5"/>
      <c r="N847" s="5"/>
      <c r="O847" s="5"/>
      <c r="P847" s="5"/>
      <c r="Q847" s="5"/>
      <c r="R847" s="5"/>
      <c r="S847" s="5"/>
      <c r="T847" s="5"/>
      <c r="U847" s="5"/>
      <c r="V847" s="47" t="s">
        <v>1627</v>
      </c>
      <c r="W847" s="1530">
        <f>SUM(W842:AC846)</f>
        <v>68900</v>
      </c>
      <c r="X847" s="1531"/>
      <c r="Y847" s="1531"/>
      <c r="Z847" s="1531"/>
      <c r="AA847" s="1531"/>
      <c r="AB847" s="1531"/>
      <c r="AC847" s="1532"/>
      <c r="AZ847" s="26"/>
      <c r="BA847" s="26"/>
      <c r="BB847" s="14"/>
      <c r="BC847" s="14"/>
      <c r="BD847" s="14"/>
      <c r="BE847" s="14"/>
      <c r="BF847" s="14"/>
      <c r="BG847" s="14"/>
      <c r="BH847" s="14"/>
      <c r="BI847" s="14"/>
      <c r="BJ847" s="14"/>
      <c r="BK847" s="14"/>
      <c r="BL847" s="14"/>
      <c r="BM847" s="14"/>
      <c r="BN847" s="14"/>
      <c r="BO847" s="140" t="s">
        <v>1020</v>
      </c>
      <c r="BP847" s="244">
        <v>387110</v>
      </c>
      <c r="BQ847" s="244">
        <v>446334</v>
      </c>
      <c r="BR847" s="244">
        <v>538400</v>
      </c>
      <c r="BS847" s="244">
        <v>689152</v>
      </c>
      <c r="BT847" s="244">
        <v>767758</v>
      </c>
      <c r="BU847" s="14"/>
      <c r="BV847" s="140" t="s">
        <v>1020</v>
      </c>
      <c r="BW847" s="244">
        <v>387110</v>
      </c>
      <c r="BX847" s="244">
        <v>446334</v>
      </c>
      <c r="BY847" s="244">
        <v>538400</v>
      </c>
      <c r="BZ847" s="244">
        <v>689152</v>
      </c>
      <c r="CA847" s="244">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2" customHeight="1">
      <c r="AZ848" s="26"/>
      <c r="BA848" s="26"/>
      <c r="BB848" s="14"/>
      <c r="BC848" s="14"/>
      <c r="BD848" s="14"/>
      <c r="BE848" s="14"/>
      <c r="BF848" s="14"/>
      <c r="BG848" s="1568"/>
      <c r="BH848" s="1568"/>
      <c r="BI848" s="1568"/>
      <c r="BJ848" s="1568"/>
      <c r="BK848" s="1568"/>
      <c r="BL848" s="1568"/>
      <c r="BM848" s="14"/>
      <c r="BN848" s="14"/>
      <c r="BO848" s="140" t="s">
        <v>1024</v>
      </c>
      <c r="BP848" s="245">
        <v>532060</v>
      </c>
      <c r="BQ848" s="245">
        <v>613460</v>
      </c>
      <c r="BR848" s="245">
        <v>740000</v>
      </c>
      <c r="BS848" s="245">
        <v>947200</v>
      </c>
      <c r="BT848" s="245">
        <v>1055240</v>
      </c>
      <c r="BU848" s="14"/>
      <c r="BV848" s="140" t="s">
        <v>1024</v>
      </c>
      <c r="BW848" s="245">
        <v>532060</v>
      </c>
      <c r="BX848" s="245">
        <v>613460</v>
      </c>
      <c r="BY848" s="245">
        <v>740000</v>
      </c>
      <c r="BZ848" s="245">
        <v>947200</v>
      </c>
      <c r="CA848" s="245">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2" customHeight="1">
      <c r="C849" s="2" t="s">
        <v>1628</v>
      </c>
      <c r="J849" s="1555" t="s">
        <v>1629</v>
      </c>
      <c r="K849" s="1556"/>
      <c r="L849" s="1556"/>
      <c r="M849" s="1556"/>
      <c r="N849" s="1556"/>
      <c r="O849" s="1556"/>
      <c r="P849" s="1556"/>
      <c r="Q849" s="1556"/>
      <c r="R849" s="1556"/>
      <c r="S849" s="1556"/>
      <c r="T849" s="1556"/>
      <c r="U849" s="1556"/>
      <c r="V849" s="1557"/>
      <c r="W849" s="1533">
        <v>111467</v>
      </c>
      <c r="X849" s="1534"/>
      <c r="Y849" s="1534"/>
      <c r="Z849" s="1534"/>
      <c r="AA849" s="1534"/>
      <c r="AB849" s="1534"/>
      <c r="AC849" s="1535"/>
      <c r="AD849" s="457"/>
      <c r="AZ849" s="26"/>
      <c r="BA849" s="26"/>
      <c r="BB849" s="14"/>
      <c r="BC849" s="14"/>
      <c r="BD849" s="14"/>
      <c r="BE849" s="14"/>
      <c r="BF849" s="14"/>
      <c r="BG849" s="66"/>
      <c r="BH849" s="66"/>
      <c r="BI849" s="66"/>
      <c r="BJ849" s="66"/>
      <c r="BK849" s="66"/>
      <c r="BL849" s="66"/>
      <c r="BM849" s="14"/>
      <c r="BN849" s="14"/>
      <c r="BO849" s="140" t="s">
        <v>1028</v>
      </c>
      <c r="BP849" s="244">
        <v>387110</v>
      </c>
      <c r="BQ849" s="244">
        <v>446334</v>
      </c>
      <c r="BR849" s="244">
        <v>538400</v>
      </c>
      <c r="BS849" s="244">
        <v>689152</v>
      </c>
      <c r="BT849" s="244">
        <v>767758</v>
      </c>
      <c r="BU849" s="14"/>
      <c r="BV849" s="140" t="s">
        <v>1028</v>
      </c>
      <c r="BW849" s="244">
        <v>387110</v>
      </c>
      <c r="BX849" s="244">
        <v>446334</v>
      </c>
      <c r="BY849" s="244">
        <v>538400</v>
      </c>
      <c r="BZ849" s="244">
        <v>689152</v>
      </c>
      <c r="CA849" s="244">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2" customHeight="1">
      <c r="AD850" s="457"/>
      <c r="AZ850" s="26"/>
      <c r="BA850" s="26"/>
      <c r="BB850" s="14"/>
      <c r="BC850" s="14"/>
      <c r="BD850" s="14"/>
      <c r="BE850" s="14"/>
      <c r="BF850" s="14"/>
      <c r="BG850" s="66"/>
      <c r="BH850" s="66"/>
      <c r="BI850" s="66"/>
      <c r="BJ850" s="66"/>
      <c r="BK850" s="66"/>
      <c r="BL850" s="66"/>
      <c r="BM850" s="14"/>
      <c r="BN850" s="14"/>
      <c r="BO850" s="140" t="s">
        <v>1033</v>
      </c>
      <c r="BP850" s="246">
        <v>319236</v>
      </c>
      <c r="BQ850" s="246">
        <v>368076</v>
      </c>
      <c r="BR850" s="246">
        <v>444000</v>
      </c>
      <c r="BS850" s="246">
        <v>568320</v>
      </c>
      <c r="BT850" s="246">
        <v>633144</v>
      </c>
      <c r="BU850" s="14"/>
      <c r="BV850" s="140" t="s">
        <v>1033</v>
      </c>
      <c r="BW850" s="246">
        <v>319236</v>
      </c>
      <c r="BX850" s="246">
        <v>368076</v>
      </c>
      <c r="BY850" s="246">
        <v>444000</v>
      </c>
      <c r="BZ850" s="246">
        <v>568320</v>
      </c>
      <c r="CA850" s="246">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2" customHeight="1">
      <c r="C851" s="2" t="s">
        <v>229</v>
      </c>
      <c r="J851" s="38" t="s">
        <v>1630</v>
      </c>
      <c r="K851" s="5"/>
      <c r="L851" s="5"/>
      <c r="M851" s="5"/>
      <c r="N851" s="5"/>
      <c r="O851" s="5"/>
      <c r="P851" s="5"/>
      <c r="Q851" s="5"/>
      <c r="R851" s="5"/>
      <c r="S851" s="5"/>
      <c r="T851" s="5"/>
      <c r="U851" s="5"/>
      <c r="V851" s="39"/>
      <c r="W851" s="1573"/>
      <c r="X851" s="1573"/>
      <c r="Y851" s="1573"/>
      <c r="Z851" s="1573"/>
      <c r="AA851" s="1573"/>
      <c r="AB851" s="1573"/>
      <c r="AC851" s="1573"/>
      <c r="AZ851" s="1572">
        <f>SUM(AZ818:AZ846)</f>
        <v>7.5000000000000011E-2</v>
      </c>
      <c r="BA851" s="1572"/>
      <c r="BB851" s="14"/>
      <c r="BC851" s="14"/>
      <c r="BD851" s="14"/>
      <c r="BE851" s="14"/>
      <c r="BF851" s="14"/>
      <c r="BG851" s="14"/>
      <c r="BH851" s="14"/>
      <c r="BI851" s="14"/>
      <c r="BJ851" s="14"/>
      <c r="BK851" s="14"/>
      <c r="BL851" s="14"/>
      <c r="BM851" s="14"/>
      <c r="BN851" s="14"/>
      <c r="BO851" s="140" t="s">
        <v>1036</v>
      </c>
      <c r="BP851" s="244">
        <v>352022</v>
      </c>
      <c r="BQ851" s="244">
        <v>405878</v>
      </c>
      <c r="BR851" s="244">
        <v>489600</v>
      </c>
      <c r="BS851" s="244">
        <v>626688</v>
      </c>
      <c r="BT851" s="244">
        <v>698170</v>
      </c>
      <c r="BU851" s="14"/>
      <c r="BV851" s="140" t="s">
        <v>1036</v>
      </c>
      <c r="BW851" s="244">
        <v>352022</v>
      </c>
      <c r="BX851" s="244">
        <v>405878</v>
      </c>
      <c r="BY851" s="244">
        <v>489600</v>
      </c>
      <c r="BZ851" s="244">
        <v>626688</v>
      </c>
      <c r="CA851" s="244">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2" customHeight="1">
      <c r="J852" s="38" t="s">
        <v>1631</v>
      </c>
      <c r="K852" s="5"/>
      <c r="L852" s="5"/>
      <c r="M852" s="5"/>
      <c r="N852" s="5"/>
      <c r="O852" s="5"/>
      <c r="P852" s="5"/>
      <c r="Q852" s="5"/>
      <c r="R852" s="5"/>
      <c r="S852" s="5"/>
      <c r="T852" s="5"/>
      <c r="U852" s="5"/>
      <c r="V852" s="39"/>
      <c r="W852" s="1573">
        <v>10000</v>
      </c>
      <c r="X852" s="1573"/>
      <c r="Y852" s="1573"/>
      <c r="Z852" s="1573"/>
      <c r="AA852" s="1573"/>
      <c r="AB852" s="1573"/>
      <c r="AC852" s="1573"/>
      <c r="AZ852" s="26"/>
      <c r="BA852" s="26"/>
      <c r="BB852" s="14"/>
      <c r="BC852" s="14"/>
      <c r="BD852" s="14"/>
      <c r="BE852" s="14"/>
      <c r="BF852" s="14"/>
      <c r="BG852" s="14"/>
      <c r="BH852" s="14"/>
      <c r="BI852" s="14"/>
      <c r="BJ852" s="14"/>
      <c r="BK852" s="14"/>
      <c r="BL852" s="14"/>
      <c r="BM852" s="14"/>
      <c r="BN852" s="14"/>
      <c r="BO852" s="140" t="s">
        <v>1041</v>
      </c>
      <c r="BP852" s="246">
        <v>352022</v>
      </c>
      <c r="BQ852" s="246">
        <v>405878</v>
      </c>
      <c r="BR852" s="246">
        <v>489600</v>
      </c>
      <c r="BS852" s="246">
        <v>626688</v>
      </c>
      <c r="BT852" s="246">
        <v>698170</v>
      </c>
      <c r="BU852" s="14"/>
      <c r="BV852" s="140" t="s">
        <v>1041</v>
      </c>
      <c r="BW852" s="246">
        <v>352022</v>
      </c>
      <c r="BX852" s="246">
        <v>405878</v>
      </c>
      <c r="BY852" s="246">
        <v>489600</v>
      </c>
      <c r="BZ852" s="246">
        <v>626688</v>
      </c>
      <c r="CA852" s="246">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2" customHeight="1">
      <c r="J853" s="38" t="s">
        <v>1611</v>
      </c>
      <c r="K853" s="5"/>
      <c r="L853" s="5"/>
      <c r="M853" s="5"/>
      <c r="N853" s="5"/>
      <c r="O853" s="5"/>
      <c r="P853" s="5"/>
      <c r="Q853" s="5"/>
      <c r="R853" s="5"/>
      <c r="S853" s="5"/>
      <c r="T853" s="5"/>
      <c r="U853" s="5"/>
      <c r="V853" s="39"/>
      <c r="W853" s="1573">
        <v>69000</v>
      </c>
      <c r="X853" s="1573"/>
      <c r="Y853" s="1573"/>
      <c r="Z853" s="1573"/>
      <c r="AA853" s="1573"/>
      <c r="AB853" s="1573"/>
      <c r="AC853" s="1573"/>
      <c r="AZ853" s="26"/>
      <c r="BA853" s="26"/>
      <c r="BB853" s="14"/>
      <c r="BC853" s="14"/>
      <c r="BD853" s="14"/>
      <c r="BE853" s="14"/>
      <c r="BF853" s="14"/>
      <c r="BG853" s="14"/>
      <c r="BH853" s="14"/>
      <c r="BI853" s="14"/>
      <c r="BJ853" s="14"/>
      <c r="BK853" s="14"/>
      <c r="BL853" s="14"/>
      <c r="BM853" s="14"/>
      <c r="BN853" s="14"/>
      <c r="BO853" s="140" t="s">
        <v>1045</v>
      </c>
      <c r="BP853" s="244">
        <v>384234</v>
      </c>
      <c r="BQ853" s="244">
        <v>443018</v>
      </c>
      <c r="BR853" s="244">
        <v>534400</v>
      </c>
      <c r="BS853" s="244">
        <v>684032</v>
      </c>
      <c r="BT853" s="244">
        <v>762054</v>
      </c>
      <c r="BU853" s="14"/>
      <c r="BV853" s="140" t="s">
        <v>1045</v>
      </c>
      <c r="BW853" s="244">
        <v>384234</v>
      </c>
      <c r="BX853" s="244">
        <v>443018</v>
      </c>
      <c r="BY853" s="244">
        <v>534400</v>
      </c>
      <c r="BZ853" s="244">
        <v>684032</v>
      </c>
      <c r="CA853" s="244">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2" customHeight="1">
      <c r="J854" s="1172" t="s">
        <v>1632</v>
      </c>
      <c r="K854" s="5"/>
      <c r="L854" s="5"/>
      <c r="M854" s="5"/>
      <c r="N854" s="5"/>
      <c r="O854" s="5"/>
      <c r="P854" s="5"/>
      <c r="Q854" s="5"/>
      <c r="R854" s="5"/>
      <c r="S854" s="5"/>
      <c r="T854" s="5"/>
      <c r="U854" s="5"/>
      <c r="V854" s="39"/>
      <c r="W854" s="1573">
        <v>38000</v>
      </c>
      <c r="X854" s="1573"/>
      <c r="Y854" s="1573"/>
      <c r="Z854" s="1573"/>
      <c r="AA854" s="1573"/>
      <c r="AB854" s="1573"/>
      <c r="AC854" s="1573"/>
      <c r="AZ854" s="3"/>
      <c r="BA854" s="3"/>
      <c r="BB854" s="3"/>
      <c r="BC854" s="3"/>
      <c r="BD854" s="3"/>
      <c r="BE854" s="3"/>
      <c r="BF854" s="3"/>
      <c r="BG854" s="3"/>
      <c r="BH854" s="3"/>
      <c r="BI854" s="3"/>
      <c r="BJ854" s="3"/>
      <c r="BK854" s="3"/>
      <c r="BL854" s="3"/>
      <c r="BM854" s="3"/>
      <c r="BN854" s="3"/>
      <c r="BO854" s="140" t="s">
        <v>1051</v>
      </c>
      <c r="BP854" s="246">
        <v>384234</v>
      </c>
      <c r="BQ854" s="246">
        <v>443018</v>
      </c>
      <c r="BR854" s="246">
        <v>534400</v>
      </c>
      <c r="BS854" s="246">
        <v>684032</v>
      </c>
      <c r="BT854" s="246">
        <v>762054</v>
      </c>
      <c r="BU854" s="14"/>
      <c r="BV854" s="140" t="s">
        <v>1051</v>
      </c>
      <c r="BW854" s="246">
        <v>384234</v>
      </c>
      <c r="BX854" s="246">
        <v>443018</v>
      </c>
      <c r="BY854" s="246">
        <v>534400</v>
      </c>
      <c r="BZ854" s="246">
        <v>684032</v>
      </c>
      <c r="CA854" s="246">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2" customHeight="1">
      <c r="J855" s="55"/>
      <c r="K855" s="41"/>
      <c r="L855" s="41"/>
      <c r="M855" s="41"/>
      <c r="N855" s="41"/>
      <c r="O855" s="41"/>
      <c r="P855" s="41"/>
      <c r="Q855" s="41"/>
      <c r="R855" s="41"/>
      <c r="S855" s="41"/>
      <c r="T855" s="41"/>
      <c r="U855" s="41"/>
      <c r="V855" s="47" t="s">
        <v>1633</v>
      </c>
      <c r="W855" s="1710">
        <f>SUM(W851:AC854)</f>
        <v>117000</v>
      </c>
      <c r="X855" s="1710"/>
      <c r="Y855" s="1710"/>
      <c r="Z855" s="1710"/>
      <c r="AA855" s="1710"/>
      <c r="AB855" s="1710"/>
      <c r="AC855" s="1710"/>
      <c r="AZ855" s="3"/>
      <c r="BA855" s="3"/>
      <c r="BB855" s="3"/>
      <c r="BC855" s="3"/>
      <c r="BD855" s="3"/>
      <c r="BE855" s="3"/>
      <c r="BF855" s="3"/>
      <c r="BG855" s="3"/>
      <c r="BH855" s="3"/>
      <c r="BI855" s="3"/>
      <c r="BJ855" s="3"/>
      <c r="BK855" s="3"/>
      <c r="BL855" s="3"/>
      <c r="BM855" s="3"/>
      <c r="BN855" s="3"/>
      <c r="BO855" s="140" t="s">
        <v>1054</v>
      </c>
      <c r="BP855" s="244">
        <v>307732</v>
      </c>
      <c r="BQ855" s="244">
        <v>354812</v>
      </c>
      <c r="BR855" s="244">
        <v>428000</v>
      </c>
      <c r="BS855" s="244">
        <v>547840</v>
      </c>
      <c r="BT855" s="244">
        <v>610328</v>
      </c>
      <c r="BU855" s="14"/>
      <c r="BV855" s="140" t="s">
        <v>1054</v>
      </c>
      <c r="BW855" s="244">
        <v>307732</v>
      </c>
      <c r="BX855" s="244">
        <v>354812</v>
      </c>
      <c r="BY855" s="244">
        <v>428000</v>
      </c>
      <c r="BZ855" s="244">
        <v>547840</v>
      </c>
      <c r="CA855" s="244">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2" customHeight="1">
      <c r="AZ856" s="3"/>
      <c r="BA856" s="3"/>
      <c r="BB856" s="3"/>
      <c r="BC856" s="3"/>
      <c r="BD856" s="3"/>
      <c r="BE856" s="3"/>
      <c r="BF856" s="3"/>
      <c r="BG856" s="3"/>
      <c r="BH856" s="3"/>
      <c r="BI856" s="3"/>
      <c r="BJ856" s="3"/>
      <c r="BK856" s="3"/>
      <c r="BL856" s="3"/>
      <c r="BM856" s="3"/>
      <c r="BN856" s="3"/>
      <c r="BO856" s="140" t="s">
        <v>1059</v>
      </c>
      <c r="BP856" s="246">
        <v>331890</v>
      </c>
      <c r="BQ856" s="246">
        <v>382666</v>
      </c>
      <c r="BR856" s="246">
        <v>461600</v>
      </c>
      <c r="BS856" s="246">
        <v>590848</v>
      </c>
      <c r="BT856" s="246">
        <v>658242</v>
      </c>
      <c r="BU856" s="14"/>
      <c r="BV856" s="140" t="s">
        <v>1059</v>
      </c>
      <c r="BW856" s="246">
        <v>331890</v>
      </c>
      <c r="BX856" s="246">
        <v>382666</v>
      </c>
      <c r="BY856" s="246">
        <v>461600</v>
      </c>
      <c r="BZ856" s="246">
        <v>590848</v>
      </c>
      <c r="CA856" s="246">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2" customHeight="1">
      <c r="C857" s="2" t="s">
        <v>1634</v>
      </c>
      <c r="J857" s="38" t="s">
        <v>1635</v>
      </c>
      <c r="K857" s="5"/>
      <c r="L857" s="5"/>
      <c r="M857" s="5"/>
      <c r="N857" s="5"/>
      <c r="O857" s="5"/>
      <c r="P857" s="5"/>
      <c r="Q857" s="5"/>
      <c r="R857" s="5"/>
      <c r="S857" s="5"/>
      <c r="T857" s="5"/>
      <c r="U857" s="5"/>
      <c r="V857" s="39"/>
      <c r="W857" s="1565">
        <f>75000+56500</f>
        <v>131500</v>
      </c>
      <c r="X857" s="1566"/>
      <c r="Y857" s="1566"/>
      <c r="Z857" s="1566"/>
      <c r="AA857" s="1566"/>
      <c r="AB857" s="1566"/>
      <c r="AC857" s="1567"/>
      <c r="AD857" s="452"/>
      <c r="AZ857" s="3"/>
      <c r="BA857" s="3"/>
      <c r="BB857" s="3"/>
      <c r="BC857" s="3"/>
      <c r="BD857" s="3"/>
      <c r="BE857" s="3"/>
      <c r="BF857" s="3"/>
      <c r="BG857" s="3"/>
      <c r="BH857" s="3"/>
      <c r="BI857" s="3"/>
      <c r="BJ857" s="3"/>
      <c r="BK857" s="3"/>
      <c r="BL857" s="3"/>
      <c r="BM857" s="3"/>
      <c r="BN857" s="3"/>
      <c r="BO857" s="140" t="s">
        <v>1063</v>
      </c>
      <c r="BP857" s="244">
        <v>352022</v>
      </c>
      <c r="BQ857" s="244">
        <v>405878</v>
      </c>
      <c r="BR857" s="244">
        <v>489600</v>
      </c>
      <c r="BS857" s="244">
        <v>626688</v>
      </c>
      <c r="BT857" s="244">
        <v>698170</v>
      </c>
      <c r="BU857" s="14"/>
      <c r="BV857" s="140" t="s">
        <v>1063</v>
      </c>
      <c r="BW857" s="244">
        <v>352022</v>
      </c>
      <c r="BX857" s="244">
        <v>405878</v>
      </c>
      <c r="BY857" s="244">
        <v>489600</v>
      </c>
      <c r="BZ857" s="244">
        <v>626688</v>
      </c>
      <c r="CA857" s="244">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2" customHeight="1">
      <c r="C858" s="2" t="s">
        <v>1636</v>
      </c>
      <c r="J858" s="88" t="s">
        <v>1637</v>
      </c>
      <c r="K858" s="5"/>
      <c r="L858" s="5"/>
      <c r="M858" s="5"/>
      <c r="N858" s="5"/>
      <c r="O858" s="5"/>
      <c r="P858" s="5"/>
      <c r="Q858" s="5"/>
      <c r="R858" s="5"/>
      <c r="S858" s="5"/>
      <c r="T858" s="1575">
        <v>2</v>
      </c>
      <c r="U858" s="1515"/>
      <c r="V858" s="1576"/>
      <c r="W858" s="797"/>
      <c r="X858" s="798"/>
      <c r="Y858" s="798"/>
      <c r="Z858" s="798"/>
      <c r="AA858" s="798"/>
      <c r="AB858" s="798"/>
      <c r="AC858" s="799"/>
      <c r="AD858" s="452"/>
      <c r="AZ858" s="3"/>
      <c r="BA858" s="3"/>
      <c r="BB858" s="3"/>
      <c r="BC858" s="3"/>
      <c r="BD858" s="3"/>
      <c r="BE858" s="3"/>
      <c r="BF858" s="3"/>
      <c r="BG858" s="3"/>
      <c r="BH858" s="3"/>
      <c r="BI858" s="3"/>
      <c r="BJ858" s="3"/>
      <c r="BK858" s="3"/>
      <c r="BL858" s="3"/>
      <c r="BM858" s="3"/>
      <c r="BN858" s="3"/>
      <c r="BO858" s="140" t="s">
        <v>1066</v>
      </c>
      <c r="BP858" s="246">
        <v>352022</v>
      </c>
      <c r="BQ858" s="246">
        <v>405878</v>
      </c>
      <c r="BR858" s="246">
        <v>489600</v>
      </c>
      <c r="BS858" s="246">
        <v>626688</v>
      </c>
      <c r="BT858" s="246">
        <v>698170</v>
      </c>
      <c r="BU858" s="14"/>
      <c r="BV858" s="140" t="s">
        <v>1066</v>
      </c>
      <c r="BW858" s="246">
        <v>352022</v>
      </c>
      <c r="BX858" s="246">
        <v>405878</v>
      </c>
      <c r="BY858" s="246">
        <v>489600</v>
      </c>
      <c r="BZ858" s="246">
        <v>626688</v>
      </c>
      <c r="CA858" s="246">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2" customHeight="1">
      <c r="C859" s="2"/>
      <c r="J859" s="38" t="s">
        <v>1638</v>
      </c>
      <c r="K859" s="5"/>
      <c r="L859" s="5"/>
      <c r="M859" s="5"/>
      <c r="N859" s="5"/>
      <c r="O859" s="5"/>
      <c r="P859" s="5"/>
      <c r="Q859" s="5"/>
      <c r="R859" s="5"/>
      <c r="S859" s="5"/>
      <c r="T859" s="5"/>
      <c r="U859" s="5"/>
      <c r="V859" s="39"/>
      <c r="W859" s="1565">
        <v>57700</v>
      </c>
      <c r="X859" s="1566"/>
      <c r="Y859" s="1566"/>
      <c r="Z859" s="1566"/>
      <c r="AA859" s="1566"/>
      <c r="AB859" s="1566"/>
      <c r="AC859" s="1567"/>
      <c r="AD859" s="457"/>
      <c r="AZ859" s="3"/>
      <c r="BA859" s="3"/>
      <c r="BB859" s="3"/>
      <c r="BC859" s="3"/>
      <c r="BD859" s="3"/>
      <c r="BE859" s="3"/>
      <c r="BF859" s="3"/>
      <c r="BG859" s="3"/>
      <c r="BH859" s="3"/>
      <c r="BI859" s="3"/>
      <c r="BJ859" s="3"/>
      <c r="BK859" s="3"/>
      <c r="BL859" s="3"/>
      <c r="BM859" s="3"/>
      <c r="BN859" s="3"/>
      <c r="BO859" s="140" t="s">
        <v>1070</v>
      </c>
      <c r="BP859" s="244">
        <v>307732</v>
      </c>
      <c r="BQ859" s="244">
        <v>354812</v>
      </c>
      <c r="BR859" s="244">
        <v>428000</v>
      </c>
      <c r="BS859" s="244">
        <v>547840</v>
      </c>
      <c r="BT859" s="244">
        <v>610328</v>
      </c>
      <c r="BU859" s="14"/>
      <c r="BV859" s="140" t="s">
        <v>1070</v>
      </c>
      <c r="BW859" s="244">
        <v>307732</v>
      </c>
      <c r="BX859" s="244">
        <v>354812</v>
      </c>
      <c r="BY859" s="244">
        <v>428000</v>
      </c>
      <c r="BZ859" s="244">
        <v>547840</v>
      </c>
      <c r="CA859" s="244">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2" customHeight="1">
      <c r="C860" s="2"/>
      <c r="J860" s="88" t="s">
        <v>1639</v>
      </c>
      <c r="K860" s="5"/>
      <c r="L860" s="5"/>
      <c r="M860" s="5"/>
      <c r="N860" s="5"/>
      <c r="O860" s="5"/>
      <c r="P860" s="5"/>
      <c r="Q860" s="5"/>
      <c r="R860" s="5"/>
      <c r="S860" s="5"/>
      <c r="T860" s="1575">
        <v>1</v>
      </c>
      <c r="U860" s="1515"/>
      <c r="V860" s="1576"/>
      <c r="W860" s="797"/>
      <c r="X860" s="798"/>
      <c r="Y860" s="798"/>
      <c r="Z860" s="798"/>
      <c r="AA860" s="798"/>
      <c r="AB860" s="798"/>
      <c r="AC860" s="799"/>
      <c r="AD860" s="457"/>
      <c r="AZ860" s="3"/>
      <c r="BA860" s="3"/>
      <c r="BB860" s="3"/>
      <c r="BC860" s="3"/>
      <c r="BD860" s="3"/>
      <c r="BE860" s="3"/>
      <c r="BF860" s="3"/>
      <c r="BG860" s="3"/>
      <c r="BH860" s="3"/>
      <c r="BI860" s="3"/>
      <c r="BJ860" s="3"/>
      <c r="BK860" s="3"/>
      <c r="BL860" s="3"/>
      <c r="BM860" s="3"/>
      <c r="BN860" s="3"/>
      <c r="BO860" s="140" t="s">
        <v>1072</v>
      </c>
      <c r="BP860" s="246">
        <v>352022</v>
      </c>
      <c r="BQ860" s="246">
        <v>405878</v>
      </c>
      <c r="BR860" s="246">
        <v>489600</v>
      </c>
      <c r="BS860" s="246">
        <v>626688</v>
      </c>
      <c r="BT860" s="246">
        <v>698170</v>
      </c>
      <c r="BU860" s="14"/>
      <c r="BV860" s="140" t="s">
        <v>1072</v>
      </c>
      <c r="BW860" s="246">
        <v>352022</v>
      </c>
      <c r="BX860" s="246">
        <v>405878</v>
      </c>
      <c r="BY860" s="246">
        <v>489600</v>
      </c>
      <c r="BZ860" s="246">
        <v>626688</v>
      </c>
      <c r="CA860" s="246">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2" customHeight="1">
      <c r="J861" s="38" t="s">
        <v>232</v>
      </c>
      <c r="K861" s="5"/>
      <c r="L861" s="5"/>
      <c r="M861" s="1569" t="s">
        <v>1640</v>
      </c>
      <c r="N861" s="1570"/>
      <c r="O861" s="1570"/>
      <c r="P861" s="1570"/>
      <c r="Q861" s="1570"/>
      <c r="R861" s="1570"/>
      <c r="S861" s="1570"/>
      <c r="T861" s="1570"/>
      <c r="U861" s="1570"/>
      <c r="V861" s="1571"/>
      <c r="W861" s="1565">
        <v>32700</v>
      </c>
      <c r="X861" s="1566"/>
      <c r="Y861" s="1566"/>
      <c r="Z861" s="1566"/>
      <c r="AA861" s="1566"/>
      <c r="AB861" s="1566"/>
      <c r="AC861" s="1567"/>
      <c r="AD861" s="452"/>
      <c r="AU861" s="14"/>
      <c r="AZ861" s="3"/>
      <c r="BA861" s="3"/>
      <c r="BB861" s="3"/>
      <c r="BC861" s="3"/>
      <c r="BD861" s="3"/>
      <c r="BE861" s="3"/>
      <c r="BF861" s="3"/>
      <c r="BG861" s="3"/>
      <c r="BH861" s="3"/>
      <c r="BI861" s="3"/>
      <c r="BJ861" s="3"/>
      <c r="BK861" s="3"/>
      <c r="BL861" s="3"/>
      <c r="BM861" s="3"/>
      <c r="BN861" s="3"/>
      <c r="BO861" s="140" t="s">
        <v>1076</v>
      </c>
      <c r="BP861" s="244">
        <v>387110</v>
      </c>
      <c r="BQ861" s="244">
        <v>446334</v>
      </c>
      <c r="BR861" s="244">
        <v>538400</v>
      </c>
      <c r="BS861" s="244">
        <v>689152</v>
      </c>
      <c r="BT861" s="244">
        <v>767758</v>
      </c>
      <c r="BU861" s="14"/>
      <c r="BV861" s="140" t="s">
        <v>1076</v>
      </c>
      <c r="BW861" s="244">
        <v>387110</v>
      </c>
      <c r="BX861" s="244">
        <v>446334</v>
      </c>
      <c r="BY861" s="244">
        <v>538400</v>
      </c>
      <c r="BZ861" s="244">
        <v>689152</v>
      </c>
      <c r="CA861" s="244">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2" customHeight="1">
      <c r="J862" s="38"/>
      <c r="K862" s="5"/>
      <c r="L862" s="5"/>
      <c r="M862" s="5"/>
      <c r="N862" s="5"/>
      <c r="O862" s="5"/>
      <c r="P862" s="5"/>
      <c r="Q862" s="5"/>
      <c r="R862" s="5"/>
      <c r="S862" s="5"/>
      <c r="T862" s="5"/>
      <c r="U862" s="5"/>
      <c r="V862" s="47" t="s">
        <v>1641</v>
      </c>
      <c r="W862" s="1577">
        <f>SUM(W857:AC861)</f>
        <v>221900</v>
      </c>
      <c r="X862" s="1578"/>
      <c r="Y862" s="1578"/>
      <c r="Z862" s="1578"/>
      <c r="AA862" s="1578"/>
      <c r="AB862" s="1578"/>
      <c r="AC862" s="1579"/>
      <c r="AD862" s="457"/>
      <c r="AU862" s="14"/>
      <c r="AZ862" s="3"/>
      <c r="BA862" s="3"/>
      <c r="BB862" s="3"/>
      <c r="BC862" s="3"/>
      <c r="BD862" s="3"/>
      <c r="BE862" s="3"/>
      <c r="BF862" s="3"/>
      <c r="BG862" s="3"/>
      <c r="BH862" s="3"/>
      <c r="BI862" s="3"/>
      <c r="BJ862" s="3"/>
      <c r="BK862" s="3"/>
      <c r="BL862" s="3"/>
      <c r="BM862" s="3"/>
      <c r="BN862" s="3"/>
      <c r="BO862" s="140" t="s">
        <v>1080</v>
      </c>
      <c r="BP862" s="246">
        <v>331890</v>
      </c>
      <c r="BQ862" s="246">
        <v>382666</v>
      </c>
      <c r="BR862" s="246">
        <v>461600</v>
      </c>
      <c r="BS862" s="246">
        <v>590848</v>
      </c>
      <c r="BT862" s="246">
        <v>658242</v>
      </c>
      <c r="BU862" s="14"/>
      <c r="BV862" s="140" t="s">
        <v>1080</v>
      </c>
      <c r="BW862" s="246">
        <v>331890</v>
      </c>
      <c r="BX862" s="246">
        <v>382666</v>
      </c>
      <c r="BY862" s="246">
        <v>461600</v>
      </c>
      <c r="BZ862" s="246">
        <v>590848</v>
      </c>
      <c r="CA862" s="246">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2" customHeight="1">
      <c r="J863" s="38"/>
      <c r="K863" s="5"/>
      <c r="L863" s="5"/>
      <c r="M863" s="5"/>
      <c r="N863" s="5"/>
      <c r="O863" s="5"/>
      <c r="P863" s="5"/>
      <c r="Q863" s="5"/>
      <c r="R863" s="5"/>
      <c r="S863" s="5"/>
      <c r="T863" s="5"/>
      <c r="U863" s="5"/>
      <c r="V863" s="47" t="s">
        <v>1642</v>
      </c>
      <c r="W863" s="1565">
        <f>33400+100000</f>
        <v>133400</v>
      </c>
      <c r="X863" s="1566"/>
      <c r="Y863" s="1566"/>
      <c r="Z863" s="1566"/>
      <c r="AA863" s="1566"/>
      <c r="AB863" s="1566"/>
      <c r="AC863" s="1567"/>
      <c r="AU863" s="14"/>
      <c r="AZ863" s="3"/>
      <c r="BA863" s="3"/>
      <c r="BB863" s="3"/>
      <c r="BC863" s="3"/>
      <c r="BD863" s="3"/>
      <c r="BE863" s="3"/>
      <c r="BF863" s="3"/>
      <c r="BG863" s="3"/>
      <c r="BH863" s="3"/>
      <c r="BI863" s="3"/>
      <c r="BJ863" s="3"/>
      <c r="BK863" s="3"/>
      <c r="BL863" s="3"/>
      <c r="BM863" s="3"/>
      <c r="BN863" s="3"/>
      <c r="BO863" s="140" t="s">
        <v>1084</v>
      </c>
      <c r="BP863" s="244">
        <v>331890</v>
      </c>
      <c r="BQ863" s="244">
        <v>382666</v>
      </c>
      <c r="BR863" s="244">
        <v>461600</v>
      </c>
      <c r="BS863" s="244">
        <v>590848</v>
      </c>
      <c r="BT863" s="244">
        <v>658242</v>
      </c>
      <c r="BU863" s="14"/>
      <c r="BV863" s="140" t="s">
        <v>1084</v>
      </c>
      <c r="BW863" s="244">
        <v>331890</v>
      </c>
      <c r="BX863" s="244">
        <v>382666</v>
      </c>
      <c r="BY863" s="244">
        <v>461600</v>
      </c>
      <c r="BZ863" s="244">
        <v>590848</v>
      </c>
      <c r="CA863" s="244">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2" customHeight="1">
      <c r="J864" s="436"/>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2" customHeight="1">
      <c r="C865" s="2" t="s">
        <v>231</v>
      </c>
      <c r="J865" s="38" t="s">
        <v>1643</v>
      </c>
      <c r="K865" s="5"/>
      <c r="L865" s="5"/>
      <c r="M865" s="5"/>
      <c r="N865" s="5"/>
      <c r="O865" s="5"/>
      <c r="P865" s="5"/>
      <c r="Q865" s="5"/>
      <c r="R865" s="5"/>
      <c r="S865" s="5"/>
      <c r="T865" s="5"/>
      <c r="U865" s="5"/>
      <c r="V865" s="39"/>
      <c r="W865" s="1564"/>
      <c r="X865" s="1564"/>
      <c r="Y865" s="1564"/>
      <c r="Z865" s="1564"/>
      <c r="AA865" s="1564"/>
      <c r="AB865" s="1564"/>
      <c r="AC865" s="1564"/>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2" customHeight="1">
      <c r="J866" s="38" t="s">
        <v>1644</v>
      </c>
      <c r="K866" s="5"/>
      <c r="L866" s="5"/>
      <c r="M866" s="5"/>
      <c r="N866" s="5"/>
      <c r="O866" s="5"/>
      <c r="P866" s="5"/>
      <c r="Q866" s="5"/>
      <c r="R866" s="5"/>
      <c r="S866" s="5"/>
      <c r="T866" s="5"/>
      <c r="U866" s="5"/>
      <c r="V866" s="39"/>
      <c r="W866" s="1564">
        <v>41000</v>
      </c>
      <c r="X866" s="1564"/>
      <c r="Y866" s="1564"/>
      <c r="Z866" s="1564"/>
      <c r="AA866" s="1564"/>
      <c r="AB866" s="1564"/>
      <c r="AC866" s="1564"/>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2" customHeight="1">
      <c r="J867" s="38" t="s">
        <v>1645</v>
      </c>
      <c r="K867" s="5"/>
      <c r="L867" s="5"/>
      <c r="M867" s="5"/>
      <c r="N867" s="5"/>
      <c r="O867" s="5"/>
      <c r="P867" s="5"/>
      <c r="Q867" s="5"/>
      <c r="R867" s="5"/>
      <c r="S867" s="5"/>
      <c r="T867" s="5"/>
      <c r="U867" s="5"/>
      <c r="V867" s="39"/>
      <c r="W867" s="1564">
        <v>12000</v>
      </c>
      <c r="X867" s="1564"/>
      <c r="Y867" s="1564"/>
      <c r="Z867" s="1564"/>
      <c r="AA867" s="1564"/>
      <c r="AB867" s="1564"/>
      <c r="AC867" s="1564"/>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2" customHeight="1">
      <c r="J868" s="38" t="s">
        <v>1646</v>
      </c>
      <c r="K868" s="5"/>
      <c r="L868" s="5"/>
      <c r="M868" s="5"/>
      <c r="N868" s="5"/>
      <c r="O868" s="5"/>
      <c r="P868" s="5"/>
      <c r="Q868" s="5"/>
      <c r="R868" s="5"/>
      <c r="S868" s="5"/>
      <c r="T868" s="5"/>
      <c r="U868" s="5"/>
      <c r="V868" s="39"/>
      <c r="W868" s="1564">
        <v>5700</v>
      </c>
      <c r="X868" s="1564"/>
      <c r="Y868" s="1564"/>
      <c r="Z868" s="1564"/>
      <c r="AA868" s="1564"/>
      <c r="AB868" s="1564"/>
      <c r="AC868" s="1564"/>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2" customHeight="1">
      <c r="J869" s="38" t="s">
        <v>1647</v>
      </c>
      <c r="K869" s="5"/>
      <c r="L869" s="5"/>
      <c r="M869" s="5"/>
      <c r="N869" s="5"/>
      <c r="O869" s="5"/>
      <c r="P869" s="5"/>
      <c r="Q869" s="5"/>
      <c r="R869" s="5"/>
      <c r="S869" s="5"/>
      <c r="T869" s="5"/>
      <c r="U869" s="5"/>
      <c r="V869" s="39"/>
      <c r="W869" s="1564">
        <v>29600</v>
      </c>
      <c r="X869" s="1564"/>
      <c r="Y869" s="1564"/>
      <c r="Z869" s="1564"/>
      <c r="AA869" s="1564"/>
      <c r="AB869" s="1564"/>
      <c r="AC869" s="1564"/>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2" customHeight="1">
      <c r="J870" s="38" t="s">
        <v>1648</v>
      </c>
      <c r="K870" s="5"/>
      <c r="L870" s="5"/>
      <c r="M870" s="5"/>
      <c r="N870" s="5"/>
      <c r="O870" s="5"/>
      <c r="P870" s="5"/>
      <c r="Q870" s="5"/>
      <c r="R870" s="5"/>
      <c r="S870" s="5"/>
      <c r="T870" s="5"/>
      <c r="U870" s="5"/>
      <c r="V870" s="39"/>
      <c r="W870" s="1564">
        <v>14500</v>
      </c>
      <c r="X870" s="1564"/>
      <c r="Y870" s="1564"/>
      <c r="Z870" s="1564"/>
      <c r="AA870" s="1564"/>
      <c r="AB870" s="1564"/>
      <c r="AC870" s="1564"/>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2" customHeight="1">
      <c r="J871" s="38" t="s">
        <v>232</v>
      </c>
      <c r="K871" s="5"/>
      <c r="L871" s="5"/>
      <c r="M871" s="1569" t="s">
        <v>1649</v>
      </c>
      <c r="N871" s="1570"/>
      <c r="O871" s="1570"/>
      <c r="P871" s="1570"/>
      <c r="Q871" s="1570"/>
      <c r="R871" s="1570"/>
      <c r="S871" s="1570"/>
      <c r="T871" s="1570"/>
      <c r="U871" s="1570"/>
      <c r="V871" s="1571"/>
      <c r="W871" s="1564">
        <f>18000+4500</f>
        <v>22500</v>
      </c>
      <c r="X871" s="1564"/>
      <c r="Y871" s="1564"/>
      <c r="Z871" s="1564"/>
      <c r="AA871" s="1564"/>
      <c r="AB871" s="1564"/>
      <c r="AC871" s="1564"/>
      <c r="AD871" s="457"/>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2" customHeight="1">
      <c r="J872" s="38"/>
      <c r="K872" s="5"/>
      <c r="L872" s="5"/>
      <c r="M872" s="5"/>
      <c r="N872" s="5"/>
      <c r="O872" s="5"/>
      <c r="P872" s="5"/>
      <c r="Q872" s="5"/>
      <c r="R872" s="5"/>
      <c r="S872" s="5"/>
      <c r="T872" s="5"/>
      <c r="U872" s="5"/>
      <c r="V872" s="47" t="s">
        <v>1650</v>
      </c>
      <c r="W872" s="1553">
        <f>SUM(W865:AC871)</f>
        <v>125300</v>
      </c>
      <c r="X872" s="1553"/>
      <c r="Y872" s="1553"/>
      <c r="Z872" s="1553"/>
      <c r="AA872" s="1553"/>
      <c r="AB872" s="1553"/>
      <c r="AC872" s="1553"/>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2"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2" customHeight="1">
      <c r="C874" s="2" t="s">
        <v>1651</v>
      </c>
      <c r="J874" s="38" t="s">
        <v>232</v>
      </c>
      <c r="K874" s="5"/>
      <c r="L874" s="5"/>
      <c r="M874" s="1569" t="s">
        <v>1652</v>
      </c>
      <c r="N874" s="1570"/>
      <c r="O874" s="1570"/>
      <c r="P874" s="1570"/>
      <c r="Q874" s="1570"/>
      <c r="R874" s="1570"/>
      <c r="S874" s="1570"/>
      <c r="T874" s="1570"/>
      <c r="U874" s="1570"/>
      <c r="V874" s="1571"/>
      <c r="W874" s="1533">
        <v>37500</v>
      </c>
      <c r="X874" s="1534"/>
      <c r="Y874" s="1534"/>
      <c r="Z874" s="1534"/>
      <c r="AA874" s="1534"/>
      <c r="AB874" s="1534"/>
      <c r="AC874" s="1535"/>
      <c r="AD874" s="457"/>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2" customHeight="1">
      <c r="C875" s="2" t="s">
        <v>1653</v>
      </c>
      <c r="J875" s="38" t="s">
        <v>232</v>
      </c>
      <c r="K875" s="5"/>
      <c r="L875" s="5"/>
      <c r="M875" s="1569" t="s">
        <v>1654</v>
      </c>
      <c r="N875" s="1570"/>
      <c r="O875" s="1570"/>
      <c r="P875" s="1570"/>
      <c r="Q875" s="1570"/>
      <c r="R875" s="1570"/>
      <c r="S875" s="1570"/>
      <c r="T875" s="1570"/>
      <c r="U875" s="1570"/>
      <c r="V875" s="1571"/>
      <c r="W875" s="1533">
        <v>6200</v>
      </c>
      <c r="X875" s="1534"/>
      <c r="Y875" s="1534"/>
      <c r="Z875" s="1534"/>
      <c r="AA875" s="1534"/>
      <c r="AB875" s="1534"/>
      <c r="AC875" s="1535"/>
      <c r="AD875" s="457"/>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2" customHeight="1">
      <c r="J876" s="38" t="s">
        <v>232</v>
      </c>
      <c r="K876" s="5"/>
      <c r="L876" s="5"/>
      <c r="M876" s="1569" t="s">
        <v>1655</v>
      </c>
      <c r="N876" s="1570"/>
      <c r="O876" s="1570"/>
      <c r="P876" s="1570"/>
      <c r="Q876" s="1570"/>
      <c r="R876" s="1570"/>
      <c r="S876" s="1570"/>
      <c r="T876" s="1570"/>
      <c r="U876" s="1570"/>
      <c r="V876" s="1571"/>
      <c r="W876" s="1533">
        <v>75750</v>
      </c>
      <c r="X876" s="1534"/>
      <c r="Y876" s="1534"/>
      <c r="Z876" s="1534"/>
      <c r="AA876" s="1534"/>
      <c r="AB876" s="1534"/>
      <c r="AC876" s="1535"/>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2" customHeight="1">
      <c r="J877" s="38" t="s">
        <v>232</v>
      </c>
      <c r="K877" s="5"/>
      <c r="L877" s="5"/>
      <c r="M877" s="1569" t="s">
        <v>1406</v>
      </c>
      <c r="N877" s="1570"/>
      <c r="O877" s="1570"/>
      <c r="P877" s="1570"/>
      <c r="Q877" s="1570"/>
      <c r="R877" s="1570"/>
      <c r="S877" s="1570"/>
      <c r="T877" s="1570"/>
      <c r="U877" s="1570"/>
      <c r="V877" s="1571"/>
      <c r="W877" s="1533"/>
      <c r="X877" s="1534"/>
      <c r="Y877" s="1534"/>
      <c r="Z877" s="1534"/>
      <c r="AA877" s="1534"/>
      <c r="AB877" s="1534"/>
      <c r="AC877" s="1535"/>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2" customHeight="1">
      <c r="J878" s="38" t="s">
        <v>232</v>
      </c>
      <c r="K878" s="5"/>
      <c r="L878" s="5"/>
      <c r="M878" s="1569" t="s">
        <v>1406</v>
      </c>
      <c r="N878" s="1570"/>
      <c r="O878" s="1570"/>
      <c r="P878" s="1570"/>
      <c r="Q878" s="1570"/>
      <c r="R878" s="1570"/>
      <c r="S878" s="1570"/>
      <c r="T878" s="1570"/>
      <c r="U878" s="1570"/>
      <c r="V878" s="1571"/>
      <c r="W878" s="1533"/>
      <c r="X878" s="1534"/>
      <c r="Y878" s="1534"/>
      <c r="Z878" s="1534"/>
      <c r="AA878" s="1534"/>
      <c r="AB878" s="1534"/>
      <c r="AC878" s="1535"/>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2" customHeight="1">
      <c r="J879" s="38"/>
      <c r="K879" s="5"/>
      <c r="L879" s="5"/>
      <c r="M879" s="5"/>
      <c r="N879" s="5"/>
      <c r="O879" s="5"/>
      <c r="P879" s="5"/>
      <c r="Q879" s="5"/>
      <c r="R879" s="5"/>
      <c r="S879" s="5"/>
      <c r="T879" s="5"/>
      <c r="U879" s="5"/>
      <c r="V879" s="47" t="s">
        <v>1656</v>
      </c>
      <c r="W879" s="1530">
        <f>SUM(W874:AC878)</f>
        <v>119450</v>
      </c>
      <c r="X879" s="1531"/>
      <c r="Y879" s="1531"/>
      <c r="Z879" s="1531"/>
      <c r="AA879" s="1531"/>
      <c r="AB879" s="1531"/>
      <c r="AC879" s="1532"/>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2" customHeight="1">
      <c r="E880" s="436"/>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2" customHeight="1">
      <c r="C881" s="2" t="s">
        <v>1657</v>
      </c>
      <c r="I881" s="457"/>
      <c r="J881" s="457"/>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2" customHeight="1">
      <c r="E882" s="436"/>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2"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3" t="s">
        <v>1658</v>
      </c>
      <c r="AC883" s="1531">
        <f>W847+W855+W862+W863+W872+W879+W849</f>
        <v>897417</v>
      </c>
      <c r="AD883" s="1531"/>
      <c r="AE883" s="1531"/>
      <c r="AF883" s="1531"/>
      <c r="AG883" s="1531"/>
      <c r="AH883" s="1532"/>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2"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3" t="s">
        <v>1659</v>
      </c>
      <c r="AC884" s="1678">
        <f>O797+O777+G753</f>
        <v>101</v>
      </c>
      <c r="AD884" s="1678"/>
      <c r="AE884" s="1678"/>
      <c r="AF884" s="1678"/>
      <c r="AG884" s="1678"/>
      <c r="AH884" s="1679"/>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2" customHeight="1">
      <c r="C885" s="34"/>
      <c r="D885" s="35"/>
      <c r="E885" s="1601" t="s">
        <v>1660</v>
      </c>
      <c r="F885" s="1601"/>
      <c r="G885" s="1601"/>
      <c r="H885" s="1601"/>
      <c r="I885" s="1601"/>
      <c r="J885" s="1601"/>
      <c r="K885" s="1601"/>
      <c r="L885" s="1601"/>
      <c r="M885" s="1601"/>
      <c r="N885" s="1601"/>
      <c r="O885" s="1601"/>
      <c r="P885" s="1601"/>
      <c r="Q885" s="1601"/>
      <c r="R885" s="1601"/>
      <c r="S885" s="1601"/>
      <c r="T885" s="1601"/>
      <c r="U885" s="1601"/>
      <c r="V885" s="1601"/>
      <c r="W885" s="1601"/>
      <c r="X885" s="1601"/>
      <c r="Y885" s="1601"/>
      <c r="Z885" s="1601"/>
      <c r="AA885" s="1601"/>
      <c r="AB885" s="1602"/>
      <c r="AC885" s="1553">
        <f>IF(ISERROR((ROUNDDOWN(AC883/AC884,0))),0,(ROUNDDOWN(AC883/AC884,0)))</f>
        <v>8885</v>
      </c>
      <c r="AD885" s="1553"/>
      <c r="AE885" s="1553"/>
      <c r="AF885" s="1553"/>
      <c r="AG885" s="1553"/>
      <c r="AH885" s="1553"/>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2"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1661</v>
      </c>
      <c r="AC886" s="1628">
        <f>'Sources and Uses Budget'!C75</f>
        <v>521676</v>
      </c>
      <c r="AD886" s="1629"/>
      <c r="AE886" s="1629"/>
      <c r="AF886" s="1629"/>
      <c r="AG886" s="1629"/>
      <c r="AH886" s="1629"/>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2"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1662</v>
      </c>
      <c r="AC887" s="1535"/>
      <c r="AD887" s="1564"/>
      <c r="AE887" s="1564"/>
      <c r="AF887" s="1564"/>
      <c r="AG887" s="1564"/>
      <c r="AH887" s="1564"/>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2"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1663</v>
      </c>
      <c r="AC888" s="1534">
        <v>26000</v>
      </c>
      <c r="AD888" s="1534"/>
      <c r="AE888" s="1534"/>
      <c r="AF888" s="1534"/>
      <c r="AG888" s="1534"/>
      <c r="AH888" s="1535"/>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2"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1664</v>
      </c>
      <c r="AC889" s="1534">
        <v>25250</v>
      </c>
      <c r="AD889" s="1534"/>
      <c r="AE889" s="1534"/>
      <c r="AF889" s="1534"/>
      <c r="AG889" s="1534"/>
      <c r="AH889" s="1535"/>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2"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1665</v>
      </c>
      <c r="AC890" s="1509">
        <v>4000</v>
      </c>
      <c r="AD890" s="1510"/>
      <c r="AE890" s="1510"/>
      <c r="AF890" s="1510"/>
      <c r="AG890" s="1510"/>
      <c r="AH890" s="1511"/>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2"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1666</v>
      </c>
      <c r="AC891" s="1534">
        <v>12500</v>
      </c>
      <c r="AD891" s="1534"/>
      <c r="AE891" s="1534"/>
      <c r="AF891" s="1534"/>
      <c r="AG891" s="1534"/>
      <c r="AH891" s="1535"/>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2"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1667</v>
      </c>
      <c r="AC892" s="1534"/>
      <c r="AD892" s="1534"/>
      <c r="AE892" s="1534"/>
      <c r="AF892" s="1534"/>
      <c r="AG892" s="1534"/>
      <c r="AH892" s="1535"/>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2" customHeight="1">
      <c r="C893" s="1589" t="s">
        <v>1668</v>
      </c>
      <c r="D893" s="1590"/>
      <c r="E893" s="1590"/>
      <c r="F893" s="1590"/>
      <c r="G893" s="1590"/>
      <c r="H893" s="1590"/>
      <c r="I893" s="1590"/>
      <c r="J893" s="1590"/>
      <c r="K893" s="1590"/>
      <c r="L893" s="1590"/>
      <c r="M893" s="1590"/>
      <c r="N893" s="1590"/>
      <c r="O893" s="1590"/>
      <c r="P893" s="1590"/>
      <c r="Q893" s="1590"/>
      <c r="R893" s="1590"/>
      <c r="S893" s="1590"/>
      <c r="T893" s="1590"/>
      <c r="U893" s="1590"/>
      <c r="V893" s="1590"/>
      <c r="W893" s="1590"/>
      <c r="X893" s="1590"/>
      <c r="Y893" s="1590"/>
      <c r="Z893" s="1590"/>
      <c r="AA893" s="1590"/>
      <c r="AB893" s="1591"/>
      <c r="AC893" s="1564">
        <v>23000</v>
      </c>
      <c r="AD893" s="1564"/>
      <c r="AE893" s="1564"/>
      <c r="AF893" s="1564"/>
      <c r="AG893" s="1564"/>
      <c r="AH893" s="1564"/>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2" customHeight="1">
      <c r="C894" s="1589" t="s">
        <v>1669</v>
      </c>
      <c r="D894" s="1590"/>
      <c r="E894" s="1590"/>
      <c r="F894" s="1590"/>
      <c r="G894" s="1590"/>
      <c r="H894" s="1590"/>
      <c r="I894" s="1590"/>
      <c r="J894" s="1590"/>
      <c r="K894" s="1590"/>
      <c r="L894" s="1590"/>
      <c r="M894" s="1590"/>
      <c r="N894" s="1590"/>
      <c r="O894" s="1590"/>
      <c r="P894" s="1590"/>
      <c r="Q894" s="1590"/>
      <c r="R894" s="1590"/>
      <c r="S894" s="1590"/>
      <c r="T894" s="1590"/>
      <c r="U894" s="1590"/>
      <c r="V894" s="1590"/>
      <c r="W894" s="1590"/>
      <c r="X894" s="1590"/>
      <c r="Y894" s="1590"/>
      <c r="Z894" s="1590"/>
      <c r="AA894" s="1590"/>
      <c r="AB894" s="1591"/>
      <c r="AC894" s="1564"/>
      <c r="AD894" s="1564"/>
      <c r="AE894" s="1564"/>
      <c r="AF894" s="1564"/>
      <c r="AG894" s="1564"/>
      <c r="AH894" s="1564"/>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2" customHeight="1">
      <c r="E895" s="436"/>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2" customHeight="1">
      <c r="A896" s="2" t="s">
        <v>1348</v>
      </c>
      <c r="C896" s="2" t="s">
        <v>1670</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2" customHeight="1">
      <c r="X897" s="12"/>
      <c r="Y897" s="12"/>
      <c r="Z897" s="12"/>
      <c r="AA897" s="12"/>
      <c r="AB897" s="12"/>
      <c r="AC897" s="12"/>
      <c r="AD897" s="12"/>
      <c r="AF897" s="457"/>
      <c r="AG897" s="954"/>
      <c r="AH897" s="954"/>
      <c r="AI897" s="954"/>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2" customHeight="1">
      <c r="B898" s="2"/>
      <c r="H898" s="88" t="s">
        <v>1671</v>
      </c>
      <c r="I898" s="5"/>
      <c r="J898" s="5"/>
      <c r="K898" s="5"/>
      <c r="L898" s="5"/>
      <c r="M898" s="5"/>
      <c r="N898" s="5"/>
      <c r="O898" s="5"/>
      <c r="P898" s="5"/>
      <c r="Q898" s="5"/>
      <c r="R898" s="5"/>
      <c r="S898" s="5"/>
      <c r="T898" s="5"/>
      <c r="U898" s="5"/>
      <c r="V898" s="5"/>
      <c r="W898" s="5"/>
      <c r="X898" s="5"/>
      <c r="Y898" s="39"/>
      <c r="Z898" s="1533"/>
      <c r="AA898" s="1534"/>
      <c r="AB898" s="1534"/>
      <c r="AC898" s="1534"/>
      <c r="AD898" s="1534"/>
      <c r="AE898" s="1535"/>
      <c r="AF898" s="457"/>
      <c r="AZ898" s="3"/>
      <c r="BB898" s="26"/>
      <c r="BC898" s="740"/>
      <c r="BD898" s="1574"/>
      <c r="BE898" s="1574"/>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2" customHeight="1">
      <c r="H899" s="88" t="s">
        <v>1672</v>
      </c>
      <c r="I899" s="5"/>
      <c r="J899" s="5"/>
      <c r="K899" s="5"/>
      <c r="L899" s="5"/>
      <c r="M899" s="5"/>
      <c r="N899" s="5"/>
      <c r="O899" s="5"/>
      <c r="P899" s="5"/>
      <c r="Q899" s="5"/>
      <c r="R899" s="5"/>
      <c r="S899" s="5"/>
      <c r="T899" s="5"/>
      <c r="U899" s="5"/>
      <c r="V899" s="5"/>
      <c r="W899" s="5"/>
      <c r="X899" s="5"/>
      <c r="Y899" s="5"/>
      <c r="Z899" s="1533"/>
      <c r="AA899" s="1534"/>
      <c r="AB899" s="1534"/>
      <c r="AC899" s="1534"/>
      <c r="AD899" s="1534"/>
      <c r="AE899" s="1535"/>
      <c r="AZ899" s="3"/>
      <c r="BB899" s="26"/>
      <c r="BC899" s="740"/>
      <c r="BD899" s="1574"/>
      <c r="BE899" s="157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2" customHeight="1">
      <c r="H900" s="88" t="s">
        <v>1673</v>
      </c>
      <c r="I900" s="5"/>
      <c r="J900" s="5"/>
      <c r="K900" s="5"/>
      <c r="L900" s="5"/>
      <c r="M900" s="5"/>
      <c r="N900" s="5"/>
      <c r="O900" s="5"/>
      <c r="P900" s="5"/>
      <c r="Q900" s="5"/>
      <c r="R900" s="5"/>
      <c r="S900" s="5"/>
      <c r="T900" s="5"/>
      <c r="U900" s="5"/>
      <c r="V900" s="5"/>
      <c r="W900" s="5"/>
      <c r="X900" s="5"/>
      <c r="Y900" s="5"/>
      <c r="Z900" s="1533"/>
      <c r="AA900" s="1534"/>
      <c r="AB900" s="1534"/>
      <c r="AC900" s="1534"/>
      <c r="AD900" s="1534"/>
      <c r="AE900" s="1535"/>
      <c r="AZ900" s="3"/>
      <c r="BB900" s="26"/>
      <c r="BC900" s="740"/>
      <c r="BD900" s="1568"/>
      <c r="BE900" s="1568"/>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2" customHeight="1">
      <c r="H901" s="38"/>
      <c r="I901" s="5"/>
      <c r="J901" s="5"/>
      <c r="K901" s="5"/>
      <c r="L901" s="5"/>
      <c r="M901" s="5"/>
      <c r="N901" s="5"/>
      <c r="O901" s="5"/>
      <c r="P901" s="5"/>
      <c r="Q901" s="5"/>
      <c r="R901" s="5"/>
      <c r="S901" s="5"/>
      <c r="T901" s="5"/>
      <c r="U901" s="5"/>
      <c r="V901" s="5"/>
      <c r="W901" s="5"/>
      <c r="X901" s="5"/>
      <c r="Y901" s="131" t="s">
        <v>1674</v>
      </c>
      <c r="Z901" s="1530">
        <f>Z898-(Z899+Z900)</f>
        <v>0</v>
      </c>
      <c r="AA901" s="1531"/>
      <c r="AB901" s="1531"/>
      <c r="AC901" s="1531"/>
      <c r="AD901" s="1531"/>
      <c r="AE901" s="1532"/>
      <c r="AZ901" s="3"/>
      <c r="BB901" s="26"/>
      <c r="BC901" s="740"/>
      <c r="BD901" s="1568"/>
      <c r="BE901" s="1568"/>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2" customHeight="1">
      <c r="C902" s="436"/>
      <c r="D902" s="278"/>
      <c r="E902" s="954"/>
      <c r="F902" s="954"/>
      <c r="G902" s="954"/>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4"/>
      <c r="AZ902" s="3"/>
      <c r="BB902" s="26"/>
      <c r="BC902" s="740"/>
      <c r="BD902" s="1568"/>
      <c r="BE902" s="1568"/>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2" customHeight="1">
      <c r="C903" t="s">
        <v>1675</v>
      </c>
      <c r="D903" s="15"/>
      <c r="E903" s="954"/>
      <c r="F903" s="954"/>
      <c r="G903" s="954"/>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4"/>
      <c r="AZ903" s="3"/>
      <c r="BB903" s="26"/>
      <c r="BC903" s="740"/>
      <c r="BD903" s="1574"/>
      <c r="BE903" s="1568"/>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2" customHeight="1">
      <c r="C904" s="132" t="s">
        <v>1676</v>
      </c>
      <c r="D904" s="15"/>
      <c r="E904" s="954"/>
      <c r="F904" s="954"/>
      <c r="G904" s="954"/>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4"/>
      <c r="AV904" s="71"/>
      <c r="AW904" s="71"/>
      <c r="AX904" s="71"/>
      <c r="AY904" s="71"/>
      <c r="AZ904" s="3"/>
      <c r="BB904" s="26"/>
      <c r="BC904" s="740"/>
      <c r="BD904" s="1588"/>
      <c r="BE904" s="1588"/>
      <c r="BF904" s="1588"/>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2" customHeight="1">
      <c r="C905" s="132" t="s">
        <v>1677</v>
      </c>
      <c r="D905" s="15"/>
      <c r="E905" s="954"/>
      <c r="F905" s="954"/>
      <c r="G905" s="954"/>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4"/>
      <c r="AV905" s="71"/>
      <c r="AW905" s="71"/>
      <c r="AX905" s="71"/>
      <c r="AY905" s="71"/>
      <c r="AZ905" s="3"/>
      <c r="BB905" s="26"/>
      <c r="BC905" s="740"/>
      <c r="BD905" s="1587"/>
      <c r="BE905" s="1587"/>
      <c r="BF905" s="1587"/>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2" customHeight="1">
      <c r="C906" s="261" t="s">
        <v>1678</v>
      </c>
      <c r="D906" s="15"/>
      <c r="E906" s="954"/>
      <c r="F906" s="954"/>
      <c r="G906" s="954"/>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4"/>
      <c r="AV906" s="71"/>
      <c r="AW906" s="71"/>
      <c r="AX906" s="71"/>
      <c r="AY906" s="71"/>
      <c r="AZ906" s="3"/>
      <c r="BB906" s="26"/>
      <c r="BC906" s="740"/>
      <c r="BD906" s="1568"/>
      <c r="BE906" s="1568"/>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2"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0"/>
      <c r="BD907" s="1574"/>
      <c r="BE907" s="1568"/>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2" customHeight="1">
      <c r="AZ908" s="3"/>
      <c r="BB908" s="26"/>
      <c r="BC908" s="740"/>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2" customHeight="1">
      <c r="A909" s="1478" t="s">
        <v>1679</v>
      </c>
      <c r="B909" s="1478"/>
      <c r="C909" s="1478"/>
      <c r="D909" s="1478"/>
      <c r="E909" s="1478"/>
      <c r="F909" s="1478"/>
      <c r="G909" s="1478"/>
      <c r="H909" s="1478"/>
      <c r="I909" s="1478"/>
      <c r="J909" s="1478"/>
      <c r="K909" s="1478"/>
      <c r="L909" s="1478"/>
      <c r="M909" s="1478"/>
      <c r="N909" s="1478"/>
      <c r="O909" s="1478"/>
      <c r="P909" s="1478"/>
      <c r="Q909" s="1478"/>
      <c r="R909" s="1478"/>
      <c r="S909" s="1478"/>
      <c r="T909" s="1478"/>
      <c r="U909" s="1478"/>
      <c r="V909" s="1478"/>
      <c r="W909" s="1478"/>
      <c r="X909" s="1478"/>
      <c r="Y909" s="1478"/>
      <c r="Z909" s="1478"/>
      <c r="AA909" s="1478"/>
      <c r="AB909" s="1478"/>
      <c r="AC909" s="1478"/>
      <c r="AD909" s="1478"/>
      <c r="AE909" s="1478"/>
      <c r="AF909" s="1478"/>
      <c r="AG909" s="1478"/>
      <c r="AH909" s="1478"/>
      <c r="AI909" s="1478"/>
      <c r="AJ909" s="1478"/>
      <c r="AK909" s="1478"/>
      <c r="AL909" s="1478"/>
      <c r="AM909" s="1478"/>
      <c r="AN909" s="1478"/>
      <c r="AO909" s="1478"/>
      <c r="AP909" s="1478"/>
      <c r="AQ909" s="1478"/>
      <c r="AR909" s="1478"/>
      <c r="AS909" s="1478"/>
      <c r="AT909" s="1478"/>
      <c r="AZ909" s="3"/>
      <c r="BA909" s="3"/>
      <c r="BB909" s="26"/>
      <c r="BC909" s="26"/>
      <c r="BD909" s="1574"/>
      <c r="BE909" s="1568"/>
      <c r="BF909" s="832"/>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2" customHeight="1">
      <c r="A910" s="1478"/>
      <c r="B910" s="1478"/>
      <c r="C910" s="1478"/>
      <c r="D910" s="1478"/>
      <c r="E910" s="1478"/>
      <c r="F910" s="1478"/>
      <c r="G910" s="1478"/>
      <c r="H910" s="1478"/>
      <c r="I910" s="1478"/>
      <c r="J910" s="1478"/>
      <c r="K910" s="1478"/>
      <c r="L910" s="1478"/>
      <c r="M910" s="1478"/>
      <c r="N910" s="1478"/>
      <c r="O910" s="1478"/>
      <c r="P910" s="1478"/>
      <c r="Q910" s="1478"/>
      <c r="R910" s="1478"/>
      <c r="S910" s="1478"/>
      <c r="T910" s="1478"/>
      <c r="U910" s="1478"/>
      <c r="V910" s="1478"/>
      <c r="W910" s="1478"/>
      <c r="X910" s="1478"/>
      <c r="Y910" s="1478"/>
      <c r="Z910" s="1478"/>
      <c r="AA910" s="1478"/>
      <c r="AB910" s="1478"/>
      <c r="AC910" s="1478"/>
      <c r="AD910" s="1478"/>
      <c r="AE910" s="1478"/>
      <c r="AF910" s="1478"/>
      <c r="AG910" s="1478"/>
      <c r="AH910" s="1478"/>
      <c r="AI910" s="1478"/>
      <c r="AJ910" s="1478"/>
      <c r="AK910" s="1478"/>
      <c r="AL910" s="1478"/>
      <c r="AM910" s="1478"/>
      <c r="AN910" s="1478"/>
      <c r="AO910" s="1478"/>
      <c r="AP910" s="1478"/>
      <c r="AQ910" s="1478"/>
      <c r="AR910" s="1478"/>
      <c r="AS910" s="1478"/>
      <c r="AT910" s="1478"/>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2"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2" customHeight="1">
      <c r="A912" s="2" t="s">
        <v>919</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2"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2" customHeight="1">
      <c r="F914" s="1765" t="s">
        <v>1680</v>
      </c>
      <c r="G914" s="1766"/>
      <c r="H914" s="1766"/>
      <c r="I914" s="1766"/>
      <c r="J914" s="1766"/>
      <c r="K914" s="1766"/>
      <c r="L914" s="1766"/>
      <c r="M914" s="1766"/>
      <c r="N914" s="1766"/>
      <c r="O914" s="1766"/>
      <c r="P914" s="1766"/>
      <c r="Q914" s="1766"/>
      <c r="R914" s="1766"/>
      <c r="S914" s="1766"/>
      <c r="T914" s="1767"/>
      <c r="U914" s="1694" t="s">
        <v>1681</v>
      </c>
      <c r="V914" s="1695"/>
      <c r="W914" s="1695"/>
      <c r="X914" s="1695"/>
      <c r="Y914" s="1695"/>
      <c r="Z914" s="1695"/>
      <c r="AA914" s="36"/>
      <c r="AB914" s="231"/>
      <c r="AC914" s="231"/>
      <c r="AD914" s="231"/>
      <c r="AE914" s="231"/>
      <c r="AF914" s="117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2" customHeight="1">
      <c r="B915" s="2"/>
      <c r="F915" s="1696" t="s">
        <v>1682</v>
      </c>
      <c r="G915" s="1697"/>
      <c r="H915" s="1697"/>
      <c r="I915" s="1697"/>
      <c r="J915" s="1697"/>
      <c r="K915" s="1697"/>
      <c r="L915" s="1697"/>
      <c r="M915" s="1697"/>
      <c r="N915" s="1697"/>
      <c r="O915" s="1697"/>
      <c r="P915" s="1697"/>
      <c r="Q915" s="1697"/>
      <c r="R915" s="1697"/>
      <c r="S915" s="1697"/>
      <c r="T915" s="1709"/>
      <c r="U915" s="1696"/>
      <c r="V915" s="1697"/>
      <c r="W915" s="1697"/>
      <c r="X915" s="1697"/>
      <c r="Y915" s="1697"/>
      <c r="Z915" s="1697"/>
      <c r="AA915" s="37"/>
      <c r="AB915" s="3"/>
      <c r="AC915" s="3"/>
      <c r="AD915" s="3"/>
      <c r="AE915" s="3"/>
      <c r="AF915" s="1174"/>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2" customHeight="1">
      <c r="B916" s="2"/>
      <c r="F916" s="1698"/>
      <c r="G916" s="1699"/>
      <c r="H916" s="1699"/>
      <c r="I916" s="1699"/>
      <c r="J916" s="1699"/>
      <c r="K916" s="1699"/>
      <c r="L916" s="1699"/>
      <c r="M916" s="1699"/>
      <c r="N916" s="1699"/>
      <c r="O916" s="1699"/>
      <c r="P916" s="1699"/>
      <c r="Q916" s="1699"/>
      <c r="R916" s="1699"/>
      <c r="S916" s="1699"/>
      <c r="T916" s="1704"/>
      <c r="U916" s="1698"/>
      <c r="V916" s="1699"/>
      <c r="W916" s="1699"/>
      <c r="X916" s="1699"/>
      <c r="Y916" s="1699"/>
      <c r="Z916" s="1699"/>
      <c r="AA916" s="818"/>
      <c r="AB916" s="1429" t="s">
        <v>1683</v>
      </c>
      <c r="AC916" s="1429"/>
      <c r="AD916" s="1429"/>
      <c r="AE916" s="1429"/>
      <c r="AF916" s="1175"/>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2" customHeight="1">
      <c r="B917" s="2"/>
      <c r="F917" s="38" t="s">
        <v>1684</v>
      </c>
      <c r="G917" s="41"/>
      <c r="H917" s="41"/>
      <c r="I917" s="41"/>
      <c r="J917" s="41"/>
      <c r="K917" s="41"/>
      <c r="L917" s="41"/>
      <c r="M917" s="41"/>
      <c r="N917" s="41"/>
      <c r="O917" s="41"/>
      <c r="P917" s="41"/>
      <c r="Q917" s="41"/>
      <c r="R917" s="41"/>
      <c r="S917" s="41"/>
      <c r="T917" s="42"/>
      <c r="U917" s="1584" t="s">
        <v>836</v>
      </c>
      <c r="V917" s="1351"/>
      <c r="W917" s="1351"/>
      <c r="X917" s="1351"/>
      <c r="Y917" s="1351"/>
      <c r="Z917" s="1352"/>
      <c r="AA917" s="1585">
        <f>AM554</f>
        <v>37929000</v>
      </c>
      <c r="AB917" s="1462"/>
      <c r="AC917" s="1462"/>
      <c r="AD917" s="1462"/>
      <c r="AE917" s="1462"/>
      <c r="AF917" s="1586"/>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2" customHeight="1">
      <c r="B918" s="2"/>
      <c r="F918" s="88" t="s">
        <v>1685</v>
      </c>
      <c r="G918" s="41"/>
      <c r="H918" s="41"/>
      <c r="I918" s="41"/>
      <c r="J918" s="41"/>
      <c r="K918" s="41"/>
      <c r="L918" s="41"/>
      <c r="M918" s="41"/>
      <c r="N918" s="41"/>
      <c r="O918" s="41"/>
      <c r="P918" s="41"/>
      <c r="Q918" s="41"/>
      <c r="R918" s="41"/>
      <c r="S918" s="41"/>
      <c r="T918" s="42"/>
      <c r="U918" s="1584" t="s">
        <v>836</v>
      </c>
      <c r="V918" s="1351"/>
      <c r="W918" s="1351"/>
      <c r="X918" s="1351"/>
      <c r="Y918" s="1351"/>
      <c r="Z918" s="1352"/>
      <c r="AA918" s="1585">
        <f>AM555</f>
        <v>8371685</v>
      </c>
      <c r="AB918" s="1462"/>
      <c r="AC918" s="1462"/>
      <c r="AD918" s="1462"/>
      <c r="AE918" s="1462"/>
      <c r="AF918" s="1586"/>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2" customHeight="1">
      <c r="F919" s="38" t="s">
        <v>1686</v>
      </c>
      <c r="G919" s="5"/>
      <c r="H919" s="5"/>
      <c r="I919" s="5"/>
      <c r="J919" s="5"/>
      <c r="K919" s="5"/>
      <c r="L919" s="5"/>
      <c r="M919" s="5"/>
      <c r="N919" s="5"/>
      <c r="O919" s="5"/>
      <c r="P919" s="5"/>
      <c r="Q919" s="5"/>
      <c r="R919" s="5"/>
      <c r="S919" s="5"/>
      <c r="T919" s="39"/>
      <c r="U919" s="1584" t="s">
        <v>299</v>
      </c>
      <c r="V919" s="1351"/>
      <c r="W919" s="1351"/>
      <c r="X919" s="1351"/>
      <c r="Y919" s="1351"/>
      <c r="Z919" s="1352"/>
      <c r="AA919" s="1585"/>
      <c r="AB919" s="1462"/>
      <c r="AC919" s="1462"/>
      <c r="AD919" s="1462"/>
      <c r="AE919" s="1462"/>
      <c r="AF919" s="1586"/>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2" customHeight="1">
      <c r="F920" s="38" t="s">
        <v>1687</v>
      </c>
      <c r="G920" s="5"/>
      <c r="H920" s="5"/>
      <c r="I920" s="5"/>
      <c r="J920" s="5"/>
      <c r="K920" s="5"/>
      <c r="L920" s="5"/>
      <c r="M920" s="5"/>
      <c r="N920" s="5"/>
      <c r="O920" s="5"/>
      <c r="P920" s="5"/>
      <c r="Q920" s="5"/>
      <c r="R920" s="5"/>
      <c r="S920" s="5"/>
      <c r="T920" s="39"/>
      <c r="U920" s="1584" t="s">
        <v>299</v>
      </c>
      <c r="V920" s="1351"/>
      <c r="W920" s="1351"/>
      <c r="X920" s="1351"/>
      <c r="Y920" s="1351"/>
      <c r="Z920" s="1352"/>
      <c r="AA920" s="1585"/>
      <c r="AB920" s="1462"/>
      <c r="AC920" s="1462"/>
      <c r="AD920" s="1462"/>
      <c r="AE920" s="1462"/>
      <c r="AF920" s="1586"/>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2" customHeight="1">
      <c r="F921" s="88" t="s">
        <v>1688</v>
      </c>
      <c r="G921" s="5"/>
      <c r="H921" s="5"/>
      <c r="I921" s="5"/>
      <c r="J921" s="5"/>
      <c r="K921" s="5"/>
      <c r="L921" s="5"/>
      <c r="M921" s="5"/>
      <c r="N921" s="5"/>
      <c r="O921" s="5"/>
      <c r="P921" s="5"/>
      <c r="Q921" s="5"/>
      <c r="R921" s="5"/>
      <c r="S921" s="5"/>
      <c r="T921" s="39"/>
      <c r="U921" s="1584" t="s">
        <v>299</v>
      </c>
      <c r="V921" s="1351"/>
      <c r="W921" s="1351"/>
      <c r="X921" s="1351"/>
      <c r="Y921" s="1351"/>
      <c r="Z921" s="1352"/>
      <c r="AA921" s="1585"/>
      <c r="AB921" s="1462"/>
      <c r="AC921" s="1462"/>
      <c r="AD921" s="1462"/>
      <c r="AE921" s="1462"/>
      <c r="AF921" s="1586"/>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2" customHeight="1">
      <c r="F922" s="88" t="s">
        <v>1689</v>
      </c>
      <c r="G922" s="5"/>
      <c r="H922" s="5"/>
      <c r="I922" s="5"/>
      <c r="J922" s="5"/>
      <c r="K922" s="5"/>
      <c r="L922" s="5"/>
      <c r="M922" s="5"/>
      <c r="N922" s="5"/>
      <c r="O922" s="5"/>
      <c r="P922" s="5"/>
      <c r="Q922" s="5"/>
      <c r="R922" s="5"/>
      <c r="S922" s="5"/>
      <c r="T922" s="39"/>
      <c r="U922" s="1584" t="s">
        <v>299</v>
      </c>
      <c r="V922" s="1351"/>
      <c r="W922" s="1351"/>
      <c r="X922" s="1351"/>
      <c r="Y922" s="1351"/>
      <c r="Z922" s="1352"/>
      <c r="AA922" s="1585"/>
      <c r="AB922" s="1462"/>
      <c r="AC922" s="1462"/>
      <c r="AD922" s="1462"/>
      <c r="AE922" s="1462"/>
      <c r="AF922" s="1586"/>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2" customHeight="1">
      <c r="F923" s="88" t="s">
        <v>1690</v>
      </c>
      <c r="G923" s="5"/>
      <c r="H923" s="5"/>
      <c r="I923" s="5"/>
      <c r="J923" s="5"/>
      <c r="K923" s="5"/>
      <c r="L923" s="5"/>
      <c r="M923" s="5"/>
      <c r="N923" s="5"/>
      <c r="O923" s="5"/>
      <c r="P923" s="5"/>
      <c r="Q923" s="5"/>
      <c r="R923" s="5"/>
      <c r="S923" s="5"/>
      <c r="T923" s="39"/>
      <c r="U923" s="1584" t="s">
        <v>299</v>
      </c>
      <c r="V923" s="1351"/>
      <c r="W923" s="1351"/>
      <c r="X923" s="1351"/>
      <c r="Y923" s="1351"/>
      <c r="Z923" s="1352"/>
      <c r="AA923" s="1585"/>
      <c r="AB923" s="1462"/>
      <c r="AC923" s="1462"/>
      <c r="AD923" s="1462"/>
      <c r="AE923" s="1462"/>
      <c r="AF923" s="1586"/>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2" customHeight="1">
      <c r="F924" s="38" t="s">
        <v>1691</v>
      </c>
      <c r="G924" s="5"/>
      <c r="H924" s="5"/>
      <c r="I924" s="5"/>
      <c r="J924" s="5"/>
      <c r="K924" s="5"/>
      <c r="L924" s="5"/>
      <c r="M924" s="5"/>
      <c r="N924" s="5"/>
      <c r="O924" s="5"/>
      <c r="P924" s="5"/>
      <c r="Q924" s="5"/>
      <c r="R924" s="5"/>
      <c r="S924" s="5"/>
      <c r="T924" s="39"/>
      <c r="U924" s="1584" t="s">
        <v>299</v>
      </c>
      <c r="V924" s="1351"/>
      <c r="W924" s="1351"/>
      <c r="X924" s="1351"/>
      <c r="Y924" s="1351"/>
      <c r="Z924" s="1352"/>
      <c r="AA924" s="1585"/>
      <c r="AB924" s="1462"/>
      <c r="AC924" s="1462"/>
      <c r="AD924" s="1462"/>
      <c r="AE924" s="1462"/>
      <c r="AF924" s="1586"/>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2" customHeight="1">
      <c r="F925" s="1592" t="s">
        <v>1692</v>
      </c>
      <c r="G925" s="1593"/>
      <c r="H925" s="1593"/>
      <c r="I925" s="1593"/>
      <c r="J925" s="1593"/>
      <c r="K925" s="1593"/>
      <c r="L925" s="1593"/>
      <c r="M925" s="1593"/>
      <c r="N925" s="1593"/>
      <c r="O925" s="1593"/>
      <c r="P925" s="1593"/>
      <c r="Q925" s="1593"/>
      <c r="R925" s="1593"/>
      <c r="S925" s="1593"/>
      <c r="T925" s="1594"/>
      <c r="U925" s="1584" t="s">
        <v>299</v>
      </c>
      <c r="V925" s="1351"/>
      <c r="W925" s="1351"/>
      <c r="X925" s="1351"/>
      <c r="Y925" s="1351"/>
      <c r="Z925" s="1352"/>
      <c r="AA925" s="1585"/>
      <c r="AB925" s="1462"/>
      <c r="AC925" s="1462"/>
      <c r="AD925" s="1462"/>
      <c r="AE925" s="1462"/>
      <c r="AF925" s="1586"/>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2" customHeight="1">
      <c r="F926" s="1592" t="s">
        <v>1693</v>
      </c>
      <c r="G926" s="1593"/>
      <c r="H926" s="1593"/>
      <c r="I926" s="1593"/>
      <c r="J926" s="1593"/>
      <c r="K926" s="1593"/>
      <c r="L926" s="1593"/>
      <c r="M926" s="1593"/>
      <c r="N926" s="1593"/>
      <c r="O926" s="1593"/>
      <c r="P926" s="1593"/>
      <c r="Q926" s="1593"/>
      <c r="R926" s="1593"/>
      <c r="S926" s="1593"/>
      <c r="T926" s="1594"/>
      <c r="U926" s="1584" t="s">
        <v>299</v>
      </c>
      <c r="V926" s="1351"/>
      <c r="W926" s="1351"/>
      <c r="X926" s="1351"/>
      <c r="Y926" s="1351"/>
      <c r="Z926" s="1352"/>
      <c r="AA926" s="1585"/>
      <c r="AB926" s="1462"/>
      <c r="AC926" s="1462"/>
      <c r="AD926" s="1462"/>
      <c r="AE926" s="1462"/>
      <c r="AF926" s="1586"/>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2" customHeight="1">
      <c r="F927" s="1592" t="s">
        <v>1694</v>
      </c>
      <c r="G927" s="1593"/>
      <c r="H927" s="1593"/>
      <c r="I927" s="1593"/>
      <c r="J927" s="1593"/>
      <c r="K927" s="1593"/>
      <c r="L927" s="1593"/>
      <c r="M927" s="1593"/>
      <c r="N927" s="1593"/>
      <c r="O927" s="1593"/>
      <c r="P927" s="1593"/>
      <c r="Q927" s="1593"/>
      <c r="R927" s="1593"/>
      <c r="S927" s="1593"/>
      <c r="T927" s="1594"/>
      <c r="U927" s="1584" t="s">
        <v>299</v>
      </c>
      <c r="V927" s="1351"/>
      <c r="W927" s="1351"/>
      <c r="X927" s="1351"/>
      <c r="Y927" s="1351"/>
      <c r="Z927" s="1352"/>
      <c r="AA927" s="1585"/>
      <c r="AB927" s="1462"/>
      <c r="AC927" s="1462"/>
      <c r="AD927" s="1462"/>
      <c r="AE927" s="1462"/>
      <c r="AF927" s="1586"/>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2" customHeight="1">
      <c r="F928" s="1592" t="s">
        <v>1695</v>
      </c>
      <c r="G928" s="1593"/>
      <c r="H928" s="1593"/>
      <c r="I928" s="1593"/>
      <c r="J928" s="1593"/>
      <c r="K928" s="1593"/>
      <c r="L928" s="1593"/>
      <c r="M928" s="1593"/>
      <c r="N928" s="1593"/>
      <c r="O928" s="1593"/>
      <c r="P928" s="1593"/>
      <c r="Q928" s="1593"/>
      <c r="R928" s="1593"/>
      <c r="S928" s="1593"/>
      <c r="T928" s="1594"/>
      <c r="U928" s="1584" t="s">
        <v>299</v>
      </c>
      <c r="V928" s="1351"/>
      <c r="W928" s="1351"/>
      <c r="X928" s="1351"/>
      <c r="Y928" s="1351"/>
      <c r="Z928" s="1352"/>
      <c r="AA928" s="1585"/>
      <c r="AB928" s="1462"/>
      <c r="AC928" s="1462"/>
      <c r="AD928" s="1462"/>
      <c r="AE928" s="1462"/>
      <c r="AF928" s="1586"/>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2" customHeight="1">
      <c r="F929" s="1592" t="s">
        <v>1696</v>
      </c>
      <c r="G929" s="1593"/>
      <c r="H929" s="1593"/>
      <c r="I929" s="1593"/>
      <c r="J929" s="1593"/>
      <c r="K929" s="1593"/>
      <c r="L929" s="1593"/>
      <c r="M929" s="1593"/>
      <c r="N929" s="1593"/>
      <c r="O929" s="1593"/>
      <c r="P929" s="1593"/>
      <c r="Q929" s="1593"/>
      <c r="R929" s="1593"/>
      <c r="S929" s="1593"/>
      <c r="T929" s="1594"/>
      <c r="U929" s="1584" t="s">
        <v>299</v>
      </c>
      <c r="V929" s="1351"/>
      <c r="W929" s="1351"/>
      <c r="X929" s="1351"/>
      <c r="Y929" s="1351"/>
      <c r="Z929" s="1352"/>
      <c r="AA929" s="1585"/>
      <c r="AB929" s="1462"/>
      <c r="AC929" s="1462"/>
      <c r="AD929" s="1462"/>
      <c r="AE929" s="1462"/>
      <c r="AF929" s="1586"/>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2" customHeight="1">
      <c r="F930" s="1592" t="s">
        <v>1697</v>
      </c>
      <c r="G930" s="1593"/>
      <c r="H930" s="1593"/>
      <c r="I930" s="1593"/>
      <c r="J930" s="1593"/>
      <c r="K930" s="1593"/>
      <c r="L930" s="1593"/>
      <c r="M930" s="1593"/>
      <c r="N930" s="1593"/>
      <c r="O930" s="1593"/>
      <c r="P930" s="1593"/>
      <c r="Q930" s="1593"/>
      <c r="R930" s="1593"/>
      <c r="S930" s="1593"/>
      <c r="T930" s="1594"/>
      <c r="U930" s="1584" t="s">
        <v>299</v>
      </c>
      <c r="V930" s="1351"/>
      <c r="W930" s="1351"/>
      <c r="X930" s="1351"/>
      <c r="Y930" s="1351"/>
      <c r="Z930" s="1352"/>
      <c r="AA930" s="1585"/>
      <c r="AB930" s="1462"/>
      <c r="AC930" s="1462"/>
      <c r="AD930" s="1462"/>
      <c r="AE930" s="1462"/>
      <c r="AF930" s="1586"/>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2" customHeight="1">
      <c r="F931" s="1592" t="s">
        <v>1698</v>
      </c>
      <c r="G931" s="1593"/>
      <c r="H931" s="1593"/>
      <c r="I931" s="1593"/>
      <c r="J931" s="1593"/>
      <c r="K931" s="1593"/>
      <c r="L931" s="1593"/>
      <c r="M931" s="1593"/>
      <c r="N931" s="1593"/>
      <c r="O931" s="1593"/>
      <c r="P931" s="1593"/>
      <c r="Q931" s="1593"/>
      <c r="R931" s="1593"/>
      <c r="S931" s="1593"/>
      <c r="T931" s="1594"/>
      <c r="U931" s="1584" t="s">
        <v>299</v>
      </c>
      <c r="V931" s="1351"/>
      <c r="W931" s="1351"/>
      <c r="X931" s="1351"/>
      <c r="Y931" s="1351"/>
      <c r="Z931" s="1352"/>
      <c r="AA931" s="1585"/>
      <c r="AB931" s="1462"/>
      <c r="AC931" s="1462"/>
      <c r="AD931" s="1462"/>
      <c r="AE931" s="1462"/>
      <c r="AF931" s="1586"/>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2" customHeight="1">
      <c r="F932" s="129" t="s">
        <v>1699</v>
      </c>
      <c r="G932" s="5"/>
      <c r="H932" s="5"/>
      <c r="I932" s="5"/>
      <c r="J932" s="5"/>
      <c r="K932" s="5"/>
      <c r="L932" s="5"/>
      <c r="M932" s="5"/>
      <c r="N932" s="5"/>
      <c r="O932" s="5"/>
      <c r="P932" s="5"/>
      <c r="Q932" s="5"/>
      <c r="R932" s="5"/>
      <c r="S932" s="5"/>
      <c r="T932" s="39"/>
      <c r="U932" s="1584" t="s">
        <v>299</v>
      </c>
      <c r="V932" s="1351"/>
      <c r="W932" s="1351"/>
      <c r="X932" s="1351"/>
      <c r="Y932" s="1351"/>
      <c r="Z932" s="1352"/>
      <c r="AA932" s="1585"/>
      <c r="AB932" s="1462"/>
      <c r="AC932" s="1462"/>
      <c r="AD932" s="1462"/>
      <c r="AE932" s="1462"/>
      <c r="AF932" s="1586"/>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2" customHeight="1">
      <c r="F933" s="88" t="s">
        <v>1700</v>
      </c>
      <c r="G933" s="5"/>
      <c r="H933" s="5"/>
      <c r="I933" s="5"/>
      <c r="J933" s="5"/>
      <c r="K933" s="5"/>
      <c r="L933" s="5"/>
      <c r="M933" s="5"/>
      <c r="N933" s="5"/>
      <c r="O933" s="5"/>
      <c r="P933" s="5"/>
      <c r="Q933" s="5"/>
      <c r="R933" s="5"/>
      <c r="S933" s="5"/>
      <c r="T933" s="39"/>
      <c r="U933" s="1584" t="s">
        <v>299</v>
      </c>
      <c r="V933" s="1351"/>
      <c r="W933" s="1351"/>
      <c r="X933" s="1351"/>
      <c r="Y933" s="1351"/>
      <c r="Z933" s="1352"/>
      <c r="AA933" s="1585"/>
      <c r="AB933" s="1462"/>
      <c r="AC933" s="1462"/>
      <c r="AD933" s="1462"/>
      <c r="AE933" s="1462"/>
      <c r="AF933" s="1586"/>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2" customHeight="1">
      <c r="F934" s="88" t="s">
        <v>1701</v>
      </c>
      <c r="G934" s="5"/>
      <c r="H934" s="5"/>
      <c r="I934" s="5"/>
      <c r="J934" s="5"/>
      <c r="K934" s="5"/>
      <c r="L934" s="5"/>
      <c r="M934" s="5"/>
      <c r="N934" s="5"/>
      <c r="O934" s="5"/>
      <c r="P934" s="5"/>
      <c r="Q934" s="5"/>
      <c r="R934" s="5"/>
      <c r="S934" s="5"/>
      <c r="T934" s="39"/>
      <c r="U934" s="1584" t="s">
        <v>299</v>
      </c>
      <c r="V934" s="1351"/>
      <c r="W934" s="1351"/>
      <c r="X934" s="1351"/>
      <c r="Y934" s="1351"/>
      <c r="Z934" s="1352"/>
      <c r="AA934" s="1585"/>
      <c r="AB934" s="1462"/>
      <c r="AC934" s="1462"/>
      <c r="AD934" s="1462"/>
      <c r="AE934" s="1462"/>
      <c r="AF934" s="1586"/>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2" customHeight="1">
      <c r="F935" s="1581" t="s">
        <v>1702</v>
      </c>
      <c r="G935" s="1582"/>
      <c r="H935" s="1582"/>
      <c r="I935" s="1582"/>
      <c r="J935" s="1582"/>
      <c r="K935" s="1582"/>
      <c r="L935" s="1582"/>
      <c r="M935" s="1582"/>
      <c r="N935" s="1582"/>
      <c r="O935" s="1582"/>
      <c r="P935" s="1582"/>
      <c r="Q935" s="1582"/>
      <c r="R935" s="1582"/>
      <c r="S935" s="1582"/>
      <c r="T935" s="1583"/>
      <c r="U935" s="1584" t="s">
        <v>299</v>
      </c>
      <c r="V935" s="1351"/>
      <c r="W935" s="1351"/>
      <c r="X935" s="1351"/>
      <c r="Y935" s="1351"/>
      <c r="Z935" s="1352"/>
      <c r="AA935" s="1585"/>
      <c r="AB935" s="1462"/>
      <c r="AC935" s="1462"/>
      <c r="AD935" s="1462"/>
      <c r="AE935" s="1462"/>
      <c r="AF935" s="1586"/>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2" customHeight="1">
      <c r="F936" s="1581" t="s">
        <v>1703</v>
      </c>
      <c r="G936" s="1582"/>
      <c r="H936" s="1582"/>
      <c r="I936" s="1582"/>
      <c r="J936" s="1582"/>
      <c r="K936" s="1582"/>
      <c r="L936" s="1582"/>
      <c r="M936" s="1582"/>
      <c r="N936" s="1582"/>
      <c r="O936" s="1582"/>
      <c r="P936" s="1582"/>
      <c r="Q936" s="1582"/>
      <c r="R936" s="1582"/>
      <c r="S936" s="1582"/>
      <c r="T936" s="1583"/>
      <c r="U936" s="1584" t="s">
        <v>299</v>
      </c>
      <c r="V936" s="1351"/>
      <c r="W936" s="1351"/>
      <c r="X936" s="1351"/>
      <c r="Y936" s="1351"/>
      <c r="Z936" s="1352"/>
      <c r="AA936" s="1585"/>
      <c r="AB936" s="1462"/>
      <c r="AC936" s="1462"/>
      <c r="AD936" s="1462"/>
      <c r="AE936" s="1462"/>
      <c r="AF936" s="1586"/>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2" customHeight="1">
      <c r="F937" s="1592" t="s">
        <v>1704</v>
      </c>
      <c r="G937" s="1593"/>
      <c r="H937" s="1593"/>
      <c r="I937" s="1593"/>
      <c r="J937" s="1593"/>
      <c r="K937" s="1593"/>
      <c r="L937" s="1593"/>
      <c r="M937" s="1593"/>
      <c r="N937" s="1593"/>
      <c r="O937" s="1593"/>
      <c r="P937" s="1593"/>
      <c r="Q937" s="1593"/>
      <c r="R937" s="1593"/>
      <c r="S937" s="1593"/>
      <c r="T937" s="1594"/>
      <c r="U937" s="1584" t="s">
        <v>299</v>
      </c>
      <c r="V937" s="1351"/>
      <c r="W937" s="1351"/>
      <c r="X937" s="1351"/>
      <c r="Y937" s="1351"/>
      <c r="Z937" s="1352"/>
      <c r="AA937" s="1585"/>
      <c r="AB937" s="1462"/>
      <c r="AC937" s="1462"/>
      <c r="AD937" s="1462"/>
      <c r="AE937" s="1462"/>
      <c r="AF937" s="1586"/>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2" customHeight="1">
      <c r="F938" s="1592" t="s">
        <v>1705</v>
      </c>
      <c r="G938" s="1593"/>
      <c r="H938" s="1593"/>
      <c r="I938" s="1593"/>
      <c r="J938" s="1593"/>
      <c r="K938" s="1593"/>
      <c r="L938" s="1593"/>
      <c r="M938" s="1593"/>
      <c r="N938" s="1593"/>
      <c r="O938" s="1593"/>
      <c r="P938" s="1593"/>
      <c r="Q938" s="1593"/>
      <c r="R938" s="1593"/>
      <c r="S938" s="1593"/>
      <c r="T938" s="1594"/>
      <c r="U938" s="1584" t="s">
        <v>299</v>
      </c>
      <c r="V938" s="1351"/>
      <c r="W938" s="1351"/>
      <c r="X938" s="1351"/>
      <c r="Y938" s="1351"/>
      <c r="Z938" s="1352"/>
      <c r="AA938" s="1585"/>
      <c r="AB938" s="1462"/>
      <c r="AC938" s="1462"/>
      <c r="AD938" s="1462"/>
      <c r="AE938" s="1462"/>
      <c r="AF938" s="1586"/>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2" customHeight="1">
      <c r="F939" s="1592" t="s">
        <v>1706</v>
      </c>
      <c r="G939" s="1593"/>
      <c r="H939" s="1593"/>
      <c r="I939" s="1593"/>
      <c r="J939" s="1593"/>
      <c r="K939" s="1593"/>
      <c r="L939" s="1593"/>
      <c r="M939" s="1593"/>
      <c r="N939" s="1593"/>
      <c r="O939" s="1593"/>
      <c r="P939" s="1593"/>
      <c r="Q939" s="1593"/>
      <c r="R939" s="1593"/>
      <c r="S939" s="1593"/>
      <c r="T939" s="1594"/>
      <c r="U939" s="1584" t="s">
        <v>299</v>
      </c>
      <c r="V939" s="1351"/>
      <c r="W939" s="1351"/>
      <c r="X939" s="1351"/>
      <c r="Y939" s="1351"/>
      <c r="Z939" s="1352"/>
      <c r="AA939" s="1585"/>
      <c r="AB939" s="1462"/>
      <c r="AC939" s="1462"/>
      <c r="AD939" s="1462"/>
      <c r="AE939" s="1462"/>
      <c r="AF939" s="1586"/>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2" customHeight="1">
      <c r="F940" s="88" t="s">
        <v>1707</v>
      </c>
      <c r="G940" s="5"/>
      <c r="H940" s="5"/>
      <c r="I940" s="5"/>
      <c r="J940" s="5"/>
      <c r="K940" s="5"/>
      <c r="L940" s="5"/>
      <c r="M940" s="5"/>
      <c r="N940" s="5"/>
      <c r="O940" s="5"/>
      <c r="P940" s="5"/>
      <c r="Q940" s="5"/>
      <c r="R940" s="5"/>
      <c r="S940" s="5"/>
      <c r="T940" s="39"/>
      <c r="U940" s="1584" t="s">
        <v>299</v>
      </c>
      <c r="V940" s="1351"/>
      <c r="W940" s="1351"/>
      <c r="X940" s="1351"/>
      <c r="Y940" s="1351"/>
      <c r="Z940" s="1352"/>
      <c r="AA940" s="1585"/>
      <c r="AB940" s="1462"/>
      <c r="AC940" s="1462"/>
      <c r="AD940" s="1462"/>
      <c r="AE940" s="1462"/>
      <c r="AF940" s="1586"/>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2" customHeight="1">
      <c r="F941" s="1581" t="s">
        <v>1708</v>
      </c>
      <c r="G941" s="1582"/>
      <c r="H941" s="1582"/>
      <c r="I941" s="1582"/>
      <c r="J941" s="1582"/>
      <c r="K941" s="1582"/>
      <c r="L941" s="1582"/>
      <c r="M941" s="1582"/>
      <c r="N941" s="1582"/>
      <c r="O941" s="1582"/>
      <c r="P941" s="1582"/>
      <c r="Q941" s="1582"/>
      <c r="R941" s="1582"/>
      <c r="S941" s="1582"/>
      <c r="T941" s="1583"/>
      <c r="U941" s="1584" t="s">
        <v>299</v>
      </c>
      <c r="V941" s="1351"/>
      <c r="W941" s="1351"/>
      <c r="X941" s="1351"/>
      <c r="Y941" s="1351"/>
      <c r="Z941" s="1352"/>
      <c r="AA941" s="1585"/>
      <c r="AB941" s="1462"/>
      <c r="AC941" s="1462"/>
      <c r="AD941" s="1462"/>
      <c r="AE941" s="1462"/>
      <c r="AF941" s="1586"/>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2" customHeight="1">
      <c r="F942" s="88" t="s">
        <v>1709</v>
      </c>
      <c r="G942" s="5"/>
      <c r="H942" s="5"/>
      <c r="I942" s="5"/>
      <c r="J942" s="5"/>
      <c r="K942" s="5"/>
      <c r="L942" s="5"/>
      <c r="M942" s="5"/>
      <c r="N942" s="5"/>
      <c r="O942" s="5"/>
      <c r="P942" s="5"/>
      <c r="Q942" s="5"/>
      <c r="R942" s="5"/>
      <c r="S942" s="5"/>
      <c r="T942" s="39"/>
      <c r="U942" s="1584" t="s">
        <v>299</v>
      </c>
      <c r="V942" s="1351"/>
      <c r="W942" s="1351"/>
      <c r="X942" s="1351"/>
      <c r="Y942" s="1351"/>
      <c r="Z942" s="1352"/>
      <c r="AA942" s="1585"/>
      <c r="AB942" s="1462"/>
      <c r="AC942" s="1462"/>
      <c r="AD942" s="1462"/>
      <c r="AE942" s="1462"/>
      <c r="AF942" s="1586"/>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2" customHeight="1">
      <c r="F943" s="1581" t="s">
        <v>1710</v>
      </c>
      <c r="G943" s="1582"/>
      <c r="H943" s="1582"/>
      <c r="I943" s="1582"/>
      <c r="J943" s="1582"/>
      <c r="K943" s="1582"/>
      <c r="L943" s="1582"/>
      <c r="M943" s="1582"/>
      <c r="N943" s="1582"/>
      <c r="O943" s="1582"/>
      <c r="P943" s="1582"/>
      <c r="Q943" s="1582"/>
      <c r="R943" s="1582"/>
      <c r="S943" s="1582"/>
      <c r="T943" s="1583"/>
      <c r="U943" s="1584" t="s">
        <v>299</v>
      </c>
      <c r="V943" s="1351"/>
      <c r="W943" s="1351"/>
      <c r="X943" s="1351"/>
      <c r="Y943" s="1351"/>
      <c r="Z943" s="1352"/>
      <c r="AA943" s="1585"/>
      <c r="AB943" s="1462"/>
      <c r="AC943" s="1462"/>
      <c r="AD943" s="1462"/>
      <c r="AE943" s="1462"/>
      <c r="AF943" s="1586"/>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2" customHeight="1">
      <c r="F944" s="38" t="s">
        <v>1711</v>
      </c>
      <c r="G944" s="5"/>
      <c r="H944" s="5"/>
      <c r="I944" s="5"/>
      <c r="J944" s="5"/>
      <c r="K944" s="5"/>
      <c r="L944" s="5"/>
      <c r="M944" s="5"/>
      <c r="N944" s="5"/>
      <c r="O944" s="5"/>
      <c r="P944" s="1584" t="s">
        <v>892</v>
      </c>
      <c r="Q944" s="1351"/>
      <c r="R944" s="1351"/>
      <c r="S944" s="1351"/>
      <c r="T944" s="1352"/>
      <c r="U944" s="1584" t="s">
        <v>299</v>
      </c>
      <c r="V944" s="1351"/>
      <c r="W944" s="1351"/>
      <c r="X944" s="1351"/>
      <c r="Y944" s="1351"/>
      <c r="Z944" s="1352"/>
      <c r="AA944" s="1585"/>
      <c r="AB944" s="1462"/>
      <c r="AC944" s="1462"/>
      <c r="AD944" s="1462"/>
      <c r="AE944" s="1462"/>
      <c r="AF944" s="1586"/>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2" customHeight="1">
      <c r="F945" s="1592" t="s">
        <v>1712</v>
      </c>
      <c r="G945" s="1593"/>
      <c r="H945" s="1594"/>
      <c r="I945" s="1569" t="s">
        <v>1406</v>
      </c>
      <c r="J945" s="1570"/>
      <c r="K945" s="1570"/>
      <c r="L945" s="1570"/>
      <c r="M945" s="1570"/>
      <c r="N945" s="1570"/>
      <c r="O945" s="1570"/>
      <c r="P945" s="1570"/>
      <c r="Q945" s="1570"/>
      <c r="R945" s="1570"/>
      <c r="S945" s="1570"/>
      <c r="T945" s="1571"/>
      <c r="U945" s="1584" t="s">
        <v>299</v>
      </c>
      <c r="V945" s="1351"/>
      <c r="W945" s="1351"/>
      <c r="X945" s="1351"/>
      <c r="Y945" s="1351"/>
      <c r="Z945" s="1352"/>
      <c r="AA945" s="1585"/>
      <c r="AB945" s="1462"/>
      <c r="AC945" s="1462"/>
      <c r="AD945" s="1462"/>
      <c r="AE945" s="1462"/>
      <c r="AF945" s="1586"/>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2" customHeight="1">
      <c r="F946" s="38" t="s">
        <v>1111</v>
      </c>
      <c r="G946" s="41"/>
      <c r="H946" s="41"/>
      <c r="I946" s="1569" t="s">
        <v>1406</v>
      </c>
      <c r="J946" s="1570"/>
      <c r="K946" s="1570"/>
      <c r="L946" s="1570"/>
      <c r="M946" s="1570"/>
      <c r="N946" s="1570"/>
      <c r="O946" s="1570"/>
      <c r="P946" s="1570"/>
      <c r="Q946" s="1570"/>
      <c r="R946" s="1570"/>
      <c r="S946" s="1570"/>
      <c r="T946" s="1571"/>
      <c r="U946" s="1584" t="s">
        <v>299</v>
      </c>
      <c r="V946" s="1351"/>
      <c r="W946" s="1351"/>
      <c r="X946" s="1351"/>
      <c r="Y946" s="1351"/>
      <c r="Z946" s="1352"/>
      <c r="AA946" s="1585"/>
      <c r="AB946" s="1462"/>
      <c r="AC946" s="1462"/>
      <c r="AD946" s="1462"/>
      <c r="AE946" s="1462"/>
      <c r="AF946" s="1586"/>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2" customHeight="1">
      <c r="F947" s="38" t="s">
        <v>1713</v>
      </c>
      <c r="G947" s="41"/>
      <c r="H947" s="41"/>
      <c r="I947" s="1569" t="s">
        <v>1406</v>
      </c>
      <c r="J947" s="1570"/>
      <c r="K947" s="1570"/>
      <c r="L947" s="1570"/>
      <c r="M947" s="1570"/>
      <c r="N947" s="1570"/>
      <c r="O947" s="1570"/>
      <c r="P947" s="1570"/>
      <c r="Q947" s="1570"/>
      <c r="R947" s="1570"/>
      <c r="S947" s="1570"/>
      <c r="T947" s="1571"/>
      <c r="U947" s="1584" t="s">
        <v>299</v>
      </c>
      <c r="V947" s="1351"/>
      <c r="W947" s="1351"/>
      <c r="X947" s="1351"/>
      <c r="Y947" s="1351"/>
      <c r="Z947" s="1352"/>
      <c r="AA947" s="1585"/>
      <c r="AB947" s="1462"/>
      <c r="AC947" s="1462"/>
      <c r="AD947" s="1462"/>
      <c r="AE947" s="1462"/>
      <c r="AF947" s="1586"/>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2" customHeight="1">
      <c r="F948" s="40" t="s">
        <v>232</v>
      </c>
      <c r="G948" s="41"/>
      <c r="H948" s="41"/>
      <c r="I948" s="1569" t="str">
        <f>C628</f>
        <v>VA Capital Contribution</v>
      </c>
      <c r="J948" s="1570"/>
      <c r="K948" s="1570"/>
      <c r="L948" s="1570"/>
      <c r="M948" s="1570"/>
      <c r="N948" s="1570"/>
      <c r="O948" s="1570"/>
      <c r="P948" s="1570"/>
      <c r="Q948" s="1570"/>
      <c r="R948" s="1570"/>
      <c r="S948" s="1570"/>
      <c r="T948" s="1571"/>
      <c r="U948" s="1584" t="s">
        <v>836</v>
      </c>
      <c r="V948" s="1351"/>
      <c r="W948" s="1351"/>
      <c r="X948" s="1351"/>
      <c r="Y948" s="1351"/>
      <c r="Z948" s="1352"/>
      <c r="AA948" s="1585">
        <f>AO628</f>
        <v>3600000</v>
      </c>
      <c r="AB948" s="1462"/>
      <c r="AC948" s="1462"/>
      <c r="AD948" s="1462"/>
      <c r="AE948" s="1462"/>
      <c r="AF948" s="1586"/>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2" customHeight="1">
      <c r="F949" s="40" t="s">
        <v>232</v>
      </c>
      <c r="G949" s="41"/>
      <c r="H949" s="41"/>
      <c r="I949" s="1569" t="str">
        <f>C629</f>
        <v>Philanthropic Funds (WLAVC)</v>
      </c>
      <c r="J949" s="1570"/>
      <c r="K949" s="1570"/>
      <c r="L949" s="1570"/>
      <c r="M949" s="1570"/>
      <c r="N949" s="1570"/>
      <c r="O949" s="1570"/>
      <c r="P949" s="1570"/>
      <c r="Q949" s="1570"/>
      <c r="R949" s="1570"/>
      <c r="S949" s="1570"/>
      <c r="T949" s="1571"/>
      <c r="U949" s="1584" t="s">
        <v>836</v>
      </c>
      <c r="V949" s="1351"/>
      <c r="W949" s="1351"/>
      <c r="X949" s="1351"/>
      <c r="Y949" s="1351"/>
      <c r="Z949" s="1352"/>
      <c r="AA949" s="1585">
        <f>AO629</f>
        <v>7650000</v>
      </c>
      <c r="AB949" s="1462"/>
      <c r="AC949" s="1462"/>
      <c r="AD949" s="1462"/>
      <c r="AE949" s="1462"/>
      <c r="AF949" s="1586"/>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2"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2" customHeight="1">
      <c r="A951" s="2" t="s">
        <v>960</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2" customHeight="1">
      <c r="B952" s="2"/>
      <c r="C952" s="20" t="s">
        <v>1714</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2"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2" customHeight="1">
      <c r="C954" s="88" t="s">
        <v>1715</v>
      </c>
      <c r="D954" s="5"/>
      <c r="E954" s="5"/>
      <c r="F954" s="5"/>
      <c r="G954" s="5"/>
      <c r="H954" s="5"/>
      <c r="I954" s="5"/>
      <c r="J954" s="5"/>
      <c r="K954" s="5"/>
      <c r="L954" s="39"/>
      <c r="M954" s="1613">
        <v>45489</v>
      </c>
      <c r="N954" s="1614"/>
      <c r="O954" s="1614"/>
      <c r="P954" s="1614"/>
      <c r="Q954" s="1614"/>
      <c r="R954" s="1614"/>
      <c r="S954" s="1615"/>
      <c r="U954" s="88" t="s">
        <v>1715</v>
      </c>
      <c r="V954" s="5"/>
      <c r="W954" s="5"/>
      <c r="X954" s="5"/>
      <c r="Y954" s="5"/>
      <c r="Z954" s="5"/>
      <c r="AA954" s="5"/>
      <c r="AB954" s="5"/>
      <c r="AC954" s="5"/>
      <c r="AD954" s="39"/>
      <c r="AE954" s="1613"/>
      <c r="AF954" s="1614"/>
      <c r="AG954" s="1614"/>
      <c r="AH954" s="1614"/>
      <c r="AI954" s="1614"/>
      <c r="AJ954" s="1614"/>
      <c r="AK954" s="1615"/>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2" customHeight="1">
      <c r="C955" s="88" t="s">
        <v>1716</v>
      </c>
      <c r="D955" s="5"/>
      <c r="E955" s="5"/>
      <c r="F955" s="5"/>
      <c r="G955" s="5"/>
      <c r="H955" s="5"/>
      <c r="I955" s="5"/>
      <c r="J955" s="5"/>
      <c r="K955" s="5"/>
      <c r="L955" s="39"/>
      <c r="M955" s="1692" t="s">
        <v>1717</v>
      </c>
      <c r="N955" s="1349"/>
      <c r="O955" s="1349"/>
      <c r="P955" s="1349"/>
      <c r="Q955" s="1349"/>
      <c r="R955" s="1349"/>
      <c r="S955" s="1693"/>
      <c r="U955" s="88" t="s">
        <v>1716</v>
      </c>
      <c r="V955" s="5"/>
      <c r="W955" s="5"/>
      <c r="X955" s="5"/>
      <c r="Y955" s="5"/>
      <c r="Z955" s="5"/>
      <c r="AA955" s="5"/>
      <c r="AB955" s="5"/>
      <c r="AC955" s="5"/>
      <c r="AD955" s="39"/>
      <c r="AE955" s="1692"/>
      <c r="AF955" s="1349"/>
      <c r="AG955" s="1349"/>
      <c r="AH955" s="1349"/>
      <c r="AI955" s="1349"/>
      <c r="AJ955" s="1349"/>
      <c r="AK955" s="169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2" customHeight="1">
      <c r="C956" s="88" t="s">
        <v>1718</v>
      </c>
      <c r="D956" s="5"/>
      <c r="E956" s="5"/>
      <c r="J956" s="1610" t="s">
        <v>1719</v>
      </c>
      <c r="K956" s="1611"/>
      <c r="L956" s="1611"/>
      <c r="M956" s="1611"/>
      <c r="N956" s="1611"/>
      <c r="O956" s="1611"/>
      <c r="P956" s="1611"/>
      <c r="Q956" s="1611"/>
      <c r="R956" s="1611"/>
      <c r="S956" s="1612"/>
      <c r="U956" s="88" t="s">
        <v>1718</v>
      </c>
      <c r="V956" s="5"/>
      <c r="W956" s="5"/>
      <c r="AB956" s="1610" t="s">
        <v>294</v>
      </c>
      <c r="AC956" s="1611"/>
      <c r="AD956" s="1611"/>
      <c r="AE956" s="1611"/>
      <c r="AF956" s="1611"/>
      <c r="AG956" s="1611"/>
      <c r="AH956" s="1611"/>
      <c r="AI956" s="1611"/>
      <c r="AJ956" s="1611"/>
      <c r="AK956" s="1612"/>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2" customHeight="1">
      <c r="C957" s="88" t="s">
        <v>1720</v>
      </c>
      <c r="D957" s="5"/>
      <c r="E957" s="5"/>
      <c r="F957" s="5"/>
      <c r="G957" s="5"/>
      <c r="H957" s="5"/>
      <c r="I957" s="5"/>
      <c r="J957" s="5"/>
      <c r="K957" s="5"/>
      <c r="L957" s="39"/>
      <c r="M957" s="1705">
        <v>1</v>
      </c>
      <c r="N957" s="1706"/>
      <c r="O957" s="1706"/>
      <c r="P957" s="1706"/>
      <c r="Q957" s="1706"/>
      <c r="R957" s="1706"/>
      <c r="S957" s="1707"/>
      <c r="U957" s="88" t="s">
        <v>1720</v>
      </c>
      <c r="V957" s="5"/>
      <c r="W957" s="5"/>
      <c r="X957" s="5"/>
      <c r="Y957" s="5"/>
      <c r="Z957" s="5"/>
      <c r="AA957" s="5"/>
      <c r="AB957" s="5"/>
      <c r="AC957" s="5"/>
      <c r="AD957" s="39"/>
      <c r="AE957" s="1708"/>
      <c r="AF957" s="1706"/>
      <c r="AG957" s="1706"/>
      <c r="AH957" s="1706"/>
      <c r="AI957" s="1706"/>
      <c r="AJ957" s="1706"/>
      <c r="AK957" s="1707"/>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2" customHeight="1">
      <c r="C958" s="88" t="s">
        <v>1721</v>
      </c>
      <c r="D958" s="5"/>
      <c r="E958" s="5"/>
      <c r="F958" s="5"/>
      <c r="G958" s="5"/>
      <c r="H958" s="5"/>
      <c r="I958" s="5"/>
      <c r="J958" s="5"/>
      <c r="K958" s="5"/>
      <c r="L958" s="39"/>
      <c r="M958" s="1603">
        <v>100</v>
      </c>
      <c r="N958" s="1561"/>
      <c r="O958" s="1561"/>
      <c r="P958" s="1561"/>
      <c r="Q958" s="1561"/>
      <c r="R958" s="1561"/>
      <c r="S958" s="1562"/>
      <c r="U958" s="88" t="s">
        <v>1721</v>
      </c>
      <c r="V958" s="5"/>
      <c r="W958" s="5"/>
      <c r="X958" s="5"/>
      <c r="Y958" s="5"/>
      <c r="Z958" s="5"/>
      <c r="AA958" s="5"/>
      <c r="AB958" s="5"/>
      <c r="AC958" s="5"/>
      <c r="AD958" s="39"/>
      <c r="AE958" s="1603"/>
      <c r="AF958" s="1561"/>
      <c r="AG958" s="1561"/>
      <c r="AH958" s="1561"/>
      <c r="AI958" s="1561"/>
      <c r="AJ958" s="1561"/>
      <c r="AK958" s="1562"/>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2" customHeight="1">
      <c r="C959" s="88" t="s">
        <v>1722</v>
      </c>
      <c r="D959" s="5"/>
      <c r="E959" s="5"/>
      <c r="F959" s="5"/>
      <c r="G959" s="5"/>
      <c r="H959" s="5"/>
      <c r="I959" s="5"/>
      <c r="J959" s="5"/>
      <c r="K959" s="5"/>
      <c r="L959" s="39"/>
      <c r="M959" s="1585">
        <f>'Subsidy Contract Calculation'!J40</f>
        <v>960744</v>
      </c>
      <c r="N959" s="1462"/>
      <c r="O959" s="1462"/>
      <c r="P959" s="1462"/>
      <c r="Q959" s="1462"/>
      <c r="R959" s="1462"/>
      <c r="S959" s="1586"/>
      <c r="U959" s="88" t="s">
        <v>1722</v>
      </c>
      <c r="V959" s="5"/>
      <c r="W959" s="5"/>
      <c r="X959" s="5"/>
      <c r="Y959" s="5"/>
      <c r="Z959" s="5"/>
      <c r="AA959" s="5"/>
      <c r="AB959" s="5"/>
      <c r="AC959" s="5"/>
      <c r="AD959" s="39"/>
      <c r="AE959" s="1585"/>
      <c r="AF959" s="1462"/>
      <c r="AG959" s="1462"/>
      <c r="AH959" s="1462"/>
      <c r="AI959" s="1462"/>
      <c r="AJ959" s="1462"/>
      <c r="AK959" s="1586"/>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2" customHeight="1">
      <c r="C960" s="88" t="s">
        <v>1723</v>
      </c>
      <c r="D960" s="5"/>
      <c r="E960" s="5"/>
      <c r="F960" s="5"/>
      <c r="G960" s="5"/>
      <c r="H960" s="5"/>
      <c r="I960" s="5"/>
      <c r="J960" s="5"/>
      <c r="K960" s="5"/>
      <c r="L960" s="39"/>
      <c r="M960" s="1585">
        <f>M959*M961</f>
        <v>19214880</v>
      </c>
      <c r="N960" s="1462"/>
      <c r="O960" s="1462"/>
      <c r="P960" s="1462"/>
      <c r="Q960" s="1462"/>
      <c r="R960" s="1462"/>
      <c r="S960" s="1586"/>
      <c r="U960" s="88" t="s">
        <v>1723</v>
      </c>
      <c r="V960" s="5"/>
      <c r="W960" s="5"/>
      <c r="X960" s="5"/>
      <c r="Y960" s="5"/>
      <c r="Z960" s="5"/>
      <c r="AA960" s="5"/>
      <c r="AB960" s="5"/>
      <c r="AC960" s="5"/>
      <c r="AD960" s="39"/>
      <c r="AE960" s="1585"/>
      <c r="AF960" s="1462"/>
      <c r="AG960" s="1462"/>
      <c r="AH960" s="1462"/>
      <c r="AI960" s="1462"/>
      <c r="AJ960" s="1462"/>
      <c r="AK960" s="1586"/>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2" customHeight="1">
      <c r="C961" s="88" t="s">
        <v>1296</v>
      </c>
      <c r="D961" s="5"/>
      <c r="E961" s="5"/>
      <c r="F961" s="5"/>
      <c r="G961" s="5"/>
      <c r="H961" s="5"/>
      <c r="I961" s="5"/>
      <c r="J961" s="5"/>
      <c r="K961" s="5"/>
      <c r="L961" s="39"/>
      <c r="M961" s="1631">
        <v>20</v>
      </c>
      <c r="N961" s="1632"/>
      <c r="O961" s="1632"/>
      <c r="P961" s="1632"/>
      <c r="Q961" s="1632"/>
      <c r="R961" s="1632"/>
      <c r="S961" s="1633"/>
      <c r="U961" s="88" t="s">
        <v>1296</v>
      </c>
      <c r="V961" s="5"/>
      <c r="W961" s="5"/>
      <c r="X961" s="5"/>
      <c r="Y961" s="5"/>
      <c r="Z961" s="5"/>
      <c r="AA961" s="5"/>
      <c r="AB961" s="5"/>
      <c r="AC961" s="5"/>
      <c r="AD961" s="39"/>
      <c r="AE961" s="1631"/>
      <c r="AF961" s="1632"/>
      <c r="AG961" s="1632"/>
      <c r="AH961" s="1632"/>
      <c r="AI961" s="1632"/>
      <c r="AJ961" s="1632"/>
      <c r="AK961" s="1633"/>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2"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2" customHeight="1">
      <c r="A963" s="2" t="s">
        <v>1038</v>
      </c>
      <c r="C963" s="2" t="s">
        <v>1724</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2" customHeight="1">
      <c r="A964"/>
      <c r="B964" s="2"/>
      <c r="C964" s="20" t="s">
        <v>1725</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2"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6"/>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2" customHeight="1">
      <c r="A966"/>
      <c r="B966"/>
      <c r="C966"/>
      <c r="D966"/>
      <c r="E966"/>
      <c r="F966" s="38" t="s">
        <v>1726</v>
      </c>
      <c r="G966" s="5"/>
      <c r="H966" s="5"/>
      <c r="I966" s="5"/>
      <c r="J966" s="5"/>
      <c r="K966" s="5"/>
      <c r="L966" s="39"/>
      <c r="M966" s="1607"/>
      <c r="N966" s="1608"/>
      <c r="O966" s="1608"/>
      <c r="P966" s="1608"/>
      <c r="Q966" s="1608"/>
      <c r="R966" s="1608"/>
      <c r="S966" s="1609"/>
      <c r="T966" s="88" t="s">
        <v>1727</v>
      </c>
      <c r="U966" s="5"/>
      <c r="V966" s="5"/>
      <c r="W966" s="5"/>
      <c r="X966" s="5"/>
      <c r="Y966" s="5"/>
      <c r="Z966" s="39"/>
      <c r="AA966" s="1607"/>
      <c r="AB966" s="1608"/>
      <c r="AC966" s="1608"/>
      <c r="AD966" s="1608"/>
      <c r="AE966" s="1608"/>
      <c r="AF966" s="1608"/>
      <c r="AG966" s="1609"/>
      <c r="AH966"/>
      <c r="AI966"/>
      <c r="AJ966"/>
      <c r="AK966"/>
      <c r="AL966"/>
      <c r="AM966"/>
      <c r="AN966"/>
      <c r="AO966"/>
      <c r="AP966"/>
      <c r="AQ966"/>
      <c r="AR966"/>
      <c r="AS966"/>
      <c r="AT966"/>
      <c r="AU966" s="1176"/>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2" customHeight="1">
      <c r="A967"/>
      <c r="B967"/>
      <c r="C967"/>
      <c r="D967"/>
      <c r="E967"/>
      <c r="F967" s="38" t="s">
        <v>1728</v>
      </c>
      <c r="G967" s="5"/>
      <c r="H967" s="5"/>
      <c r="I967" s="5"/>
      <c r="J967" s="5"/>
      <c r="K967" s="5"/>
      <c r="L967" s="39"/>
      <c r="M967" s="1607"/>
      <c r="N967" s="1608"/>
      <c r="O967" s="1608"/>
      <c r="P967" s="1608"/>
      <c r="Q967" s="1608"/>
      <c r="R967" s="1608"/>
      <c r="S967" s="1609"/>
      <c r="T967" s="88" t="s">
        <v>1729</v>
      </c>
      <c r="U967" s="5"/>
      <c r="V967" s="5"/>
      <c r="W967" s="5"/>
      <c r="X967" s="5"/>
      <c r="Y967" s="5"/>
      <c r="Z967" s="39"/>
      <c r="AA967" s="1607"/>
      <c r="AB967" s="1608"/>
      <c r="AC967" s="1608"/>
      <c r="AD967" s="1608"/>
      <c r="AE967" s="1608"/>
      <c r="AF967" s="1608"/>
      <c r="AG967" s="1609"/>
      <c r="AH967"/>
      <c r="AI967"/>
      <c r="AJ967"/>
      <c r="AK967"/>
      <c r="AL967"/>
      <c r="AM967"/>
      <c r="AN967"/>
      <c r="AO967"/>
      <c r="AP967"/>
      <c r="AQ967"/>
      <c r="AR967"/>
      <c r="AS967"/>
      <c r="AT967"/>
      <c r="AU967" s="1176"/>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2" customHeight="1">
      <c r="A968"/>
      <c r="B968"/>
      <c r="C968"/>
      <c r="D968"/>
      <c r="E968"/>
      <c r="F968" s="38" t="s">
        <v>1730</v>
      </c>
      <c r="G968" s="5"/>
      <c r="H968" s="5"/>
      <c r="I968" s="5"/>
      <c r="J968" s="5"/>
      <c r="K968" s="5"/>
      <c r="L968" s="39"/>
      <c r="M968" s="1711" t="s">
        <v>299</v>
      </c>
      <c r="N968" s="1712"/>
      <c r="O968" s="1712"/>
      <c r="P968" s="1712"/>
      <c r="Q968" s="1712"/>
      <c r="R968" s="1712"/>
      <c r="S968" s="1713"/>
      <c r="T968" s="38" t="s">
        <v>1731</v>
      </c>
      <c r="U968" s="5"/>
      <c r="V968" s="5"/>
      <c r="W968" s="5"/>
      <c r="X968" s="5"/>
      <c r="Y968" s="5"/>
      <c r="Z968" s="39"/>
      <c r="AA968" s="1607"/>
      <c r="AB968" s="1608"/>
      <c r="AC968" s="1608"/>
      <c r="AD968" s="1608"/>
      <c r="AE968" s="1608"/>
      <c r="AF968" s="1608"/>
      <c r="AG968" s="1609"/>
      <c r="AH968"/>
      <c r="AI968"/>
      <c r="AJ968"/>
      <c r="AK968"/>
      <c r="AL968"/>
      <c r="AM968"/>
      <c r="AN968"/>
      <c r="AO968"/>
      <c r="AP968"/>
      <c r="AQ968"/>
      <c r="AR968"/>
      <c r="AS968"/>
      <c r="AT968"/>
      <c r="AU968" s="1176"/>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2" customHeight="1">
      <c r="A969"/>
      <c r="B969"/>
      <c r="C969"/>
      <c r="D969"/>
      <c r="E969"/>
      <c r="F969" s="38" t="s">
        <v>1732</v>
      </c>
      <c r="G969" s="5"/>
      <c r="H969" s="5"/>
      <c r="I969" s="5"/>
      <c r="J969" s="5"/>
      <c r="K969" s="5"/>
      <c r="L969" s="39"/>
      <c r="M969" s="1607"/>
      <c r="N969" s="1608"/>
      <c r="O969" s="1608"/>
      <c r="P969" s="1608"/>
      <c r="Q969" s="1608"/>
      <c r="R969" s="1608"/>
      <c r="S969" s="1609"/>
      <c r="T969" s="38" t="s">
        <v>1733</v>
      </c>
      <c r="U969" s="5"/>
      <c r="V969" s="5"/>
      <c r="W969" s="5"/>
      <c r="X969" s="5"/>
      <c r="Y969" s="5"/>
      <c r="Z969" s="39"/>
      <c r="AA969" s="1607"/>
      <c r="AB969" s="1608"/>
      <c r="AC969" s="1608"/>
      <c r="AD969" s="1608"/>
      <c r="AE969" s="1608"/>
      <c r="AF969" s="1608"/>
      <c r="AG969" s="1609"/>
      <c r="AH969"/>
      <c r="AI969"/>
      <c r="AJ969"/>
      <c r="AK969"/>
      <c r="AL969"/>
      <c r="AM969"/>
      <c r="AN969"/>
      <c r="AO969"/>
      <c r="AP969"/>
      <c r="AQ969"/>
      <c r="AR969"/>
      <c r="AS969"/>
      <c r="AT969"/>
      <c r="AU969" s="1176"/>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2" customHeight="1">
      <c r="A970"/>
      <c r="B970"/>
      <c r="C970"/>
      <c r="D970"/>
      <c r="E970"/>
      <c r="F970" s="38" t="s">
        <v>1734</v>
      </c>
      <c r="G970" s="5"/>
      <c r="H970" s="5"/>
      <c r="I970" s="5"/>
      <c r="J970" s="5"/>
      <c r="K970" s="5"/>
      <c r="L970" s="39"/>
      <c r="M970" s="1607"/>
      <c r="N970" s="1608"/>
      <c r="O970" s="1608"/>
      <c r="P970" s="1608"/>
      <c r="Q970" s="1608"/>
      <c r="R970" s="1608"/>
      <c r="S970" s="1609"/>
      <c r="T970" s="38" t="s">
        <v>1735</v>
      </c>
      <c r="U970" s="5"/>
      <c r="V970" s="5"/>
      <c r="W970" s="5"/>
      <c r="X970" s="5"/>
      <c r="Y970" s="5"/>
      <c r="Z970" s="39"/>
      <c r="AA970" s="1607"/>
      <c r="AB970" s="1608"/>
      <c r="AC970" s="1608"/>
      <c r="AD970" s="1608"/>
      <c r="AE970" s="1608"/>
      <c r="AF970" s="1608"/>
      <c r="AG970" s="1609"/>
      <c r="AH970"/>
      <c r="AI970"/>
      <c r="AJ970"/>
      <c r="AK970"/>
      <c r="AL970"/>
      <c r="AM970"/>
      <c r="AN970"/>
      <c r="AO970"/>
      <c r="AP970"/>
      <c r="AQ970"/>
      <c r="AR970"/>
      <c r="AS970"/>
      <c r="AT970"/>
      <c r="AU970" s="1176"/>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2" customHeight="1">
      <c r="A971"/>
      <c r="B971"/>
      <c r="C971"/>
      <c r="D971"/>
      <c r="E971"/>
      <c r="F971" s="1177" t="s">
        <v>1718</v>
      </c>
      <c r="G971" s="35"/>
      <c r="H971" s="35"/>
      <c r="I971" s="35"/>
      <c r="J971" s="35"/>
      <c r="K971" s="35"/>
      <c r="L971" s="51"/>
      <c r="M971" s="1610" t="s">
        <v>294</v>
      </c>
      <c r="N971" s="1611"/>
      <c r="O971" s="1611"/>
      <c r="P971" s="1611"/>
      <c r="Q971" s="1611"/>
      <c r="R971" s="1611"/>
      <c r="S971" s="1612"/>
      <c r="T971" s="1689"/>
      <c r="U971" s="1690"/>
      <c r="V971" s="1690"/>
      <c r="W971" s="1690"/>
      <c r="X971" s="1690"/>
      <c r="Y971" s="1690"/>
      <c r="Z971" s="1691"/>
      <c r="AA971" s="1607"/>
      <c r="AB971" s="1608"/>
      <c r="AC971" s="1608"/>
      <c r="AD971" s="1608"/>
      <c r="AE971" s="1608"/>
      <c r="AF971" s="1608"/>
      <c r="AG971" s="1609"/>
      <c r="AH971"/>
      <c r="AI971"/>
      <c r="AJ971"/>
      <c r="AK971"/>
      <c r="AL971"/>
      <c r="AM971"/>
      <c r="AN971"/>
      <c r="AO971"/>
      <c r="AP971"/>
      <c r="AQ971"/>
      <c r="AR971"/>
      <c r="AS971"/>
      <c r="AT971"/>
      <c r="AU971" s="1176"/>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2" customHeight="1">
      <c r="A972"/>
      <c r="B972"/>
      <c r="C972"/>
      <c r="D972"/>
      <c r="E972"/>
      <c r="F972" s="34" t="s">
        <v>1736</v>
      </c>
      <c r="G972" s="35"/>
      <c r="H972" s="35"/>
      <c r="I972" s="35"/>
      <c r="J972" s="35"/>
      <c r="K972" s="35"/>
      <c r="L972" s="51"/>
      <c r="M972" s="1607"/>
      <c r="N972" s="1608"/>
      <c r="O972" s="1608"/>
      <c r="P972" s="1608"/>
      <c r="Q972" s="1608"/>
      <c r="R972" s="1608"/>
      <c r="S972" s="1609"/>
      <c r="T972" s="1689"/>
      <c r="U972" s="1690"/>
      <c r="V972" s="1690"/>
      <c r="W972" s="1690"/>
      <c r="X972" s="1690"/>
      <c r="Y972" s="1690"/>
      <c r="Z972" s="1691"/>
      <c r="AA972" s="1607"/>
      <c r="AB972" s="1608"/>
      <c r="AC972" s="1608"/>
      <c r="AD972" s="1608"/>
      <c r="AE972" s="1608"/>
      <c r="AF972" s="1608"/>
      <c r="AG972" s="1609"/>
      <c r="AH972"/>
      <c r="AI972"/>
      <c r="AJ972"/>
      <c r="AK972"/>
      <c r="AL972"/>
      <c r="AM972"/>
      <c r="AN972"/>
      <c r="AO972"/>
      <c r="AP972"/>
      <c r="AQ972"/>
      <c r="AR972"/>
      <c r="AS972"/>
      <c r="AT972"/>
      <c r="AU972" s="1176"/>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2" customHeight="1">
      <c r="F973" s="34" t="s">
        <v>1737</v>
      </c>
      <c r="G973" s="35"/>
      <c r="H973" s="35"/>
      <c r="I973" s="35"/>
      <c r="J973" s="35"/>
      <c r="K973" s="35"/>
      <c r="L973" s="35"/>
      <c r="M973" s="35"/>
      <c r="N973" s="35"/>
      <c r="O973" s="1399" t="s">
        <v>892</v>
      </c>
      <c r="P973" s="1400"/>
      <c r="Q973" s="68"/>
      <c r="R973" s="68"/>
      <c r="S973" s="69"/>
      <c r="T973" s="34" t="s">
        <v>232</v>
      </c>
      <c r="U973" s="35"/>
      <c r="V973" s="35"/>
      <c r="W973" s="1604" t="s">
        <v>1406</v>
      </c>
      <c r="X973" s="1605"/>
      <c r="Y973" s="1605"/>
      <c r="Z973" s="1605"/>
      <c r="AA973" s="1605"/>
      <c r="AB973" s="1605"/>
      <c r="AC973" s="1605"/>
      <c r="AD973" s="1605"/>
      <c r="AE973" s="1605"/>
      <c r="AF973" s="1605"/>
      <c r="AG973" s="1606"/>
      <c r="AU973" s="1176"/>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2" customHeight="1">
      <c r="F974" s="1551" t="s">
        <v>1738</v>
      </c>
      <c r="G974" s="1449"/>
      <c r="H974" s="1449"/>
      <c r="I974" s="1449"/>
      <c r="J974" s="1449"/>
      <c r="K974" s="1449"/>
      <c r="L974" s="1449"/>
      <c r="M974" s="1607"/>
      <c r="N974" s="1608"/>
      <c r="O974" s="1608"/>
      <c r="P974" s="1608"/>
      <c r="Q974" s="1608"/>
      <c r="R974" s="1608"/>
      <c r="S974" s="1609"/>
      <c r="T974" s="40"/>
      <c r="U974" s="41"/>
      <c r="V974" s="41"/>
      <c r="W974" s="41"/>
      <c r="X974" s="41"/>
      <c r="Y974" s="41"/>
      <c r="Z974" s="91" t="s">
        <v>1739</v>
      </c>
      <c r="AA974" s="1700"/>
      <c r="AB974" s="1701"/>
      <c r="AC974" s="1701"/>
      <c r="AD974" s="1701"/>
      <c r="AE974" s="1701"/>
      <c r="AF974" s="1701"/>
      <c r="AG974" s="1702"/>
      <c r="AU974" s="1176"/>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2" customHeight="1">
      <c r="AU975" s="1176"/>
      <c r="AV975" s="1176"/>
      <c r="AW975" s="1176"/>
      <c r="AX975" s="1176"/>
      <c r="AY975" s="1176"/>
      <c r="AZ975" s="14"/>
      <c r="BA975" s="14"/>
      <c r="BB975" s="14"/>
      <c r="BC975" s="14"/>
      <c r="BD975" s="14"/>
      <c r="BE975" s="14"/>
      <c r="BF975" s="14"/>
      <c r="BG975" s="1568"/>
      <c r="BH975" s="1568"/>
      <c r="BI975" s="1568"/>
      <c r="BJ975" s="1568"/>
      <c r="BK975" s="1568"/>
      <c r="BL975" s="1568"/>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2" customHeight="1">
      <c r="AU976" s="1176"/>
      <c r="AV976" s="1176"/>
      <c r="AW976" s="1176"/>
      <c r="AX976" s="1176"/>
      <c r="AY976" s="1176"/>
      <c r="AZ976" s="14"/>
      <c r="BA976" s="14"/>
      <c r="BB976" s="833"/>
      <c r="BC976" s="833"/>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2" customHeight="1">
      <c r="AU977" s="1176"/>
      <c r="AV977" s="1176"/>
      <c r="AW977" s="1176"/>
      <c r="AX977" s="1176"/>
      <c r="AY977" s="1176"/>
      <c r="AZ977" s="14"/>
      <c r="BA977" s="14"/>
      <c r="BB977" s="833"/>
      <c r="BC977" s="833"/>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2" customHeight="1">
      <c r="A978" s="1478" t="s">
        <v>1740</v>
      </c>
      <c r="B978" s="1478"/>
      <c r="C978" s="1478"/>
      <c r="D978" s="1478"/>
      <c r="E978" s="1478"/>
      <c r="F978" s="1478"/>
      <c r="G978" s="1478"/>
      <c r="H978" s="1478"/>
      <c r="I978" s="1478"/>
      <c r="J978" s="1478"/>
      <c r="K978" s="1478"/>
      <c r="L978" s="1478"/>
      <c r="M978" s="1478"/>
      <c r="N978" s="1478"/>
      <c r="O978" s="1478"/>
      <c r="P978" s="1478"/>
      <c r="Q978" s="1478"/>
      <c r="R978" s="1478"/>
      <c r="S978" s="1478"/>
      <c r="T978" s="1478"/>
      <c r="U978" s="1478"/>
      <c r="V978" s="1478"/>
      <c r="W978" s="1478"/>
      <c r="X978" s="1478"/>
      <c r="Y978" s="1478"/>
      <c r="Z978" s="1478"/>
      <c r="AA978" s="1478"/>
      <c r="AB978" s="1478"/>
      <c r="AC978" s="1478"/>
      <c r="AD978" s="1478"/>
      <c r="AE978" s="1478"/>
      <c r="AF978" s="1478"/>
      <c r="AG978" s="1478"/>
      <c r="AH978" s="1478"/>
      <c r="AI978" s="1478"/>
      <c r="AJ978" s="1478"/>
      <c r="AK978" s="1478"/>
      <c r="AL978" s="1478"/>
      <c r="AM978" s="1478"/>
      <c r="AN978" s="1478"/>
      <c r="AO978" s="1478"/>
      <c r="AP978" s="1478"/>
      <c r="AQ978" s="1478"/>
      <c r="AR978" s="1478"/>
      <c r="AS978" s="1478"/>
      <c r="AT978" s="1478"/>
      <c r="AU978" s="1176"/>
      <c r="AV978" s="1176"/>
      <c r="AW978" s="1176"/>
      <c r="AX978" s="1176"/>
      <c r="AY978" s="1176"/>
      <c r="AZ978" s="14"/>
      <c r="BA978" s="14"/>
      <c r="BB978" s="833"/>
      <c r="BC978" s="833"/>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2" customHeight="1">
      <c r="A979" s="1478"/>
      <c r="B979" s="1478"/>
      <c r="C979" s="1478"/>
      <c r="D979" s="1478"/>
      <c r="E979" s="1478"/>
      <c r="F979" s="1478"/>
      <c r="G979" s="1478"/>
      <c r="H979" s="1478"/>
      <c r="I979" s="1478"/>
      <c r="J979" s="1478"/>
      <c r="K979" s="1478"/>
      <c r="L979" s="1478"/>
      <c r="M979" s="1478"/>
      <c r="N979" s="1478"/>
      <c r="O979" s="1478"/>
      <c r="P979" s="1478"/>
      <c r="Q979" s="1478"/>
      <c r="R979" s="1478"/>
      <c r="S979" s="1478"/>
      <c r="T979" s="1478"/>
      <c r="U979" s="1478"/>
      <c r="V979" s="1478"/>
      <c r="W979" s="1478"/>
      <c r="X979" s="1478"/>
      <c r="Y979" s="1478"/>
      <c r="Z979" s="1478"/>
      <c r="AA979" s="1478"/>
      <c r="AB979" s="1478"/>
      <c r="AC979" s="1478"/>
      <c r="AD979" s="1478"/>
      <c r="AE979" s="1478"/>
      <c r="AF979" s="1478"/>
      <c r="AG979" s="1478"/>
      <c r="AH979" s="1478"/>
      <c r="AI979" s="1478"/>
      <c r="AJ979" s="1478"/>
      <c r="AK979" s="1478"/>
      <c r="AL979" s="1478"/>
      <c r="AM979" s="1478"/>
      <c r="AN979" s="1478"/>
      <c r="AO979" s="1478"/>
      <c r="AP979" s="1478"/>
      <c r="AQ979" s="1478"/>
      <c r="AR979" s="1478"/>
      <c r="AS979" s="1478"/>
      <c r="AT979" s="1478"/>
      <c r="AU979" s="1176"/>
      <c r="AV979" s="1176"/>
      <c r="AW979" s="1176"/>
      <c r="AX979" s="1176"/>
      <c r="AY979" s="1176"/>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2" customHeight="1">
      <c r="A980" s="1478"/>
      <c r="B980" s="1478"/>
      <c r="C980" s="1478"/>
      <c r="D980" s="1478"/>
      <c r="E980" s="1478"/>
      <c r="F980" s="1478"/>
      <c r="G980" s="1478"/>
      <c r="H980" s="1478"/>
      <c r="I980" s="1478"/>
      <c r="J980" s="1478"/>
      <c r="K980" s="1478"/>
      <c r="L980" s="1478"/>
      <c r="M980" s="1478"/>
      <c r="N980" s="1478"/>
      <c r="O980" s="1478"/>
      <c r="P980" s="1478"/>
      <c r="Q980" s="1478"/>
      <c r="R980" s="1478"/>
      <c r="S980" s="1478"/>
      <c r="T980" s="1478"/>
      <c r="U980" s="1478"/>
      <c r="V980" s="1478"/>
      <c r="W980" s="1478"/>
      <c r="X980" s="1478"/>
      <c r="Y980" s="1478"/>
      <c r="Z980" s="1478"/>
      <c r="AA980" s="1478"/>
      <c r="AB980" s="1478"/>
      <c r="AC980" s="1478"/>
      <c r="AD980" s="1478"/>
      <c r="AE980" s="1478"/>
      <c r="AF980" s="1478"/>
      <c r="AG980" s="1478"/>
      <c r="AH980" s="1478"/>
      <c r="AI980" s="1478"/>
      <c r="AJ980" s="1478"/>
      <c r="AK980" s="1478"/>
      <c r="AL980" s="1478"/>
      <c r="AM980" s="1478"/>
      <c r="AN980" s="1478"/>
      <c r="AO980" s="1478"/>
      <c r="AP980" s="1478"/>
      <c r="AQ980" s="1478"/>
      <c r="AR980" s="1478"/>
      <c r="AS980" s="1478"/>
      <c r="AT980" s="1478"/>
      <c r="AU980" s="1176"/>
      <c r="AV980" s="1176"/>
      <c r="AW980" s="1176"/>
      <c r="AX980" s="1176"/>
      <c r="AY980" s="1176"/>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2"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6"/>
      <c r="AM981" s="1176"/>
      <c r="AN981" s="1176"/>
      <c r="AO981" s="1176"/>
      <c r="AP981" s="1176"/>
      <c r="AQ981" s="1176"/>
      <c r="AR981" s="1176"/>
      <c r="AS981" s="1176"/>
      <c r="AT981" s="1176"/>
      <c r="AU981" s="1176"/>
      <c r="AV981" s="1176"/>
      <c r="AW981" s="1176"/>
      <c r="AX981" s="1176"/>
      <c r="AY981" s="1176"/>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2" customHeight="1">
      <c r="A982" s="2" t="s">
        <v>919</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6"/>
      <c r="AM982" s="1176"/>
      <c r="AN982" s="1176"/>
      <c r="AO982" s="1176"/>
      <c r="AP982" s="1176"/>
      <c r="AQ982" s="1176"/>
      <c r="AR982" s="1176"/>
      <c r="AS982" s="1176"/>
      <c r="AT982" s="1176"/>
      <c r="AU982" s="1176"/>
      <c r="AV982" s="1176"/>
      <c r="AW982" s="1176"/>
      <c r="AX982" s="1176"/>
      <c r="AY982" s="1176"/>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2"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6"/>
      <c r="AM983" s="1176"/>
      <c r="AN983" s="1176"/>
      <c r="AO983" s="1176"/>
      <c r="AP983" s="1176"/>
      <c r="AQ983" s="1176"/>
      <c r="AR983" s="1176"/>
      <c r="AS983" s="1176"/>
      <c r="AT983" s="1176"/>
      <c r="AU983" s="1176"/>
      <c r="AV983" s="1176"/>
      <c r="AW983" s="1176"/>
      <c r="AX983" s="1176"/>
      <c r="AY983" s="1176"/>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2" customHeight="1">
      <c r="A984" s="14"/>
      <c r="B984" s="62"/>
      <c r="C984" s="1178"/>
      <c r="D984" s="1595" t="s">
        <v>1741</v>
      </c>
      <c r="E984" s="1596"/>
      <c r="F984" s="1596"/>
      <c r="G984" s="1596"/>
      <c r="H984" s="1596"/>
      <c r="I984" s="1596"/>
      <c r="J984" s="1596"/>
      <c r="K984" s="1596"/>
      <c r="L984" s="1596"/>
      <c r="M984" s="1596"/>
      <c r="N984" s="1596"/>
      <c r="O984" s="1596"/>
      <c r="P984" s="1596"/>
      <c r="Q984" s="1597"/>
      <c r="R984" s="1595" t="s">
        <v>1742</v>
      </c>
      <c r="S984" s="1596"/>
      <c r="T984" s="1596"/>
      <c r="U984" s="1596"/>
      <c r="V984" s="1596"/>
      <c r="W984" s="1596"/>
      <c r="X984" s="1596"/>
      <c r="Y984" s="1596"/>
      <c r="Z984" s="1596"/>
      <c r="AA984" s="1597"/>
      <c r="AB984" s="1595" t="s">
        <v>1743</v>
      </c>
      <c r="AC984" s="1596"/>
      <c r="AD984" s="1596"/>
      <c r="AE984" s="1596"/>
      <c r="AF984" s="1596"/>
      <c r="AG984" s="1596"/>
      <c r="AH984" s="1596"/>
      <c r="AI984" s="1597"/>
      <c r="AJ984" s="1595" t="s">
        <v>1744</v>
      </c>
      <c r="AK984" s="1596"/>
      <c r="AL984" s="1596"/>
      <c r="AM984" s="1596"/>
      <c r="AN984" s="1596"/>
      <c r="AO984" s="1596"/>
      <c r="AP984" s="1596"/>
      <c r="AQ984" s="1597"/>
      <c r="AR984" s="1176"/>
      <c r="AS984" s="1176"/>
      <c r="AT984" s="1176"/>
      <c r="AU984" s="1176"/>
      <c r="AV984" s="1176"/>
      <c r="AW984" s="1176"/>
      <c r="AX984" s="1176"/>
      <c r="AY984" s="1176"/>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2" customHeight="1">
      <c r="A985" s="14"/>
      <c r="B985" s="59"/>
      <c r="C985" s="848"/>
      <c r="D985" s="1454" t="s">
        <v>1503</v>
      </c>
      <c r="E985" s="1455"/>
      <c r="F985" s="1455"/>
      <c r="G985" s="1455"/>
      <c r="H985" s="1455"/>
      <c r="I985" s="1455"/>
      <c r="J985" s="1455"/>
      <c r="K985" s="1455"/>
      <c r="L985" s="1455"/>
      <c r="M985" s="1455"/>
      <c r="N985" s="1455"/>
      <c r="O985" s="1455"/>
      <c r="P985" s="1455"/>
      <c r="Q985" s="1456"/>
      <c r="R985" s="1630">
        <f>IF(ISNA(IF($BN$796="4%",(INDEX($BP$806:$BT$863,MATCH($CB$796,$BO$806:$BO$863,0),MATCH(D985,$BP$805:$BT$805,0))),(INDEX($BW$806:$CA$863,MATCH($CB$796,$BV$806:$BV$863,0),MATCH(D985,$BW$805:$CA$805,0))))),0,IF($BN$796="4%",(INDEX($BP$806:$BT$863,MATCH($CB$796,$BO$806:$BO$863,0),MATCH(D985,$BP$805:$BT$805,0))),(INDEX($BW$806:$CA$863,MATCH($CB$796,$BV$806:$BV$863,0),MATCH(D985,$BW$805:$CA$805,0)))))</f>
        <v>437727</v>
      </c>
      <c r="S985" s="1630"/>
      <c r="T985" s="1630"/>
      <c r="U985" s="1630"/>
      <c r="V985" s="1630"/>
      <c r="W985" s="1630"/>
      <c r="X985" s="1630"/>
      <c r="Y985" s="1630"/>
      <c r="Z985" s="1630"/>
      <c r="AA985" s="1630"/>
      <c r="AB985" s="1598">
        <f>BN660</f>
        <v>0</v>
      </c>
      <c r="AC985" s="1599"/>
      <c r="AD985" s="1599"/>
      <c r="AE985" s="1599"/>
      <c r="AF985" s="1599"/>
      <c r="AG985" s="1599"/>
      <c r="AH985" s="1599"/>
      <c r="AI985" s="1600"/>
      <c r="AJ985" s="1634">
        <f>IF(ISERROR((R985*AB985)),0,(R985*AB985))</f>
        <v>0</v>
      </c>
      <c r="AK985" s="1635"/>
      <c r="AL985" s="1635"/>
      <c r="AM985" s="1635"/>
      <c r="AN985" s="1635"/>
      <c r="AO985" s="1635"/>
      <c r="AP985" s="1635"/>
      <c r="AQ985" s="1636"/>
      <c r="AR985" s="1176"/>
      <c r="AS985" s="1176"/>
      <c r="AT985" s="1176"/>
      <c r="AU985" s="1176"/>
      <c r="AV985" s="1176"/>
      <c r="AW985" s="1176"/>
      <c r="AX985" s="1176"/>
      <c r="AY985" s="1176"/>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2" customHeight="1">
      <c r="A986" s="14"/>
      <c r="B986" s="59"/>
      <c r="C986" s="63"/>
      <c r="D986" s="1454" t="s">
        <v>1381</v>
      </c>
      <c r="E986" s="1455"/>
      <c r="F986" s="1455"/>
      <c r="G986" s="1455"/>
      <c r="H986" s="1455"/>
      <c r="I986" s="1455"/>
      <c r="J986" s="1455"/>
      <c r="K986" s="1455"/>
      <c r="L986" s="1455"/>
      <c r="M986" s="1455"/>
      <c r="N986" s="1455"/>
      <c r="O986" s="1455"/>
      <c r="P986" s="1455"/>
      <c r="Q986" s="1456"/>
      <c r="R986" s="1630">
        <f>IF(ISNA(IF($BN$796="4%",(INDEX($BP$806:$BT$863,MATCH($CB$796,$BO$806:$BO$863,0),MATCH(D986,$BP$805:$BT$805,0))),(INDEX($BW$806:$CA$863,MATCH($CB$796,$BV$806:$BV$863,0),MATCH(D986,$BW$805:$CA$805,0))))),0,IF($BN$796="4%",(INDEX($BP$806:$BT$863,MATCH($CB$796,$BO$806:$BO$863,0),MATCH(D986,$BP$805:$BT$805,0))),(INDEX($BW$806:$CA$863,MATCH($CB$796,$BV$806:$BV$863,0),MATCH(D986,$BW$805:$CA$805,0)))))</f>
        <v>504695</v>
      </c>
      <c r="S986" s="1630"/>
      <c r="T986" s="1630"/>
      <c r="U986" s="1630"/>
      <c r="V986" s="1630"/>
      <c r="W986" s="1630"/>
      <c r="X986" s="1630"/>
      <c r="Y986" s="1630"/>
      <c r="Z986" s="1630"/>
      <c r="AA986" s="1630"/>
      <c r="AB986" s="1598">
        <f>BS660</f>
        <v>97</v>
      </c>
      <c r="AC986" s="1599"/>
      <c r="AD986" s="1599"/>
      <c r="AE986" s="1599"/>
      <c r="AF986" s="1599"/>
      <c r="AG986" s="1599"/>
      <c r="AH986" s="1599"/>
      <c r="AI986" s="1600"/>
      <c r="AJ986" s="1634">
        <f>IF(ISERROR((R986*AB986)),0,(R986*AB986))</f>
        <v>48955415</v>
      </c>
      <c r="AK986" s="1635"/>
      <c r="AL986" s="1635"/>
      <c r="AM986" s="1635"/>
      <c r="AN986" s="1635"/>
      <c r="AO986" s="1635"/>
      <c r="AP986" s="1635"/>
      <c r="AQ986" s="1636"/>
      <c r="AR986" s="1176"/>
      <c r="AS986" s="1176"/>
      <c r="AT986" s="1176"/>
      <c r="AU986" s="1176"/>
      <c r="AV986" s="1176"/>
      <c r="AW986" s="1176"/>
      <c r="AX986" s="1176"/>
      <c r="AY986" s="1176"/>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2" customHeight="1">
      <c r="A987" s="14"/>
      <c r="B987" s="59"/>
      <c r="C987" s="63"/>
      <c r="D987" s="1454" t="s">
        <v>1382</v>
      </c>
      <c r="E987" s="1455"/>
      <c r="F987" s="1455"/>
      <c r="G987" s="1455"/>
      <c r="H987" s="1455"/>
      <c r="I987" s="1455"/>
      <c r="J987" s="1455"/>
      <c r="K987" s="1455"/>
      <c r="L987" s="1455"/>
      <c r="M987" s="1455"/>
      <c r="N987" s="1455"/>
      <c r="O987" s="1455"/>
      <c r="P987" s="1455"/>
      <c r="Q987" s="1456"/>
      <c r="R987" s="1630">
        <f>IF(ISNA(IF($BN$796="4%",(INDEX($BP$806:$BT$863,MATCH($CB$796,$BO$806:$BO$863,0),MATCH(D987,$BP$805:$BT$805,0))),(INDEX($BW$806:$CA$863,MATCH($CB$796,$BV$806:$BV$863,0),MATCH(D987,$BW$805:$CA$805,0))))),0,IF($BN$796="4%",(INDEX($BP$806:$BT$863,MATCH($CB$796,$BO$806:$BO$863,0),MATCH(D987,$BP$805:$BT$805,0))),(INDEX($BW$806:$CA$863,MATCH($CB$796,$BV$806:$BV$863,0),MATCH(D987,$BW$805:$CA$805,0)))))</f>
        <v>608800</v>
      </c>
      <c r="S987" s="1630"/>
      <c r="T987" s="1630"/>
      <c r="U987" s="1630"/>
      <c r="V987" s="1630"/>
      <c r="W987" s="1630"/>
      <c r="X987" s="1630"/>
      <c r="Y987" s="1630"/>
      <c r="Z987" s="1630"/>
      <c r="AA987" s="1630"/>
      <c r="AB987" s="1598">
        <f>BX660</f>
        <v>4</v>
      </c>
      <c r="AC987" s="1599"/>
      <c r="AD987" s="1599"/>
      <c r="AE987" s="1599"/>
      <c r="AF987" s="1599"/>
      <c r="AG987" s="1599"/>
      <c r="AH987" s="1599"/>
      <c r="AI987" s="1600"/>
      <c r="AJ987" s="1634">
        <f>IF(ISERROR((R987*AB987)),0,(R987*AB987))</f>
        <v>2435200</v>
      </c>
      <c r="AK987" s="1635"/>
      <c r="AL987" s="1635"/>
      <c r="AM987" s="1635"/>
      <c r="AN987" s="1635"/>
      <c r="AO987" s="1635"/>
      <c r="AP987" s="1635"/>
      <c r="AQ987" s="1636"/>
      <c r="AR987" s="1176"/>
      <c r="AS987" s="1176"/>
      <c r="AT987" s="1176"/>
      <c r="AU987" s="1176"/>
      <c r="AV987" s="1176"/>
      <c r="AW987" s="1176"/>
      <c r="AX987" s="1176"/>
      <c r="AY987" s="1176"/>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2" customHeight="1">
      <c r="A988" s="14"/>
      <c r="B988" s="59"/>
      <c r="C988" s="63"/>
      <c r="D988" s="1454" t="s">
        <v>1383</v>
      </c>
      <c r="E988" s="1455"/>
      <c r="F988" s="1455"/>
      <c r="G988" s="1455"/>
      <c r="H988" s="1455"/>
      <c r="I988" s="1455"/>
      <c r="J988" s="1455"/>
      <c r="K988" s="1455"/>
      <c r="L988" s="1455"/>
      <c r="M988" s="1455"/>
      <c r="N988" s="1455"/>
      <c r="O988" s="1455"/>
      <c r="P988" s="1455"/>
      <c r="Q988" s="1456"/>
      <c r="R988" s="1630">
        <f>IF(ISNA(IF($BN$796="4%",(INDEX($BP$806:$BT$863,MATCH($CB$796,$BO$806:$BO$863,0),MATCH(D988,$BP$805:$BT$805,0))),(INDEX($BW$806:$CA$863,MATCH($CB$796,$BV$806:$BV$863,0),MATCH(D988,$BW$805:$CA$805,0))))),0,IF($BN$796="4%",(INDEX($BP$806:$BT$863,MATCH($CB$796,$BO$806:$BO$863,0),MATCH(D988,$BP$805:$BT$805,0))),(INDEX($BW$806:$CA$863,MATCH($CB$796,$BV$806:$BV$863,0),MATCH(D988,$BW$805:$CA$805,0)))))</f>
        <v>779264</v>
      </c>
      <c r="S988" s="1630"/>
      <c r="T988" s="1630"/>
      <c r="U988" s="1630"/>
      <c r="V988" s="1630"/>
      <c r="W988" s="1630"/>
      <c r="X988" s="1630"/>
      <c r="Y988" s="1630"/>
      <c r="Z988" s="1630"/>
      <c r="AA988" s="1630"/>
      <c r="AB988" s="1598">
        <f>CC660</f>
        <v>0</v>
      </c>
      <c r="AC988" s="1599"/>
      <c r="AD988" s="1599"/>
      <c r="AE988" s="1599"/>
      <c r="AF988" s="1599"/>
      <c r="AG988" s="1599"/>
      <c r="AH988" s="1599"/>
      <c r="AI988" s="1600"/>
      <c r="AJ988" s="1634">
        <f>IF(ISERROR((R988*AB988)),0,(R988*AB988))</f>
        <v>0</v>
      </c>
      <c r="AK988" s="1635"/>
      <c r="AL988" s="1635"/>
      <c r="AM988" s="1635"/>
      <c r="AN988" s="1635"/>
      <c r="AO988" s="1635"/>
      <c r="AP988" s="1635"/>
      <c r="AQ988" s="1636"/>
      <c r="AR988" s="1176"/>
      <c r="AS988" s="1176"/>
      <c r="AT988" s="1176"/>
      <c r="AU988" s="1176"/>
      <c r="AV988" s="1176"/>
      <c r="AW988" s="1176"/>
      <c r="AX988" s="1176"/>
      <c r="AY988" s="1176"/>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2" customHeight="1">
      <c r="A989" s="14"/>
      <c r="B989" s="40"/>
      <c r="C989" s="61"/>
      <c r="D989" s="1454" t="s">
        <v>1504</v>
      </c>
      <c r="E989" s="1455"/>
      <c r="F989" s="1455"/>
      <c r="G989" s="1455"/>
      <c r="H989" s="1455"/>
      <c r="I989" s="1455"/>
      <c r="J989" s="1455"/>
      <c r="K989" s="1455"/>
      <c r="L989" s="1455"/>
      <c r="M989" s="1455"/>
      <c r="N989" s="1455"/>
      <c r="O989" s="1455"/>
      <c r="P989" s="1455"/>
      <c r="Q989" s="1456"/>
      <c r="R989" s="1630">
        <f>IF(ISNA(IF($BN$796="4%",(INDEX($BP$806:$BT$863,MATCH($CB$796,$BO$806:$BO$863,0),MATCH(D989,$BP$805:$BT$805,0))),(INDEX($BW$806:$CA$863,MATCH($CB$796,$BV$806:$BV$863,0),MATCH(D989,$BW$805:$CA$805,0))))),0,IF($BN$796="4%",(INDEX($BP$806:$BT$863,MATCH($CB$796,$BO$806:$BO$863,0),MATCH(D989,$BP$805:$BT$805,0))),(INDEX($BW$806:$CA$863,MATCH($CB$796,$BV$806:$BV$863,0),MATCH(D989,$BW$805:$CA$805,0)))))</f>
        <v>868149</v>
      </c>
      <c r="S989" s="1630"/>
      <c r="T989" s="1630"/>
      <c r="U989" s="1630"/>
      <c r="V989" s="1630"/>
      <c r="W989" s="1630"/>
      <c r="X989" s="1630"/>
      <c r="Y989" s="1630"/>
      <c r="Z989" s="1630"/>
      <c r="AA989" s="1630"/>
      <c r="AB989" s="1598">
        <f>CM660+CH660</f>
        <v>0</v>
      </c>
      <c r="AC989" s="1599"/>
      <c r="AD989" s="1599"/>
      <c r="AE989" s="1599"/>
      <c r="AF989" s="1599"/>
      <c r="AG989" s="1599"/>
      <c r="AH989" s="1599"/>
      <c r="AI989" s="1600"/>
      <c r="AJ989" s="1634">
        <f>IF(ISERROR((R989*AB989)),0,(R989*AB989))</f>
        <v>0</v>
      </c>
      <c r="AK989" s="1635"/>
      <c r="AL989" s="1635"/>
      <c r="AM989" s="1635"/>
      <c r="AN989" s="1635"/>
      <c r="AO989" s="1635"/>
      <c r="AP989" s="1635"/>
      <c r="AQ989" s="1636"/>
      <c r="AR989" s="1176"/>
      <c r="AS989" s="1176"/>
      <c r="AT989" s="1176"/>
      <c r="AU989" s="1176"/>
      <c r="AV989" s="1176"/>
      <c r="AW989" s="1176"/>
      <c r="AX989" s="1176"/>
      <c r="AY989" s="1176"/>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2" customHeight="1">
      <c r="A990" s="14"/>
      <c r="B990" s="1762" t="s">
        <v>1745</v>
      </c>
      <c r="C990" s="1763"/>
      <c r="D990" s="1763"/>
      <c r="E990" s="1763"/>
      <c r="F990" s="1763"/>
      <c r="G990" s="1763"/>
      <c r="H990" s="1763"/>
      <c r="I990" s="1763"/>
      <c r="J990" s="1763"/>
      <c r="K990" s="1763"/>
      <c r="L990" s="1763"/>
      <c r="M990" s="1763"/>
      <c r="N990" s="1763"/>
      <c r="O990" s="1763"/>
      <c r="P990" s="1763"/>
      <c r="Q990" s="1763"/>
      <c r="R990" s="1763"/>
      <c r="S990" s="1763"/>
      <c r="T990" s="1763"/>
      <c r="U990" s="1763"/>
      <c r="V990" s="1763"/>
      <c r="W990" s="1763"/>
      <c r="X990" s="1763"/>
      <c r="Y990" s="1763"/>
      <c r="Z990" s="1763"/>
      <c r="AA990" s="1764"/>
      <c r="AB990" s="1598">
        <f>SUM(AB985:AI989)</f>
        <v>101</v>
      </c>
      <c r="AC990" s="1599"/>
      <c r="AD990" s="1599"/>
      <c r="AE990" s="1599"/>
      <c r="AF990" s="1599"/>
      <c r="AG990" s="1599"/>
      <c r="AH990" s="1599"/>
      <c r="AI990" s="1600"/>
      <c r="AJ990" s="1634"/>
      <c r="AK990" s="1635"/>
      <c r="AL990" s="1635"/>
      <c r="AM990" s="1635"/>
      <c r="AN990" s="1635"/>
      <c r="AO990" s="1635"/>
      <c r="AP990" s="1635"/>
      <c r="AQ990" s="1636"/>
      <c r="AR990" s="1176"/>
      <c r="AS990" s="1176"/>
      <c r="AT990" s="1176"/>
      <c r="AU990" s="1176"/>
      <c r="AV990" s="1176"/>
      <c r="AW990" s="1176"/>
      <c r="AX990" s="1176"/>
      <c r="AY990" s="1176"/>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2" customHeight="1">
      <c r="A991" s="14"/>
      <c r="B991" s="1752" t="s">
        <v>1746</v>
      </c>
      <c r="C991" s="1753"/>
      <c r="D991" s="1753"/>
      <c r="E991" s="1753"/>
      <c r="F991" s="1753"/>
      <c r="G991" s="1753"/>
      <c r="H991" s="1753"/>
      <c r="I991" s="1753"/>
      <c r="J991" s="1753"/>
      <c r="K991" s="1753"/>
      <c r="L991" s="1753"/>
      <c r="M991" s="1753"/>
      <c r="N991" s="1753"/>
      <c r="O991" s="1753"/>
      <c r="P991" s="1753"/>
      <c r="Q991" s="1753"/>
      <c r="R991" s="1753"/>
      <c r="S991" s="1753"/>
      <c r="T991" s="1753"/>
      <c r="U991" s="1753"/>
      <c r="V991" s="1753"/>
      <c r="W991" s="1753"/>
      <c r="X991" s="1753"/>
      <c r="Y991" s="1753"/>
      <c r="Z991" s="1753"/>
      <c r="AA991" s="1753"/>
      <c r="AB991" s="1753"/>
      <c r="AC991" s="1753"/>
      <c r="AD991" s="1753"/>
      <c r="AE991" s="1753"/>
      <c r="AF991" s="1753"/>
      <c r="AG991" s="1753"/>
      <c r="AH991" s="1753"/>
      <c r="AI991" s="1754"/>
      <c r="AJ991" s="1634">
        <f>SUM(AJ985:AQ989)</f>
        <v>51390615</v>
      </c>
      <c r="AK991" s="1635"/>
      <c r="AL991" s="1635"/>
      <c r="AM991" s="1635"/>
      <c r="AN991" s="1635"/>
      <c r="AO991" s="1635"/>
      <c r="AP991" s="1635"/>
      <c r="AQ991" s="1636"/>
      <c r="AR991" s="1176"/>
      <c r="AS991" s="1176"/>
      <c r="AT991" s="1176"/>
      <c r="AU991" s="1176"/>
      <c r="AV991" s="1176"/>
      <c r="AW991" s="1176"/>
      <c r="AX991" s="1176"/>
      <c r="AY991" s="1176"/>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2" customHeight="1">
      <c r="A992" s="14"/>
      <c r="B992" s="1730"/>
      <c r="C992" s="1731"/>
      <c r="D992" s="1731"/>
      <c r="E992" s="1731"/>
      <c r="F992" s="1731"/>
      <c r="G992" s="1731"/>
      <c r="H992" s="1731"/>
      <c r="I992" s="1731"/>
      <c r="J992" s="1731"/>
      <c r="K992" s="1731"/>
      <c r="L992" s="1731"/>
      <c r="M992" s="1731"/>
      <c r="N992" s="1731"/>
      <c r="O992" s="1731"/>
      <c r="P992" s="1731"/>
      <c r="Q992" s="1731"/>
      <c r="R992" s="1731"/>
      <c r="S992" s="1731"/>
      <c r="T992" s="1731"/>
      <c r="U992" s="1731"/>
      <c r="V992" s="1731"/>
      <c r="W992" s="1731"/>
      <c r="X992" s="1731"/>
      <c r="Y992" s="1731"/>
      <c r="Z992" s="1731"/>
      <c r="AA992" s="1731"/>
      <c r="AB992" s="1731"/>
      <c r="AC992" s="1731"/>
      <c r="AD992" s="1731"/>
      <c r="AE992" s="1732"/>
      <c r="AF992" s="1723" t="s">
        <v>1747</v>
      </c>
      <c r="AG992" s="1724"/>
      <c r="AH992" s="1724"/>
      <c r="AI992" s="1725"/>
      <c r="AJ992" s="1730"/>
      <c r="AK992" s="1731"/>
      <c r="AL992" s="1731"/>
      <c r="AM992" s="1731"/>
      <c r="AN992" s="1731"/>
      <c r="AO992" s="1731"/>
      <c r="AP992" s="1731"/>
      <c r="AQ992" s="1732"/>
      <c r="AR992" s="1176"/>
      <c r="AS992" s="1176"/>
      <c r="AT992" s="1176"/>
      <c r="AU992" s="1176"/>
      <c r="AV992" s="1176"/>
      <c r="AW992" s="1176"/>
      <c r="AX992" s="1176"/>
      <c r="AY992" s="1176"/>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2" customHeight="1">
      <c r="A993" s="14"/>
      <c r="B993" s="59"/>
      <c r="C993" s="1179" t="s">
        <v>1748</v>
      </c>
      <c r="D993" s="1720" t="s">
        <v>1749</v>
      </c>
      <c r="E993" s="1721"/>
      <c r="F993" s="1721"/>
      <c r="G993" s="1721"/>
      <c r="H993" s="1721"/>
      <c r="I993" s="1721"/>
      <c r="J993" s="1721"/>
      <c r="K993" s="1721"/>
      <c r="L993" s="1721"/>
      <c r="M993" s="1721"/>
      <c r="N993" s="1721"/>
      <c r="O993" s="1721"/>
      <c r="P993" s="1721"/>
      <c r="Q993" s="1721"/>
      <c r="R993" s="1721"/>
      <c r="S993" s="1721"/>
      <c r="T993" s="1721"/>
      <c r="U993" s="1721"/>
      <c r="V993" s="1721"/>
      <c r="W993" s="1721"/>
      <c r="X993" s="1721"/>
      <c r="Y993" s="1721"/>
      <c r="Z993" s="1721"/>
      <c r="AA993" s="1721"/>
      <c r="AB993" s="1721"/>
      <c r="AC993" s="1721"/>
      <c r="AD993" s="1721"/>
      <c r="AE993" s="1722"/>
      <c r="AF993" s="62"/>
      <c r="AG993" s="1726" t="s">
        <v>836</v>
      </c>
      <c r="AH993" s="1727"/>
      <c r="AI993" s="65"/>
      <c r="AJ993" s="1680">
        <f>ROUND(IF(AND(AG993="yes",D999&gt;0),AJ991*0.2,0),0)</f>
        <v>10278123</v>
      </c>
      <c r="AK993" s="1681"/>
      <c r="AL993" s="1681"/>
      <c r="AM993" s="1681"/>
      <c r="AN993" s="1681"/>
      <c r="AO993" s="1681"/>
      <c r="AP993" s="1681"/>
      <c r="AQ993" s="1682"/>
      <c r="AR993" s="1176"/>
      <c r="AS993" s="1176"/>
      <c r="AT993" s="1176"/>
      <c r="AU993" s="1176"/>
      <c r="AV993" s="1176"/>
      <c r="AW993" s="1176"/>
      <c r="AX993" s="1176"/>
      <c r="AY993" s="1176"/>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2" customHeight="1">
      <c r="A994" s="14"/>
      <c r="B994" s="1180"/>
      <c r="C994" s="1181"/>
      <c r="D994" s="1619" t="s">
        <v>1750</v>
      </c>
      <c r="E994" s="1620"/>
      <c r="F994" s="1620"/>
      <c r="G994" s="1620"/>
      <c r="H994" s="1620"/>
      <c r="I994" s="1620"/>
      <c r="J994" s="1620"/>
      <c r="K994" s="1620"/>
      <c r="L994" s="1620"/>
      <c r="M994" s="1620"/>
      <c r="N994" s="1620"/>
      <c r="O994" s="1620"/>
      <c r="P994" s="1620"/>
      <c r="Q994" s="1620"/>
      <c r="R994" s="1620"/>
      <c r="S994" s="1620"/>
      <c r="T994" s="1620"/>
      <c r="U994" s="1620"/>
      <c r="V994" s="1620"/>
      <c r="W994" s="1620"/>
      <c r="X994" s="1620"/>
      <c r="Y994" s="1620"/>
      <c r="Z994" s="1620"/>
      <c r="AA994" s="1620"/>
      <c r="AB994" s="1620"/>
      <c r="AC994" s="1620"/>
      <c r="AD994" s="1620"/>
      <c r="AE994" s="1621"/>
      <c r="AF994" s="59"/>
      <c r="AG994" s="14"/>
      <c r="AH994" s="14"/>
      <c r="AI994" s="63"/>
      <c r="AJ994" s="1683"/>
      <c r="AK994" s="1684"/>
      <c r="AL994" s="1684"/>
      <c r="AM994" s="1684"/>
      <c r="AN994" s="1684"/>
      <c r="AO994" s="1684"/>
      <c r="AP994" s="1684"/>
      <c r="AQ994" s="1685"/>
      <c r="AR994" s="1176"/>
      <c r="AS994" s="1176"/>
      <c r="AT994" s="1176"/>
      <c r="AU994" s="1176"/>
      <c r="AV994" s="1176"/>
      <c r="AW994" s="1176"/>
      <c r="AX994" s="1176"/>
      <c r="AY994" s="1176"/>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2" customHeight="1">
      <c r="A995" s="14"/>
      <c r="B995" s="1180"/>
      <c r="C995" s="1181"/>
      <c r="D995" s="1619"/>
      <c r="E995" s="1620"/>
      <c r="F995" s="1620"/>
      <c r="G995" s="1620"/>
      <c r="H995" s="1620"/>
      <c r="I995" s="1620"/>
      <c r="J995" s="1620"/>
      <c r="K995" s="1620"/>
      <c r="L995" s="1620"/>
      <c r="M995" s="1620"/>
      <c r="N995" s="1620"/>
      <c r="O995" s="1620"/>
      <c r="P995" s="1620"/>
      <c r="Q995" s="1620"/>
      <c r="R995" s="1620"/>
      <c r="S995" s="1620"/>
      <c r="T995" s="1620"/>
      <c r="U995" s="1620"/>
      <c r="V995" s="1620"/>
      <c r="W995" s="1620"/>
      <c r="X995" s="1620"/>
      <c r="Y995" s="1620"/>
      <c r="Z995" s="1620"/>
      <c r="AA995" s="1620"/>
      <c r="AB995" s="1620"/>
      <c r="AC995" s="1620"/>
      <c r="AD995" s="1620"/>
      <c r="AE995" s="1621"/>
      <c r="AF995" s="59"/>
      <c r="AG995" s="14"/>
      <c r="AH995" s="14"/>
      <c r="AI995" s="63"/>
      <c r="AJ995" s="1683"/>
      <c r="AK995" s="1684"/>
      <c r="AL995" s="1684"/>
      <c r="AM995" s="1684"/>
      <c r="AN995" s="1684"/>
      <c r="AO995" s="1684"/>
      <c r="AP995" s="1684"/>
      <c r="AQ995" s="1685"/>
      <c r="AR995" s="1176"/>
      <c r="AS995" s="1176"/>
      <c r="AT995" s="1176"/>
      <c r="AU995" s="1176"/>
      <c r="AV995" s="1176"/>
      <c r="AW995" s="1176"/>
      <c r="AX995" s="1176"/>
      <c r="AY995" s="1176"/>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2" customHeight="1">
      <c r="A996" s="14"/>
      <c r="B996" s="1180"/>
      <c r="C996" s="1181"/>
      <c r="D996" s="1619"/>
      <c r="E996" s="1620"/>
      <c r="F996" s="1620"/>
      <c r="G996" s="1620"/>
      <c r="H996" s="1620"/>
      <c r="I996" s="1620"/>
      <c r="J996" s="1620"/>
      <c r="K996" s="1620"/>
      <c r="L996" s="1620"/>
      <c r="M996" s="1620"/>
      <c r="N996" s="1620"/>
      <c r="O996" s="1620"/>
      <c r="P996" s="1620"/>
      <c r="Q996" s="1620"/>
      <c r="R996" s="1620"/>
      <c r="S996" s="1620"/>
      <c r="T996" s="1620"/>
      <c r="U996" s="1620"/>
      <c r="V996" s="1620"/>
      <c r="W996" s="1620"/>
      <c r="X996" s="1620"/>
      <c r="Y996" s="1620"/>
      <c r="Z996" s="1620"/>
      <c r="AA996" s="1620"/>
      <c r="AB996" s="1620"/>
      <c r="AC996" s="1620"/>
      <c r="AD996" s="1620"/>
      <c r="AE996" s="1621"/>
      <c r="AF996" s="59"/>
      <c r="AG996" s="14"/>
      <c r="AH996" s="14"/>
      <c r="AI996" s="63"/>
      <c r="AJ996" s="1683"/>
      <c r="AK996" s="1684"/>
      <c r="AL996" s="1684"/>
      <c r="AM996" s="1684"/>
      <c r="AN996" s="1684"/>
      <c r="AO996" s="1684"/>
      <c r="AP996" s="1684"/>
      <c r="AQ996" s="1685"/>
      <c r="AR996" s="1176"/>
      <c r="AS996" s="1176"/>
      <c r="AT996" s="1176"/>
      <c r="AU996" s="1176"/>
      <c r="AV996" s="1176"/>
      <c r="AW996" s="1176"/>
      <c r="AX996" s="1176"/>
      <c r="AY996" s="1176"/>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2" customHeight="1">
      <c r="A997" s="14"/>
      <c r="B997" s="1180"/>
      <c r="C997" s="1181"/>
      <c r="D997" s="1619"/>
      <c r="E997" s="1620"/>
      <c r="F997" s="1620"/>
      <c r="G997" s="1620"/>
      <c r="H997" s="1620"/>
      <c r="I997" s="1620"/>
      <c r="J997" s="1620"/>
      <c r="K997" s="1620"/>
      <c r="L997" s="1620"/>
      <c r="M997" s="1620"/>
      <c r="N997" s="1620"/>
      <c r="O997" s="1620"/>
      <c r="P997" s="1620"/>
      <c r="Q997" s="1620"/>
      <c r="R997" s="1620"/>
      <c r="S997" s="1620"/>
      <c r="T997" s="1620"/>
      <c r="U997" s="1620"/>
      <c r="V997" s="1620"/>
      <c r="W997" s="1620"/>
      <c r="X997" s="1620"/>
      <c r="Y997" s="1620"/>
      <c r="Z997" s="1620"/>
      <c r="AA997" s="1620"/>
      <c r="AB997" s="1620"/>
      <c r="AC997" s="1620"/>
      <c r="AD997" s="1620"/>
      <c r="AE997" s="1621"/>
      <c r="AF997" s="59"/>
      <c r="AG997" s="14"/>
      <c r="AH997" s="14"/>
      <c r="AI997" s="63"/>
      <c r="AJ997" s="1683"/>
      <c r="AK997" s="1684"/>
      <c r="AL997" s="1684"/>
      <c r="AM997" s="1684"/>
      <c r="AN997" s="1684"/>
      <c r="AO997" s="1684"/>
      <c r="AP997" s="1684"/>
      <c r="AQ997" s="1685"/>
      <c r="AR997" s="1176"/>
      <c r="AS997" s="1176"/>
      <c r="AT997" s="1176"/>
      <c r="AU997" s="1176"/>
      <c r="AV997" s="1176"/>
      <c r="AW997" s="1176"/>
      <c r="AX997" s="1176"/>
      <c r="AY997" s="1176"/>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2" customHeight="1">
      <c r="A998" s="14"/>
      <c r="B998" s="1180"/>
      <c r="C998" s="1181"/>
      <c r="D998" s="1622" t="s">
        <v>1751</v>
      </c>
      <c r="E998" s="1623"/>
      <c r="F998" s="1623"/>
      <c r="G998" s="1623"/>
      <c r="H998" s="1623"/>
      <c r="I998" s="1623"/>
      <c r="J998" s="1623"/>
      <c r="K998" s="1623"/>
      <c r="L998" s="1623"/>
      <c r="M998" s="1623"/>
      <c r="N998" s="1623"/>
      <c r="O998" s="1623"/>
      <c r="P998" s="1623"/>
      <c r="Q998" s="1623"/>
      <c r="R998" s="1623"/>
      <c r="S998" s="1623"/>
      <c r="T998" s="1623"/>
      <c r="U998" s="1623"/>
      <c r="V998" s="1623"/>
      <c r="W998" s="1623"/>
      <c r="X998" s="1623"/>
      <c r="Y998" s="1623"/>
      <c r="Z998" s="1623"/>
      <c r="AA998" s="1623"/>
      <c r="AB998" s="1623"/>
      <c r="AC998" s="1623"/>
      <c r="AD998" s="1623"/>
      <c r="AE998" s="1624"/>
      <c r="AF998" s="59"/>
      <c r="AG998" s="14"/>
      <c r="AH998" s="14"/>
      <c r="AI998" s="63"/>
      <c r="AJ998" s="1683"/>
      <c r="AK998" s="1684"/>
      <c r="AL998" s="1684"/>
      <c r="AM998" s="1684"/>
      <c r="AN998" s="1684"/>
      <c r="AO998" s="1684"/>
      <c r="AP998" s="1684"/>
      <c r="AQ998" s="1685"/>
      <c r="AR998" s="1176"/>
      <c r="AS998" s="1176"/>
      <c r="AT998" s="1176"/>
      <c r="AU998" s="1176"/>
      <c r="AV998" s="1176"/>
      <c r="AW998" s="1176"/>
      <c r="AX998" s="1176"/>
      <c r="AY998" s="1176"/>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2" customHeight="1">
      <c r="A999" s="14"/>
      <c r="B999" s="1180"/>
      <c r="C999" s="1181"/>
      <c r="D999" s="1637" t="s">
        <v>1717</v>
      </c>
      <c r="E999" s="1638"/>
      <c r="F999" s="1638"/>
      <c r="G999" s="1638"/>
      <c r="H999" s="1638"/>
      <c r="I999" s="1638"/>
      <c r="J999" s="1638"/>
      <c r="K999" s="1638"/>
      <c r="L999" s="1638"/>
      <c r="M999" s="1638"/>
      <c r="N999" s="1638"/>
      <c r="O999" s="1638"/>
      <c r="P999" s="1638"/>
      <c r="Q999" s="1638"/>
      <c r="R999" s="1638"/>
      <c r="S999" s="1638"/>
      <c r="T999" s="1638"/>
      <c r="U999" s="1638"/>
      <c r="V999" s="1638"/>
      <c r="W999" s="1638"/>
      <c r="X999" s="1638"/>
      <c r="Y999" s="1638"/>
      <c r="Z999" s="1638"/>
      <c r="AA999" s="1638"/>
      <c r="AB999" s="1638"/>
      <c r="AC999" s="1638"/>
      <c r="AD999" s="1638"/>
      <c r="AE999" s="1639"/>
      <c r="AF999" s="60"/>
      <c r="AG999" s="7"/>
      <c r="AH999" s="7"/>
      <c r="AI999" s="61"/>
      <c r="AJ999" s="1686"/>
      <c r="AK999" s="1687"/>
      <c r="AL999" s="1687"/>
      <c r="AM999" s="1687"/>
      <c r="AN999" s="1687"/>
      <c r="AO999" s="1687"/>
      <c r="AP999" s="1687"/>
      <c r="AQ999" s="1688"/>
      <c r="AR999" s="1176"/>
      <c r="AS999" s="1176"/>
      <c r="AT999" s="1176"/>
      <c r="AU999" s="1176"/>
      <c r="AV999" s="1176"/>
      <c r="AW999" s="1176"/>
      <c r="AX999" s="1176"/>
      <c r="AY999" s="1176"/>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2" customHeight="1">
      <c r="A1000" s="14"/>
      <c r="B1000" s="1182"/>
      <c r="C1000" s="1183"/>
      <c r="D1000" s="1616" t="s">
        <v>1752</v>
      </c>
      <c r="E1000" s="1617"/>
      <c r="F1000" s="1617"/>
      <c r="G1000" s="1617"/>
      <c r="H1000" s="1617"/>
      <c r="I1000" s="1617"/>
      <c r="J1000" s="1617"/>
      <c r="K1000" s="1617"/>
      <c r="L1000" s="1617"/>
      <c r="M1000" s="1617"/>
      <c r="N1000" s="1617"/>
      <c r="O1000" s="1617"/>
      <c r="P1000" s="1617"/>
      <c r="Q1000" s="1617"/>
      <c r="R1000" s="1617"/>
      <c r="S1000" s="1617"/>
      <c r="T1000" s="1617"/>
      <c r="U1000" s="1617"/>
      <c r="V1000" s="1617"/>
      <c r="W1000" s="1617"/>
      <c r="X1000" s="1617"/>
      <c r="Y1000" s="1617"/>
      <c r="Z1000" s="1617"/>
      <c r="AA1000" s="1617"/>
      <c r="AB1000" s="1617"/>
      <c r="AC1000" s="1617"/>
      <c r="AD1000" s="1617"/>
      <c r="AE1000" s="1618"/>
      <c r="AF1000" s="62"/>
      <c r="AG1000" s="1728" t="s">
        <v>892</v>
      </c>
      <c r="AH1000" s="1729"/>
      <c r="AI1000" s="65"/>
      <c r="AJ1000" s="1680">
        <f>ROUND(IF(AG1000="yes",AJ991*0.05,0),0)</f>
        <v>0</v>
      </c>
      <c r="AK1000" s="1681"/>
      <c r="AL1000" s="1681"/>
      <c r="AM1000" s="1681"/>
      <c r="AN1000" s="1681"/>
      <c r="AO1000" s="1681"/>
      <c r="AP1000" s="1681"/>
      <c r="AQ1000" s="1682"/>
      <c r="AR1000" s="1176"/>
      <c r="AS1000" s="1176"/>
      <c r="AT1000" s="1176"/>
      <c r="AU1000" s="1176"/>
      <c r="AV1000" s="1176"/>
      <c r="AW1000" s="1176"/>
      <c r="AX1000" s="1176"/>
      <c r="AY1000" s="1176"/>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2" customHeight="1">
      <c r="A1001" s="14"/>
      <c r="B1001" s="1180"/>
      <c r="C1001" s="1184"/>
      <c r="D1001" s="1619" t="s">
        <v>1753</v>
      </c>
      <c r="E1001" s="1620"/>
      <c r="F1001" s="1620"/>
      <c r="G1001" s="1620"/>
      <c r="H1001" s="1620"/>
      <c r="I1001" s="1620"/>
      <c r="J1001" s="1620"/>
      <c r="K1001" s="1620"/>
      <c r="L1001" s="1620"/>
      <c r="M1001" s="1620"/>
      <c r="N1001" s="1620"/>
      <c r="O1001" s="1620"/>
      <c r="P1001" s="1620"/>
      <c r="Q1001" s="1620"/>
      <c r="R1001" s="1620"/>
      <c r="S1001" s="1620"/>
      <c r="T1001" s="1620"/>
      <c r="U1001" s="1620"/>
      <c r="V1001" s="1620"/>
      <c r="W1001" s="1620"/>
      <c r="X1001" s="1620"/>
      <c r="Y1001" s="1620"/>
      <c r="Z1001" s="1620"/>
      <c r="AA1001" s="1620"/>
      <c r="AB1001" s="1620"/>
      <c r="AC1001" s="1620"/>
      <c r="AD1001" s="1620"/>
      <c r="AE1001" s="1621"/>
      <c r="AF1001" s="59"/>
      <c r="AG1001" s="14"/>
      <c r="AH1001" s="14"/>
      <c r="AI1001" s="63"/>
      <c r="AJ1001" s="1683"/>
      <c r="AK1001" s="1684"/>
      <c r="AL1001" s="1684"/>
      <c r="AM1001" s="1684"/>
      <c r="AN1001" s="1684"/>
      <c r="AO1001" s="1684"/>
      <c r="AP1001" s="1684"/>
      <c r="AQ1001" s="1685"/>
      <c r="AR1001" s="1176"/>
      <c r="AS1001" s="1176"/>
      <c r="AT1001" s="1176"/>
      <c r="AU1001" s="1176"/>
      <c r="AV1001" s="1176"/>
      <c r="AW1001" s="1176"/>
      <c r="AX1001" s="1176"/>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2" customHeight="1">
      <c r="A1002" s="14"/>
      <c r="B1002" s="1180"/>
      <c r="C1002" s="1184"/>
      <c r="D1002" s="1619"/>
      <c r="E1002" s="1620"/>
      <c r="F1002" s="1620"/>
      <c r="G1002" s="1620"/>
      <c r="H1002" s="1620"/>
      <c r="I1002" s="1620"/>
      <c r="J1002" s="1620"/>
      <c r="K1002" s="1620"/>
      <c r="L1002" s="1620"/>
      <c r="M1002" s="1620"/>
      <c r="N1002" s="1620"/>
      <c r="O1002" s="1620"/>
      <c r="P1002" s="1620"/>
      <c r="Q1002" s="1620"/>
      <c r="R1002" s="1620"/>
      <c r="S1002" s="1620"/>
      <c r="T1002" s="1620"/>
      <c r="U1002" s="1620"/>
      <c r="V1002" s="1620"/>
      <c r="W1002" s="1620"/>
      <c r="X1002" s="1620"/>
      <c r="Y1002" s="1620"/>
      <c r="Z1002" s="1620"/>
      <c r="AA1002" s="1620"/>
      <c r="AB1002" s="1620"/>
      <c r="AC1002" s="1620"/>
      <c r="AD1002" s="1620"/>
      <c r="AE1002" s="1621"/>
      <c r="AF1002" s="59"/>
      <c r="AG1002" s="14"/>
      <c r="AH1002" s="14"/>
      <c r="AI1002" s="63"/>
      <c r="AJ1002" s="1683"/>
      <c r="AK1002" s="1684"/>
      <c r="AL1002" s="1684"/>
      <c r="AM1002" s="1684"/>
      <c r="AN1002" s="1684"/>
      <c r="AO1002" s="1684"/>
      <c r="AP1002" s="1684"/>
      <c r="AQ1002" s="1685"/>
      <c r="AR1002" s="1176"/>
      <c r="AS1002" s="1176"/>
      <c r="AT1002" s="1176"/>
      <c r="AU1002" s="1176"/>
      <c r="AV1002" s="1176"/>
      <c r="AW1002" s="1176"/>
      <c r="AX1002" s="1176"/>
      <c r="AY1002" s="835">
        <f>G753+O797</f>
        <v>100</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2" customHeight="1">
      <c r="A1003" s="14"/>
      <c r="B1003" s="1180"/>
      <c r="C1003" s="1184"/>
      <c r="D1003" s="1619"/>
      <c r="E1003" s="1620"/>
      <c r="F1003" s="1620"/>
      <c r="G1003" s="1620"/>
      <c r="H1003" s="1620"/>
      <c r="I1003" s="1620"/>
      <c r="J1003" s="1620"/>
      <c r="K1003" s="1620"/>
      <c r="L1003" s="1620"/>
      <c r="M1003" s="1620"/>
      <c r="N1003" s="1620"/>
      <c r="O1003" s="1620"/>
      <c r="P1003" s="1620"/>
      <c r="Q1003" s="1620"/>
      <c r="R1003" s="1620"/>
      <c r="S1003" s="1620"/>
      <c r="T1003" s="1620"/>
      <c r="U1003" s="1620"/>
      <c r="V1003" s="1620"/>
      <c r="W1003" s="1620"/>
      <c r="X1003" s="1620"/>
      <c r="Y1003" s="1620"/>
      <c r="Z1003" s="1620"/>
      <c r="AA1003" s="1620"/>
      <c r="AB1003" s="1620"/>
      <c r="AC1003" s="1620"/>
      <c r="AD1003" s="1620"/>
      <c r="AE1003" s="1621"/>
      <c r="AF1003" s="59"/>
      <c r="AG1003" s="14"/>
      <c r="AH1003" s="14"/>
      <c r="AI1003" s="63"/>
      <c r="AJ1003" s="1683"/>
      <c r="AK1003" s="1684"/>
      <c r="AL1003" s="1684"/>
      <c r="AM1003" s="1684"/>
      <c r="AN1003" s="1684"/>
      <c r="AO1003" s="1684"/>
      <c r="AP1003" s="1684"/>
      <c r="AQ1003" s="1685"/>
      <c r="AR1003" s="1176"/>
      <c r="AS1003" s="1176"/>
      <c r="AT1003" s="1176"/>
      <c r="AU1003" s="1176"/>
      <c r="AV1003" s="1176"/>
      <c r="AW1003" s="1176"/>
      <c r="AX1003" s="1176"/>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2" customHeight="1">
      <c r="A1004" s="14"/>
      <c r="B1004" s="1180"/>
      <c r="C1004" s="1184"/>
      <c r="D1004" s="1619"/>
      <c r="E1004" s="1620"/>
      <c r="F1004" s="1620"/>
      <c r="G1004" s="1620"/>
      <c r="H1004" s="1620"/>
      <c r="I1004" s="1620"/>
      <c r="J1004" s="1620"/>
      <c r="K1004" s="1620"/>
      <c r="L1004" s="1620"/>
      <c r="M1004" s="1620"/>
      <c r="N1004" s="1620"/>
      <c r="O1004" s="1620"/>
      <c r="P1004" s="1620"/>
      <c r="Q1004" s="1620"/>
      <c r="R1004" s="1620"/>
      <c r="S1004" s="1620"/>
      <c r="T1004" s="1620"/>
      <c r="U1004" s="1620"/>
      <c r="V1004" s="1620"/>
      <c r="W1004" s="1620"/>
      <c r="X1004" s="1620"/>
      <c r="Y1004" s="1620"/>
      <c r="Z1004" s="1620"/>
      <c r="AA1004" s="1620"/>
      <c r="AB1004" s="1620"/>
      <c r="AC1004" s="1620"/>
      <c r="AD1004" s="1620"/>
      <c r="AE1004" s="1621"/>
      <c r="AF1004" s="59"/>
      <c r="AG1004" s="14"/>
      <c r="AH1004" s="14"/>
      <c r="AI1004" s="63"/>
      <c r="AJ1004" s="1683"/>
      <c r="AK1004" s="1684"/>
      <c r="AL1004" s="1684"/>
      <c r="AM1004" s="1684"/>
      <c r="AN1004" s="1684"/>
      <c r="AO1004" s="1684"/>
      <c r="AP1004" s="1684"/>
      <c r="AQ1004" s="1685"/>
      <c r="AR1004" s="1176"/>
      <c r="AS1004" s="1176"/>
      <c r="AT1004" s="1176"/>
      <c r="AU1004" s="1176"/>
      <c r="AV1004" s="1176"/>
      <c r="AW1004" s="1176"/>
      <c r="AX1004" s="1176"/>
      <c r="AY1004" s="834">
        <f>ROUNDDOWN(X1047/I1047,2)</f>
        <v>0</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2" customHeight="1">
      <c r="A1005" s="14"/>
      <c r="B1005" s="1185"/>
      <c r="C1005" s="1186"/>
      <c r="D1005" s="1622"/>
      <c r="E1005" s="1623"/>
      <c r="F1005" s="1623"/>
      <c r="G1005" s="1623"/>
      <c r="H1005" s="1623"/>
      <c r="I1005" s="1623"/>
      <c r="J1005" s="1623"/>
      <c r="K1005" s="1623"/>
      <c r="L1005" s="1623"/>
      <c r="M1005" s="1623"/>
      <c r="N1005" s="1623"/>
      <c r="O1005" s="1623"/>
      <c r="P1005" s="1623"/>
      <c r="Q1005" s="1623"/>
      <c r="R1005" s="1623"/>
      <c r="S1005" s="1623"/>
      <c r="T1005" s="1623"/>
      <c r="U1005" s="1623"/>
      <c r="V1005" s="1623"/>
      <c r="W1005" s="1623"/>
      <c r="X1005" s="1623"/>
      <c r="Y1005" s="1623"/>
      <c r="Z1005" s="1623"/>
      <c r="AA1005" s="1623"/>
      <c r="AB1005" s="1623"/>
      <c r="AC1005" s="1623"/>
      <c r="AD1005" s="1623"/>
      <c r="AE1005" s="1624"/>
      <c r="AF1005" s="60"/>
      <c r="AG1005" s="7"/>
      <c r="AH1005" s="7"/>
      <c r="AI1005" s="61"/>
      <c r="AJ1005" s="1686"/>
      <c r="AK1005" s="1687"/>
      <c r="AL1005" s="1687"/>
      <c r="AM1005" s="1687"/>
      <c r="AN1005" s="1687"/>
      <c r="AO1005" s="1687"/>
      <c r="AP1005" s="1687"/>
      <c r="AQ1005" s="1688"/>
      <c r="AR1005" s="1176"/>
      <c r="AS1005" s="1176"/>
      <c r="AT1005" s="1176"/>
      <c r="AU1005" s="1176"/>
      <c r="AV1005" s="1176"/>
      <c r="AW1005" s="1176"/>
      <c r="AX1005" s="1176"/>
      <c r="AY1005" s="834">
        <f>ROUNDDOWN(X1051/I1051,2)</f>
        <v>0.5</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2" customHeight="1">
      <c r="A1006" s="14"/>
      <c r="B1006" s="1182"/>
      <c r="C1006" s="260" t="s">
        <v>1754</v>
      </c>
      <c r="D1006" s="1616" t="s">
        <v>1755</v>
      </c>
      <c r="E1006" s="1617"/>
      <c r="F1006" s="1617"/>
      <c r="G1006" s="1617"/>
      <c r="H1006" s="1617"/>
      <c r="I1006" s="1617"/>
      <c r="J1006" s="1617"/>
      <c r="K1006" s="1617"/>
      <c r="L1006" s="1617"/>
      <c r="M1006" s="1617"/>
      <c r="N1006" s="1617"/>
      <c r="O1006" s="1617"/>
      <c r="P1006" s="1617"/>
      <c r="Q1006" s="1617"/>
      <c r="R1006" s="1617"/>
      <c r="S1006" s="1617"/>
      <c r="T1006" s="1617"/>
      <c r="U1006" s="1617"/>
      <c r="V1006" s="1617"/>
      <c r="W1006" s="1617"/>
      <c r="X1006" s="1617"/>
      <c r="Y1006" s="1617"/>
      <c r="Z1006" s="1617"/>
      <c r="AA1006" s="1617"/>
      <c r="AB1006" s="1617"/>
      <c r="AC1006" s="1617"/>
      <c r="AD1006" s="1617"/>
      <c r="AE1006" s="1618"/>
      <c r="AF1006" s="64"/>
      <c r="AG1006" s="1728" t="s">
        <v>892</v>
      </c>
      <c r="AH1006" s="1729"/>
      <c r="AI1006" s="65"/>
      <c r="AJ1006" s="1680">
        <f>ROUND(IF(AG1006="yes",AJ991*0.1,0),0)</f>
        <v>0</v>
      </c>
      <c r="AK1006" s="1681"/>
      <c r="AL1006" s="1681"/>
      <c r="AM1006" s="1681"/>
      <c r="AN1006" s="1681"/>
      <c r="AO1006" s="1681"/>
      <c r="AP1006" s="1681"/>
      <c r="AQ1006" s="1682"/>
      <c r="AR1006" s="1176"/>
      <c r="AS1006" s="1176"/>
      <c r="AT1006" s="1176"/>
      <c r="AU1006" s="1176"/>
      <c r="AV1006" s="1176"/>
      <c r="AW1006" s="1176"/>
      <c r="AX1006" s="1176"/>
      <c r="BB1006" s="3"/>
      <c r="BD1006" s="3"/>
      <c r="BE1006" s="3"/>
      <c r="BF1006" s="3"/>
    </row>
    <row r="1007" spans="1:157" ht="13.2" customHeight="1">
      <c r="A1007" s="14"/>
      <c r="B1007" s="59"/>
      <c r="C1007" s="1187"/>
      <c r="D1007" s="1642" t="s">
        <v>1756</v>
      </c>
      <c r="E1007" s="1643"/>
      <c r="F1007" s="1643"/>
      <c r="G1007" s="1643"/>
      <c r="H1007" s="1643"/>
      <c r="I1007" s="1643"/>
      <c r="J1007" s="1643"/>
      <c r="K1007" s="1643"/>
      <c r="L1007" s="1643"/>
      <c r="M1007" s="1643"/>
      <c r="N1007" s="1643"/>
      <c r="O1007" s="1643"/>
      <c r="P1007" s="1643"/>
      <c r="Q1007" s="1643"/>
      <c r="R1007" s="1643"/>
      <c r="S1007" s="1643"/>
      <c r="T1007" s="1643"/>
      <c r="U1007" s="1643"/>
      <c r="V1007" s="1643"/>
      <c r="W1007" s="1643"/>
      <c r="X1007" s="1643"/>
      <c r="Y1007" s="1643"/>
      <c r="Z1007" s="1643"/>
      <c r="AA1007" s="1643"/>
      <c r="AB1007" s="1643"/>
      <c r="AC1007" s="1643"/>
      <c r="AD1007" s="1643"/>
      <c r="AE1007" s="1644"/>
      <c r="AF1007" s="59"/>
      <c r="AI1007" s="63"/>
      <c r="AJ1007" s="1683"/>
      <c r="AK1007" s="1684"/>
      <c r="AL1007" s="1684"/>
      <c r="AM1007" s="1684"/>
      <c r="AN1007" s="1684"/>
      <c r="AO1007" s="1684"/>
      <c r="AP1007" s="1684"/>
      <c r="AQ1007" s="1685"/>
      <c r="AR1007" s="1176"/>
      <c r="AS1007" s="1176"/>
      <c r="AT1007" s="1176"/>
      <c r="AU1007" s="1176"/>
      <c r="AV1007" s="1176"/>
      <c r="AW1007" s="1176"/>
      <c r="AX1007" s="1176"/>
    </row>
    <row r="1008" spans="1:157" ht="13.2" customHeight="1">
      <c r="A1008" s="14"/>
      <c r="B1008" s="59"/>
      <c r="C1008" s="1187"/>
      <c r="D1008" s="1642"/>
      <c r="E1008" s="1643"/>
      <c r="F1008" s="1643"/>
      <c r="G1008" s="1643"/>
      <c r="H1008" s="1643"/>
      <c r="I1008" s="1643"/>
      <c r="J1008" s="1643"/>
      <c r="K1008" s="1643"/>
      <c r="L1008" s="1643"/>
      <c r="M1008" s="1643"/>
      <c r="N1008" s="1643"/>
      <c r="O1008" s="1643"/>
      <c r="P1008" s="1643"/>
      <c r="Q1008" s="1643"/>
      <c r="R1008" s="1643"/>
      <c r="S1008" s="1643"/>
      <c r="T1008" s="1643"/>
      <c r="U1008" s="1643"/>
      <c r="V1008" s="1643"/>
      <c r="W1008" s="1643"/>
      <c r="X1008" s="1643"/>
      <c r="Y1008" s="1643"/>
      <c r="Z1008" s="1643"/>
      <c r="AA1008" s="1643"/>
      <c r="AB1008" s="1643"/>
      <c r="AC1008" s="1643"/>
      <c r="AD1008" s="1643"/>
      <c r="AE1008" s="1644"/>
      <c r="AF1008" s="59"/>
      <c r="AG1008" s="14"/>
      <c r="AH1008" s="14"/>
      <c r="AI1008" s="63"/>
      <c r="AJ1008" s="1683"/>
      <c r="AK1008" s="1684"/>
      <c r="AL1008" s="1684"/>
      <c r="AM1008" s="1684"/>
      <c r="AN1008" s="1684"/>
      <c r="AO1008" s="1684"/>
      <c r="AP1008" s="1684"/>
      <c r="AQ1008" s="1685"/>
      <c r="AR1008" s="1176"/>
      <c r="AS1008" s="1176"/>
      <c r="AT1008" s="1176"/>
      <c r="AU1008" s="1176"/>
      <c r="AV1008" s="1176"/>
      <c r="AW1008" s="1176"/>
      <c r="AX1008" s="1176"/>
    </row>
    <row r="1009" spans="1:51" ht="13.2" customHeight="1">
      <c r="A1009" s="14"/>
      <c r="B1009" s="1188"/>
      <c r="C1009" s="1186"/>
      <c r="D1009" s="1625"/>
      <c r="E1009" s="1626"/>
      <c r="F1009" s="1626"/>
      <c r="G1009" s="1626"/>
      <c r="H1009" s="1626"/>
      <c r="I1009" s="1626"/>
      <c r="J1009" s="1626"/>
      <c r="K1009" s="1626"/>
      <c r="L1009" s="1626"/>
      <c r="M1009" s="1626"/>
      <c r="N1009" s="1626"/>
      <c r="O1009" s="1626"/>
      <c r="P1009" s="1626"/>
      <c r="Q1009" s="1626"/>
      <c r="R1009" s="1626"/>
      <c r="S1009" s="1626"/>
      <c r="T1009" s="1626"/>
      <c r="U1009" s="1626"/>
      <c r="V1009" s="1626"/>
      <c r="W1009" s="1626"/>
      <c r="X1009" s="1626"/>
      <c r="Y1009" s="1626"/>
      <c r="Z1009" s="1626"/>
      <c r="AA1009" s="1626"/>
      <c r="AB1009" s="1626"/>
      <c r="AC1009" s="1626"/>
      <c r="AD1009" s="1626"/>
      <c r="AE1009" s="1627"/>
      <c r="AF1009" s="60"/>
      <c r="AG1009" s="7"/>
      <c r="AH1009" s="7"/>
      <c r="AI1009" s="61"/>
      <c r="AJ1009" s="1686"/>
      <c r="AK1009" s="1687"/>
      <c r="AL1009" s="1687"/>
      <c r="AM1009" s="1687"/>
      <c r="AN1009" s="1687"/>
      <c r="AO1009" s="1687"/>
      <c r="AP1009" s="1687"/>
      <c r="AQ1009" s="1688"/>
      <c r="AR1009" s="1176"/>
      <c r="AS1009" s="1176"/>
      <c r="AT1009" s="1176"/>
      <c r="AU1009" s="1176"/>
      <c r="AV1009" s="1176"/>
      <c r="AW1009" s="1176"/>
      <c r="AX1009" s="1176"/>
    </row>
    <row r="1010" spans="1:51" ht="13.2" customHeight="1">
      <c r="A1010" s="14"/>
      <c r="B1010" s="62"/>
      <c r="C1010" s="260" t="s">
        <v>1757</v>
      </c>
      <c r="D1010" s="1616" t="s">
        <v>1758</v>
      </c>
      <c r="E1010" s="1617"/>
      <c r="F1010" s="1617"/>
      <c r="G1010" s="1617"/>
      <c r="H1010" s="1617"/>
      <c r="I1010" s="1617"/>
      <c r="J1010" s="1617"/>
      <c r="K1010" s="1617"/>
      <c r="L1010" s="1617"/>
      <c r="M1010" s="1617"/>
      <c r="N1010" s="1617"/>
      <c r="O1010" s="1617"/>
      <c r="P1010" s="1617"/>
      <c r="Q1010" s="1617"/>
      <c r="R1010" s="1617"/>
      <c r="S1010" s="1617"/>
      <c r="T1010" s="1617"/>
      <c r="U1010" s="1617"/>
      <c r="V1010" s="1617"/>
      <c r="W1010" s="1617"/>
      <c r="X1010" s="1617"/>
      <c r="Y1010" s="1617"/>
      <c r="Z1010" s="1617"/>
      <c r="AA1010" s="1617"/>
      <c r="AB1010" s="1617"/>
      <c r="AC1010" s="1617"/>
      <c r="AD1010" s="1617"/>
      <c r="AE1010" s="1618"/>
      <c r="AF1010" s="62"/>
      <c r="AG1010" s="1728" t="s">
        <v>892</v>
      </c>
      <c r="AH1010" s="1729"/>
      <c r="AI1010" s="65"/>
      <c r="AJ1010" s="1680">
        <f>ROUND(IF(AG1010="yes",AJ991*0.02,0),0)</f>
        <v>0</v>
      </c>
      <c r="AK1010" s="1681"/>
      <c r="AL1010" s="1681"/>
      <c r="AM1010" s="1681"/>
      <c r="AN1010" s="1681"/>
      <c r="AO1010" s="1681"/>
      <c r="AP1010" s="1681"/>
      <c r="AQ1010" s="1682"/>
      <c r="AR1010" s="1176"/>
      <c r="AS1010" s="1176"/>
      <c r="AT1010" s="1176"/>
      <c r="AU1010" s="1176"/>
      <c r="AV1010" s="1176"/>
      <c r="AW1010" s="1176"/>
      <c r="AX1010" s="1176"/>
      <c r="AY1010" s="1189">
        <f>IF(SUM(AY1012:AY1020)&lt;=0.1,SUM(AY1012:AY1020),0.1)</f>
        <v>0</v>
      </c>
    </row>
    <row r="1011" spans="1:51" ht="14.25" customHeight="1">
      <c r="A1011" s="14"/>
      <c r="B1011" s="59"/>
      <c r="C1011" s="1187"/>
      <c r="D1011" s="1625" t="s">
        <v>1759</v>
      </c>
      <c r="E1011" s="1626"/>
      <c r="F1011" s="1626"/>
      <c r="G1011" s="1626"/>
      <c r="H1011" s="1626"/>
      <c r="I1011" s="1626"/>
      <c r="J1011" s="1626"/>
      <c r="K1011" s="1626"/>
      <c r="L1011" s="1626"/>
      <c r="M1011" s="1626"/>
      <c r="N1011" s="1626"/>
      <c r="O1011" s="1626"/>
      <c r="P1011" s="1626"/>
      <c r="Q1011" s="1626"/>
      <c r="R1011" s="1626"/>
      <c r="S1011" s="1626"/>
      <c r="T1011" s="1626"/>
      <c r="U1011" s="1626"/>
      <c r="V1011" s="1626"/>
      <c r="W1011" s="1626"/>
      <c r="X1011" s="1626"/>
      <c r="Y1011" s="1626"/>
      <c r="Z1011" s="1626"/>
      <c r="AA1011" s="1626"/>
      <c r="AB1011" s="1626"/>
      <c r="AC1011" s="1626"/>
      <c r="AD1011" s="1626"/>
      <c r="AE1011" s="1627"/>
      <c r="AF1011" s="60"/>
      <c r="AG1011" s="7"/>
      <c r="AH1011" s="7"/>
      <c r="AI1011" s="61"/>
      <c r="AJ1011" s="1686"/>
      <c r="AK1011" s="1687"/>
      <c r="AL1011" s="1687"/>
      <c r="AM1011" s="1687"/>
      <c r="AN1011" s="1687"/>
      <c r="AO1011" s="1687"/>
      <c r="AP1011" s="1687"/>
      <c r="AQ1011" s="1688"/>
      <c r="AR1011" s="1176"/>
      <c r="AS1011" s="1176"/>
      <c r="AT1011" s="1176"/>
      <c r="AU1011" s="1176"/>
      <c r="AV1011" s="1176"/>
      <c r="AW1011" s="1176"/>
      <c r="AX1011" s="1176"/>
    </row>
    <row r="1012" spans="1:51" ht="13.2" customHeight="1">
      <c r="A1012" s="14"/>
      <c r="B1012" s="62"/>
      <c r="C1012" s="260" t="s">
        <v>1760</v>
      </c>
      <c r="D1012" s="1616" t="s">
        <v>1761</v>
      </c>
      <c r="E1012" s="1617"/>
      <c r="F1012" s="1617"/>
      <c r="G1012" s="1617"/>
      <c r="H1012" s="1617"/>
      <c r="I1012" s="1617"/>
      <c r="J1012" s="1617"/>
      <c r="K1012" s="1617"/>
      <c r="L1012" s="1617"/>
      <c r="M1012" s="1617"/>
      <c r="N1012" s="1617"/>
      <c r="O1012" s="1617"/>
      <c r="P1012" s="1617"/>
      <c r="Q1012" s="1617"/>
      <c r="R1012" s="1617"/>
      <c r="S1012" s="1617"/>
      <c r="T1012" s="1617"/>
      <c r="U1012" s="1617"/>
      <c r="V1012" s="1617"/>
      <c r="W1012" s="1617"/>
      <c r="X1012" s="1617"/>
      <c r="Y1012" s="1617"/>
      <c r="Z1012" s="1617"/>
      <c r="AA1012" s="1617"/>
      <c r="AB1012" s="1617"/>
      <c r="AC1012" s="1617"/>
      <c r="AD1012" s="1617"/>
      <c r="AE1012" s="1618"/>
      <c r="AF1012" s="62"/>
      <c r="AG1012" s="1728" t="s">
        <v>892</v>
      </c>
      <c r="AH1012" s="1729"/>
      <c r="AI1012" s="62"/>
      <c r="AJ1012" s="1680">
        <f>ROUND(IF(AG1012="yes",AJ991*0.02,0),0)</f>
        <v>0</v>
      </c>
      <c r="AK1012" s="1681"/>
      <c r="AL1012" s="1681"/>
      <c r="AM1012" s="1681"/>
      <c r="AN1012" s="1681"/>
      <c r="AO1012" s="1681"/>
      <c r="AP1012" s="1681"/>
      <c r="AQ1012" s="1682"/>
      <c r="AR1012" s="1176"/>
      <c r="AS1012" s="1176"/>
      <c r="AT1012" s="1176"/>
      <c r="AU1012" s="1176"/>
      <c r="AV1012" s="1176"/>
      <c r="AW1012" s="1176"/>
      <c r="AX1012" s="1176"/>
      <c r="AY1012" s="1190">
        <f>IF(A1064="Yes",0.05,0)</f>
        <v>0</v>
      </c>
    </row>
    <row r="1013" spans="1:51" ht="13.2" customHeight="1">
      <c r="A1013" s="14"/>
      <c r="B1013" s="59"/>
      <c r="C1013" s="1187"/>
      <c r="D1013" s="1642" t="s">
        <v>1762</v>
      </c>
      <c r="E1013" s="1643"/>
      <c r="F1013" s="1643"/>
      <c r="G1013" s="1643"/>
      <c r="H1013" s="1643"/>
      <c r="I1013" s="1643"/>
      <c r="J1013" s="1643"/>
      <c r="K1013" s="1643"/>
      <c r="L1013" s="1643"/>
      <c r="M1013" s="1643"/>
      <c r="N1013" s="1643"/>
      <c r="O1013" s="1643"/>
      <c r="P1013" s="1643"/>
      <c r="Q1013" s="1643"/>
      <c r="R1013" s="1643"/>
      <c r="S1013" s="1643"/>
      <c r="T1013" s="1643"/>
      <c r="U1013" s="1643"/>
      <c r="V1013" s="1643"/>
      <c r="W1013" s="1643"/>
      <c r="X1013" s="1643"/>
      <c r="Y1013" s="1643"/>
      <c r="Z1013" s="1643"/>
      <c r="AA1013" s="1643"/>
      <c r="AB1013" s="1643"/>
      <c r="AC1013" s="1643"/>
      <c r="AD1013" s="1643"/>
      <c r="AE1013" s="1644"/>
      <c r="AF1013" s="1782" t="str">
        <f>IF(AND(AG1012="yes",AB212&lt;&gt;1),"The project may not be eligible for this boost","")</f>
        <v/>
      </c>
      <c r="AG1013" s="1783"/>
      <c r="AH1013" s="1783"/>
      <c r="AI1013" s="1784"/>
      <c r="AJ1013" s="1683"/>
      <c r="AK1013" s="1684"/>
      <c r="AL1013" s="1684"/>
      <c r="AM1013" s="1684"/>
      <c r="AN1013" s="1684"/>
      <c r="AO1013" s="1684"/>
      <c r="AP1013" s="1684"/>
      <c r="AQ1013" s="1685"/>
      <c r="AR1013" s="1176"/>
      <c r="AS1013" s="1176"/>
      <c r="AT1013" s="1176"/>
      <c r="AU1013" s="1176"/>
      <c r="AV1013" s="1176"/>
      <c r="AW1013" s="1176"/>
      <c r="AX1013" s="1176"/>
      <c r="AY1013" s="1190">
        <f>IF(A1070="Yes",0.02,0)</f>
        <v>0</v>
      </c>
    </row>
    <row r="1014" spans="1:51" ht="13.2" customHeight="1">
      <c r="A1014" s="14"/>
      <c r="B1014" s="1185"/>
      <c r="C1014" s="1186"/>
      <c r="D1014" s="1625"/>
      <c r="E1014" s="1626"/>
      <c r="F1014" s="1626"/>
      <c r="G1014" s="1626"/>
      <c r="H1014" s="1626"/>
      <c r="I1014" s="1626"/>
      <c r="J1014" s="1626"/>
      <c r="K1014" s="1626"/>
      <c r="L1014" s="1626"/>
      <c r="M1014" s="1626"/>
      <c r="N1014" s="1626"/>
      <c r="O1014" s="1626"/>
      <c r="P1014" s="1626"/>
      <c r="Q1014" s="1626"/>
      <c r="R1014" s="1626"/>
      <c r="S1014" s="1626"/>
      <c r="T1014" s="1626"/>
      <c r="U1014" s="1626"/>
      <c r="V1014" s="1626"/>
      <c r="W1014" s="1626"/>
      <c r="X1014" s="1626"/>
      <c r="Y1014" s="1626"/>
      <c r="Z1014" s="1626"/>
      <c r="AA1014" s="1626"/>
      <c r="AB1014" s="1626"/>
      <c r="AC1014" s="1626"/>
      <c r="AD1014" s="1626"/>
      <c r="AE1014" s="1627"/>
      <c r="AF1014" s="1785"/>
      <c r="AG1014" s="1786"/>
      <c r="AH1014" s="1786"/>
      <c r="AI1014" s="1787"/>
      <c r="AJ1014" s="1686"/>
      <c r="AK1014" s="1687"/>
      <c r="AL1014" s="1687"/>
      <c r="AM1014" s="1687"/>
      <c r="AN1014" s="1687"/>
      <c r="AO1014" s="1687"/>
      <c r="AP1014" s="1687"/>
      <c r="AQ1014" s="1688"/>
      <c r="AR1014" s="1176"/>
      <c r="AS1014" s="1176"/>
      <c r="AT1014" s="1176"/>
      <c r="AU1014" s="1176"/>
      <c r="AV1014" s="1176"/>
      <c r="AW1014" s="1176"/>
      <c r="AX1014" s="1176"/>
      <c r="AY1014" s="1190">
        <f>IF(A1076="Yes",0.04,0)</f>
        <v>0</v>
      </c>
    </row>
    <row r="1015" spans="1:51" ht="13.2" customHeight="1">
      <c r="A1015" s="14"/>
      <c r="B1015" s="62"/>
      <c r="C1015" s="260" t="s">
        <v>1763</v>
      </c>
      <c r="D1015" s="1720" t="s">
        <v>1764</v>
      </c>
      <c r="E1015" s="1721"/>
      <c r="F1015" s="1721"/>
      <c r="G1015" s="1721"/>
      <c r="H1015" s="1721"/>
      <c r="I1015" s="1721"/>
      <c r="J1015" s="1721"/>
      <c r="K1015" s="1721"/>
      <c r="L1015" s="1721"/>
      <c r="M1015" s="1721"/>
      <c r="N1015" s="1721"/>
      <c r="O1015" s="1721"/>
      <c r="P1015" s="1721"/>
      <c r="Q1015" s="1721"/>
      <c r="R1015" s="1721"/>
      <c r="S1015" s="1721"/>
      <c r="T1015" s="1721"/>
      <c r="U1015" s="1721"/>
      <c r="V1015" s="1721"/>
      <c r="W1015" s="1721"/>
      <c r="X1015" s="1721"/>
      <c r="Y1015" s="1721"/>
      <c r="Z1015" s="1721"/>
      <c r="AA1015" s="1721"/>
      <c r="AB1015" s="1721"/>
      <c r="AC1015" s="1721"/>
      <c r="AD1015" s="1721"/>
      <c r="AE1015" s="1722"/>
      <c r="AF1015" s="62"/>
      <c r="AG1015" s="1728" t="s">
        <v>892</v>
      </c>
      <c r="AH1015" s="1729"/>
      <c r="AI1015" s="65"/>
      <c r="AJ1015" s="1680">
        <f>IF(AG1015="yes",AJ991*AY1010,0)</f>
        <v>0</v>
      </c>
      <c r="AK1015" s="1681"/>
      <c r="AL1015" s="1681"/>
      <c r="AM1015" s="1681"/>
      <c r="AN1015" s="1681"/>
      <c r="AO1015" s="1681"/>
      <c r="AP1015" s="1681"/>
      <c r="AQ1015" s="1682"/>
      <c r="AR1015" s="1176"/>
      <c r="AS1015" s="1176"/>
      <c r="AT1015" s="1176"/>
      <c r="AU1015" s="1176"/>
      <c r="AV1015" s="1176"/>
      <c r="AW1015" s="1176"/>
      <c r="AX1015" s="1176"/>
      <c r="AY1015" s="1190">
        <f>IF(A1083="Yes",0.04,0)</f>
        <v>0</v>
      </c>
    </row>
    <row r="1016" spans="1:51" ht="13.2" customHeight="1">
      <c r="A1016" s="14"/>
      <c r="B1016" s="59"/>
      <c r="C1016" s="1187"/>
      <c r="D1016" s="1642" t="s">
        <v>1765</v>
      </c>
      <c r="E1016" s="1643"/>
      <c r="F1016" s="1643"/>
      <c r="G1016" s="1643"/>
      <c r="H1016" s="1643"/>
      <c r="I1016" s="1643"/>
      <c r="J1016" s="1643"/>
      <c r="K1016" s="1643"/>
      <c r="L1016" s="1643"/>
      <c r="M1016" s="1643"/>
      <c r="N1016" s="1643"/>
      <c r="O1016" s="1643"/>
      <c r="P1016" s="1643"/>
      <c r="Q1016" s="1643"/>
      <c r="R1016" s="1643"/>
      <c r="S1016" s="1643"/>
      <c r="T1016" s="1643"/>
      <c r="U1016" s="1643"/>
      <c r="V1016" s="1643"/>
      <c r="W1016" s="1643"/>
      <c r="X1016" s="1643"/>
      <c r="Y1016" s="1643"/>
      <c r="Z1016" s="1643"/>
      <c r="AA1016" s="1643"/>
      <c r="AB1016" s="1643"/>
      <c r="AC1016" s="1643"/>
      <c r="AD1016" s="1643"/>
      <c r="AE1016" s="1644"/>
      <c r="AF1016" s="1776" t="str">
        <f>IF(AND(AG1015="Yes",AY1010=0),AY1022,"")</f>
        <v/>
      </c>
      <c r="AG1016" s="1777"/>
      <c r="AH1016" s="1777"/>
      <c r="AI1016" s="1778"/>
      <c r="AJ1016" s="1683"/>
      <c r="AK1016" s="1684"/>
      <c r="AL1016" s="1684"/>
      <c r="AM1016" s="1684"/>
      <c r="AN1016" s="1684"/>
      <c r="AO1016" s="1684"/>
      <c r="AP1016" s="1684"/>
      <c r="AQ1016" s="1685"/>
      <c r="AR1016" s="1176"/>
      <c r="AS1016" s="1176"/>
      <c r="AT1016" s="1176"/>
      <c r="AU1016" s="1176"/>
      <c r="AV1016" s="1176"/>
      <c r="AW1016" s="1176"/>
      <c r="AX1016" s="1176"/>
      <c r="AY1016" s="1190">
        <f>IF(A1086="Yes",0.01,0)</f>
        <v>0</v>
      </c>
    </row>
    <row r="1017" spans="1:51" ht="13.2" customHeight="1">
      <c r="A1017" s="14"/>
      <c r="B1017" s="59"/>
      <c r="C1017" s="1187"/>
      <c r="D1017" s="1642"/>
      <c r="E1017" s="1643"/>
      <c r="F1017" s="1643"/>
      <c r="G1017" s="1643"/>
      <c r="H1017" s="1643"/>
      <c r="I1017" s="1643"/>
      <c r="J1017" s="1643"/>
      <c r="K1017" s="1643"/>
      <c r="L1017" s="1643"/>
      <c r="M1017" s="1643"/>
      <c r="N1017" s="1643"/>
      <c r="O1017" s="1643"/>
      <c r="P1017" s="1643"/>
      <c r="Q1017" s="1643"/>
      <c r="R1017" s="1643"/>
      <c r="S1017" s="1643"/>
      <c r="T1017" s="1643"/>
      <c r="U1017" s="1643"/>
      <c r="V1017" s="1643"/>
      <c r="W1017" s="1643"/>
      <c r="X1017" s="1643"/>
      <c r="Y1017" s="1643"/>
      <c r="Z1017" s="1643"/>
      <c r="AA1017" s="1643"/>
      <c r="AB1017" s="1643"/>
      <c r="AC1017" s="1643"/>
      <c r="AD1017" s="1643"/>
      <c r="AE1017" s="1644"/>
      <c r="AF1017" s="1776"/>
      <c r="AG1017" s="1777"/>
      <c r="AH1017" s="1777"/>
      <c r="AI1017" s="1778"/>
      <c r="AJ1017" s="1683"/>
      <c r="AK1017" s="1684"/>
      <c r="AL1017" s="1684"/>
      <c r="AM1017" s="1684"/>
      <c r="AN1017" s="1684"/>
      <c r="AO1017" s="1684"/>
      <c r="AP1017" s="1684"/>
      <c r="AQ1017" s="1685"/>
      <c r="AR1017" s="1176"/>
      <c r="AS1017" s="1176"/>
      <c r="AT1017" s="1176"/>
      <c r="AU1017" s="1176"/>
      <c r="AV1017" s="1176"/>
      <c r="AW1017" s="1176"/>
      <c r="AX1017" s="1176"/>
      <c r="AY1017" s="1190">
        <f>IF(A1091="Yes",0.01,0)</f>
        <v>0</v>
      </c>
    </row>
    <row r="1018" spans="1:51" ht="13.2" customHeight="1">
      <c r="A1018" s="14"/>
      <c r="B1018" s="1191"/>
      <c r="C1018" s="1184"/>
      <c r="D1018" s="1625"/>
      <c r="E1018" s="1626"/>
      <c r="F1018" s="1626"/>
      <c r="G1018" s="1626"/>
      <c r="H1018" s="1626"/>
      <c r="I1018" s="1626"/>
      <c r="J1018" s="1626"/>
      <c r="K1018" s="1626"/>
      <c r="L1018" s="1626"/>
      <c r="M1018" s="1626"/>
      <c r="N1018" s="1626"/>
      <c r="O1018" s="1626"/>
      <c r="P1018" s="1626"/>
      <c r="Q1018" s="1626"/>
      <c r="R1018" s="1626"/>
      <c r="S1018" s="1626"/>
      <c r="T1018" s="1626"/>
      <c r="U1018" s="1626"/>
      <c r="V1018" s="1626"/>
      <c r="W1018" s="1626"/>
      <c r="X1018" s="1626"/>
      <c r="Y1018" s="1626"/>
      <c r="Z1018" s="1626"/>
      <c r="AA1018" s="1626"/>
      <c r="AB1018" s="1626"/>
      <c r="AC1018" s="1626"/>
      <c r="AD1018" s="1626"/>
      <c r="AE1018" s="1627"/>
      <c r="AF1018" s="1779"/>
      <c r="AG1018" s="1780"/>
      <c r="AH1018" s="1780"/>
      <c r="AI1018" s="1781"/>
      <c r="AJ1018" s="1686"/>
      <c r="AK1018" s="1687"/>
      <c r="AL1018" s="1687"/>
      <c r="AM1018" s="1687"/>
      <c r="AN1018" s="1687"/>
      <c r="AO1018" s="1687"/>
      <c r="AP1018" s="1687"/>
      <c r="AQ1018" s="1688"/>
      <c r="AR1018" s="1176"/>
      <c r="AS1018" s="1176"/>
      <c r="AT1018" s="1176"/>
      <c r="AU1018" s="1176"/>
      <c r="AV1018" s="1176"/>
      <c r="AW1018" s="1176"/>
      <c r="AX1018" s="1176"/>
      <c r="AY1018" s="1190">
        <f>IF(A1094="Yes",0.01,0)</f>
        <v>0</v>
      </c>
    </row>
    <row r="1019" spans="1:51" ht="13.2" customHeight="1">
      <c r="A1019" s="14"/>
      <c r="B1019" s="62"/>
      <c r="C1019" s="260" t="s">
        <v>1766</v>
      </c>
      <c r="D1019" s="1743" t="s">
        <v>1767</v>
      </c>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62"/>
      <c r="AG1019" s="1728" t="s">
        <v>892</v>
      </c>
      <c r="AH1019" s="1729"/>
      <c r="AI1019" s="65"/>
      <c r="AJ1019" s="1680">
        <f>ROUND(IF(AND(AG1019="Yes",J1023&lt;&gt;"N/A",AF1022&lt;&gt;""),MIN(AF1022,(0.15*AJ991)),0),0)</f>
        <v>0</v>
      </c>
      <c r="AK1019" s="1681"/>
      <c r="AL1019" s="1681"/>
      <c r="AM1019" s="1681"/>
      <c r="AN1019" s="1681"/>
      <c r="AO1019" s="1681"/>
      <c r="AP1019" s="1681"/>
      <c r="AQ1019" s="1682"/>
      <c r="AR1019" s="1176"/>
      <c r="AS1019" s="1176"/>
      <c r="AT1019" s="1176"/>
      <c r="AU1019" s="1176"/>
      <c r="AV1019" s="1176"/>
      <c r="AW1019" s="1176"/>
      <c r="AX1019" s="1176"/>
      <c r="AY1019" s="1190">
        <f>IF(A1098="Yes",0.02,0)</f>
        <v>0</v>
      </c>
    </row>
    <row r="1020" spans="1:51" ht="13.2" customHeight="1">
      <c r="A1020" s="14"/>
      <c r="B1020" s="1191"/>
      <c r="C1020" s="1192"/>
      <c r="D1020" s="1746"/>
      <c r="E1020" s="1747"/>
      <c r="F1020" s="1747"/>
      <c r="G1020" s="1747"/>
      <c r="H1020" s="1747"/>
      <c r="I1020" s="1747"/>
      <c r="J1020" s="1747"/>
      <c r="K1020" s="1747"/>
      <c r="L1020" s="1747"/>
      <c r="M1020" s="1747"/>
      <c r="N1020" s="1747"/>
      <c r="O1020" s="1747"/>
      <c r="P1020" s="1747"/>
      <c r="Q1020" s="1747"/>
      <c r="R1020" s="1747"/>
      <c r="S1020" s="1747"/>
      <c r="T1020" s="1747"/>
      <c r="U1020" s="1747"/>
      <c r="V1020" s="1747"/>
      <c r="W1020" s="1747"/>
      <c r="X1020" s="1747"/>
      <c r="Y1020" s="1747"/>
      <c r="Z1020" s="1747"/>
      <c r="AA1020" s="1747"/>
      <c r="AB1020" s="1747"/>
      <c r="AC1020" s="1747"/>
      <c r="AD1020" s="1747"/>
      <c r="AE1020" s="1748"/>
      <c r="AF1020" s="1755" t="str">
        <f>IF(AG1019="yes","Please Select Type and Enter Amount:","")</f>
        <v/>
      </c>
      <c r="AG1020" s="1756"/>
      <c r="AH1020" s="1756"/>
      <c r="AI1020" s="1757"/>
      <c r="AJ1020" s="1683"/>
      <c r="AK1020" s="1684"/>
      <c r="AL1020" s="1684"/>
      <c r="AM1020" s="1684"/>
      <c r="AN1020" s="1684"/>
      <c r="AO1020" s="1684"/>
      <c r="AP1020" s="1684"/>
      <c r="AQ1020" s="1685"/>
      <c r="AR1020" s="1176"/>
      <c r="AS1020" s="1176"/>
      <c r="AT1020" s="1176"/>
      <c r="AU1020" s="1176"/>
      <c r="AV1020" s="1176"/>
      <c r="AW1020" s="1176"/>
      <c r="AX1020" s="1176"/>
      <c r="AY1020" s="784">
        <f>IF(A1103="Yes",0.02,0)</f>
        <v>0</v>
      </c>
    </row>
    <row r="1021" spans="1:51" ht="13.2" customHeight="1">
      <c r="A1021" s="14"/>
      <c r="B1021" s="1191"/>
      <c r="C1021" s="1192"/>
      <c r="D1021" s="1642" t="s">
        <v>1768</v>
      </c>
      <c r="E1021" s="1643"/>
      <c r="F1021" s="1643"/>
      <c r="G1021" s="1643"/>
      <c r="H1021" s="1643"/>
      <c r="I1021" s="1643"/>
      <c r="J1021" s="1643"/>
      <c r="K1021" s="1643"/>
      <c r="L1021" s="1643"/>
      <c r="M1021" s="1643"/>
      <c r="N1021" s="1643"/>
      <c r="O1021" s="1643"/>
      <c r="P1021" s="1643"/>
      <c r="Q1021" s="1643"/>
      <c r="R1021" s="1643"/>
      <c r="S1021" s="1643"/>
      <c r="T1021" s="1643"/>
      <c r="U1021" s="1643"/>
      <c r="V1021" s="1643"/>
      <c r="W1021" s="1643"/>
      <c r="X1021" s="1643"/>
      <c r="Y1021" s="1643"/>
      <c r="Z1021" s="1643"/>
      <c r="AA1021" s="1643"/>
      <c r="AB1021" s="1643"/>
      <c r="AC1021" s="1643"/>
      <c r="AD1021" s="1643"/>
      <c r="AE1021" s="1644"/>
      <c r="AF1021" s="1755"/>
      <c r="AG1021" s="1756"/>
      <c r="AH1021" s="1756"/>
      <c r="AI1021" s="1757"/>
      <c r="AJ1021" s="1683"/>
      <c r="AK1021" s="1684"/>
      <c r="AL1021" s="1684"/>
      <c r="AM1021" s="1684"/>
      <c r="AN1021" s="1684"/>
      <c r="AO1021" s="1684"/>
      <c r="AP1021" s="1684"/>
      <c r="AQ1021" s="1685"/>
      <c r="AR1021" s="1176"/>
      <c r="AS1021" s="1176"/>
      <c r="AT1021" s="1176"/>
      <c r="AU1021" s="1176"/>
      <c r="AV1021" s="1176"/>
      <c r="AW1021" s="1176"/>
      <c r="AX1021" s="1176"/>
      <c r="AY1021" s="1176"/>
    </row>
    <row r="1022" spans="1:51" ht="13.2" customHeight="1">
      <c r="A1022" s="14"/>
      <c r="B1022" s="1191"/>
      <c r="C1022" s="1192"/>
      <c r="D1022" s="1642"/>
      <c r="E1022" s="1643"/>
      <c r="F1022" s="1643"/>
      <c r="G1022" s="1643"/>
      <c r="H1022" s="1643"/>
      <c r="I1022" s="1643"/>
      <c r="J1022" s="1643"/>
      <c r="K1022" s="1643"/>
      <c r="L1022" s="1643"/>
      <c r="M1022" s="1643"/>
      <c r="N1022" s="1643"/>
      <c r="O1022" s="1643"/>
      <c r="P1022" s="1643"/>
      <c r="Q1022" s="1643"/>
      <c r="R1022" s="1643"/>
      <c r="S1022" s="1643"/>
      <c r="T1022" s="1643"/>
      <c r="U1022" s="1643"/>
      <c r="V1022" s="1643"/>
      <c r="W1022" s="1643"/>
      <c r="X1022" s="1643"/>
      <c r="Y1022" s="1643"/>
      <c r="Z1022" s="1643"/>
      <c r="AA1022" s="1643"/>
      <c r="AB1022" s="1643"/>
      <c r="AC1022" s="1643"/>
      <c r="AD1022" s="1643"/>
      <c r="AE1022" s="1644"/>
      <c r="AF1022" s="1758"/>
      <c r="AG1022" s="1758"/>
      <c r="AH1022" s="1758"/>
      <c r="AI1022" s="1758"/>
      <c r="AJ1022" s="1683"/>
      <c r="AK1022" s="1684"/>
      <c r="AL1022" s="1684"/>
      <c r="AM1022" s="1684"/>
      <c r="AN1022" s="1684"/>
      <c r="AO1022" s="1684"/>
      <c r="AP1022" s="1684"/>
      <c r="AQ1022" s="1685"/>
      <c r="AR1022" s="1176"/>
      <c r="AS1022" s="1176"/>
      <c r="AT1022" s="1176"/>
      <c r="AU1022" s="1176"/>
      <c r="AV1022" s="1176"/>
      <c r="AW1022" s="1176"/>
      <c r="AX1022" s="1176"/>
      <c r="AY1022" s="1176" t="str">
        <f>"Select items beginning on row #"&amp;TEXT(ROW(A1060),"#")&amp;" to claim this boost"</f>
        <v>Select items beginning on row #1060 to claim this boost</v>
      </c>
    </row>
    <row r="1023" spans="1:51" ht="13.2" customHeight="1">
      <c r="A1023" s="14"/>
      <c r="B1023" s="1191"/>
      <c r="C1023" s="1192"/>
      <c r="D1023" s="450" t="s">
        <v>1769</v>
      </c>
      <c r="E1023" s="67"/>
      <c r="F1023" s="67"/>
      <c r="G1023" s="817"/>
      <c r="H1023" s="817"/>
      <c r="I1023" s="42"/>
      <c r="J1023" s="1759" t="s">
        <v>299</v>
      </c>
      <c r="K1023" s="1760"/>
      <c r="L1023" s="1760"/>
      <c r="M1023" s="1760"/>
      <c r="N1023" s="1760"/>
      <c r="O1023" s="1760"/>
      <c r="P1023" s="1760"/>
      <c r="Q1023" s="1760"/>
      <c r="R1023" s="1760"/>
      <c r="S1023" s="1760"/>
      <c r="T1023" s="1760"/>
      <c r="U1023" s="1760"/>
      <c r="V1023" s="1760"/>
      <c r="W1023" s="1760"/>
      <c r="X1023" s="1760"/>
      <c r="Y1023" s="1760"/>
      <c r="Z1023" s="1760"/>
      <c r="AA1023" s="1760"/>
      <c r="AB1023" s="1760"/>
      <c r="AC1023" s="1760"/>
      <c r="AD1023" s="1760"/>
      <c r="AE1023" s="1761"/>
      <c r="AF1023" s="1758"/>
      <c r="AG1023" s="1758"/>
      <c r="AH1023" s="1758"/>
      <c r="AI1023" s="1758"/>
      <c r="AJ1023" s="1686"/>
      <c r="AK1023" s="1687"/>
      <c r="AL1023" s="1687"/>
      <c r="AM1023" s="1687"/>
      <c r="AN1023" s="1687"/>
      <c r="AO1023" s="1687"/>
      <c r="AP1023" s="1687"/>
      <c r="AQ1023" s="1688"/>
      <c r="AR1023" s="1176"/>
      <c r="AS1023" s="1176"/>
      <c r="AT1023" s="1176"/>
      <c r="AU1023" s="1176"/>
      <c r="AV1023" s="1176"/>
      <c r="AW1023" s="1176"/>
      <c r="AX1023" s="1176"/>
      <c r="AY1023" s="1176"/>
    </row>
    <row r="1024" spans="1:51" ht="13.2" customHeight="1">
      <c r="A1024" s="14"/>
      <c r="B1024" s="62"/>
      <c r="C1024" s="260" t="s">
        <v>1770</v>
      </c>
      <c r="D1024" s="1616" t="s">
        <v>1771</v>
      </c>
      <c r="E1024" s="1617"/>
      <c r="F1024" s="1617"/>
      <c r="G1024" s="1617"/>
      <c r="H1024" s="1617"/>
      <c r="I1024" s="1617"/>
      <c r="J1024" s="1617"/>
      <c r="K1024" s="1617"/>
      <c r="L1024" s="1617"/>
      <c r="M1024" s="1617"/>
      <c r="N1024" s="1617"/>
      <c r="O1024" s="1617"/>
      <c r="P1024" s="1617"/>
      <c r="Q1024" s="1617"/>
      <c r="R1024" s="1617"/>
      <c r="S1024" s="1617"/>
      <c r="T1024" s="1617"/>
      <c r="U1024" s="1617"/>
      <c r="V1024" s="1617"/>
      <c r="W1024" s="1617"/>
      <c r="X1024" s="1617"/>
      <c r="Y1024" s="1617"/>
      <c r="Z1024" s="1617"/>
      <c r="AA1024" s="1617"/>
      <c r="AB1024" s="1617"/>
      <c r="AC1024" s="1617"/>
      <c r="AD1024" s="1617"/>
      <c r="AE1024" s="1618"/>
      <c r="AF1024" s="62"/>
      <c r="AG1024" s="1728" t="s">
        <v>892</v>
      </c>
      <c r="AH1024" s="1729"/>
      <c r="AI1024" s="65"/>
      <c r="AJ1024" s="1680">
        <f>ROUND(IF(AG1024="Yes",AF1026,0),0)</f>
        <v>0</v>
      </c>
      <c r="AK1024" s="1681"/>
      <c r="AL1024" s="1681"/>
      <c r="AM1024" s="1681"/>
      <c r="AN1024" s="1681"/>
      <c r="AO1024" s="1681"/>
      <c r="AP1024" s="1681"/>
      <c r="AQ1024" s="1682"/>
      <c r="AR1024" s="1176"/>
      <c r="AS1024" s="1176"/>
      <c r="AT1024" s="1176"/>
      <c r="AU1024" s="1176"/>
      <c r="AV1024" s="1176"/>
      <c r="AW1024" s="1176"/>
      <c r="AX1024" s="1176"/>
      <c r="AY1024" s="1176"/>
    </row>
    <row r="1025" spans="1:51" ht="13.2" customHeight="1">
      <c r="A1025" s="14"/>
      <c r="B1025" s="59"/>
      <c r="C1025" s="1187"/>
      <c r="D1025" s="1642" t="s">
        <v>1772</v>
      </c>
      <c r="E1025" s="1643"/>
      <c r="F1025" s="1643"/>
      <c r="G1025" s="1643"/>
      <c r="H1025" s="1643"/>
      <c r="I1025" s="1643"/>
      <c r="J1025" s="1643"/>
      <c r="K1025" s="1643"/>
      <c r="L1025" s="1643"/>
      <c r="M1025" s="1643"/>
      <c r="N1025" s="1643"/>
      <c r="O1025" s="1643"/>
      <c r="P1025" s="1643"/>
      <c r="Q1025" s="1643"/>
      <c r="R1025" s="1643"/>
      <c r="S1025" s="1643"/>
      <c r="T1025" s="1643"/>
      <c r="U1025" s="1643"/>
      <c r="V1025" s="1643"/>
      <c r="W1025" s="1643"/>
      <c r="X1025" s="1643"/>
      <c r="Y1025" s="1643"/>
      <c r="Z1025" s="1643"/>
      <c r="AA1025" s="1643"/>
      <c r="AB1025" s="1643"/>
      <c r="AC1025" s="1643"/>
      <c r="AD1025" s="1643"/>
      <c r="AE1025" s="1644"/>
      <c r="AF1025" s="1749" t="str">
        <f>IF(AG1024="yes","Enter Amount:","")</f>
        <v/>
      </c>
      <c r="AG1025" s="1750"/>
      <c r="AH1025" s="1750"/>
      <c r="AI1025" s="1751"/>
      <c r="AJ1025" s="1683"/>
      <c r="AK1025" s="1684"/>
      <c r="AL1025" s="1684"/>
      <c r="AM1025" s="1684"/>
      <c r="AN1025" s="1684"/>
      <c r="AO1025" s="1684"/>
      <c r="AP1025" s="1684"/>
      <c r="AQ1025" s="1685"/>
      <c r="AR1025" s="1176"/>
      <c r="AS1025" s="1176"/>
      <c r="AT1025" s="1176"/>
      <c r="AU1025" s="1176"/>
      <c r="AV1025" s="1176"/>
      <c r="AW1025" s="1176"/>
      <c r="AX1025" s="1176"/>
      <c r="AY1025" s="1176"/>
    </row>
    <row r="1026" spans="1:51" ht="13.2" customHeight="1">
      <c r="A1026" s="14"/>
      <c r="B1026" s="59"/>
      <c r="C1026" s="1187"/>
      <c r="D1026" s="1642"/>
      <c r="E1026" s="1643"/>
      <c r="F1026" s="1643"/>
      <c r="G1026" s="1643"/>
      <c r="H1026" s="1643"/>
      <c r="I1026" s="1643"/>
      <c r="J1026" s="1643"/>
      <c r="K1026" s="1643"/>
      <c r="L1026" s="1643"/>
      <c r="M1026" s="1643"/>
      <c r="N1026" s="1643"/>
      <c r="O1026" s="1643"/>
      <c r="P1026" s="1643"/>
      <c r="Q1026" s="1643"/>
      <c r="R1026" s="1643"/>
      <c r="S1026" s="1643"/>
      <c r="T1026" s="1643"/>
      <c r="U1026" s="1643"/>
      <c r="V1026" s="1643"/>
      <c r="W1026" s="1643"/>
      <c r="X1026" s="1643"/>
      <c r="Y1026" s="1643"/>
      <c r="Z1026" s="1643"/>
      <c r="AA1026" s="1643"/>
      <c r="AB1026" s="1643"/>
      <c r="AC1026" s="1643"/>
      <c r="AD1026" s="1643"/>
      <c r="AE1026" s="1644"/>
      <c r="AF1026" s="1758"/>
      <c r="AG1026" s="1758"/>
      <c r="AH1026" s="1758"/>
      <c r="AI1026" s="1758"/>
      <c r="AJ1026" s="1683"/>
      <c r="AK1026" s="1684"/>
      <c r="AL1026" s="1684"/>
      <c r="AM1026" s="1684"/>
      <c r="AN1026" s="1684"/>
      <c r="AO1026" s="1684"/>
      <c r="AP1026" s="1684"/>
      <c r="AQ1026" s="1685"/>
      <c r="AR1026" s="1176"/>
      <c r="AS1026" s="1176"/>
      <c r="AT1026" s="1176"/>
      <c r="AU1026" s="1176"/>
      <c r="AV1026" s="1176"/>
      <c r="AW1026" s="1176"/>
      <c r="AX1026" s="1176"/>
      <c r="AY1026" s="1176"/>
    </row>
    <row r="1027" spans="1:51" ht="13.2" customHeight="1">
      <c r="A1027" s="14"/>
      <c r="B1027" s="1188"/>
      <c r="C1027" s="1192"/>
      <c r="D1027" s="1625"/>
      <c r="E1027" s="1626"/>
      <c r="F1027" s="1626"/>
      <c r="G1027" s="1626"/>
      <c r="H1027" s="1626"/>
      <c r="I1027" s="1626"/>
      <c r="J1027" s="1626"/>
      <c r="K1027" s="1626"/>
      <c r="L1027" s="1626"/>
      <c r="M1027" s="1626"/>
      <c r="N1027" s="1626"/>
      <c r="O1027" s="1626"/>
      <c r="P1027" s="1626"/>
      <c r="Q1027" s="1626"/>
      <c r="R1027" s="1626"/>
      <c r="S1027" s="1626"/>
      <c r="T1027" s="1626"/>
      <c r="U1027" s="1626"/>
      <c r="V1027" s="1626"/>
      <c r="W1027" s="1626"/>
      <c r="X1027" s="1626"/>
      <c r="Y1027" s="1626"/>
      <c r="Z1027" s="1626"/>
      <c r="AA1027" s="1626"/>
      <c r="AB1027" s="1626"/>
      <c r="AC1027" s="1626"/>
      <c r="AD1027" s="1626"/>
      <c r="AE1027" s="1627"/>
      <c r="AF1027" s="1758"/>
      <c r="AG1027" s="1758"/>
      <c r="AH1027" s="1758"/>
      <c r="AI1027" s="1758"/>
      <c r="AJ1027" s="1686"/>
      <c r="AK1027" s="1687"/>
      <c r="AL1027" s="1687"/>
      <c r="AM1027" s="1687"/>
      <c r="AN1027" s="1687"/>
      <c r="AO1027" s="1687"/>
      <c r="AP1027" s="1687"/>
      <c r="AQ1027" s="1688"/>
      <c r="AR1027" s="1176"/>
      <c r="AS1027" s="1176"/>
      <c r="AT1027" s="1176"/>
      <c r="AU1027" s="1176"/>
      <c r="AV1027" s="1176"/>
      <c r="AW1027" s="1176"/>
      <c r="AX1027" s="1176"/>
      <c r="AY1027" s="1176"/>
    </row>
    <row r="1028" spans="1:51" ht="13.2" customHeight="1">
      <c r="A1028" s="14"/>
      <c r="B1028" s="62"/>
      <c r="C1028" s="260" t="s">
        <v>1773</v>
      </c>
      <c r="D1028" s="1720" t="s">
        <v>1774</v>
      </c>
      <c r="E1028" s="1721"/>
      <c r="F1028" s="1721"/>
      <c r="G1028" s="1721"/>
      <c r="H1028" s="1721"/>
      <c r="I1028" s="1721"/>
      <c r="J1028" s="1721"/>
      <c r="K1028" s="1721"/>
      <c r="L1028" s="1721"/>
      <c r="M1028" s="1721"/>
      <c r="N1028" s="1721"/>
      <c r="O1028" s="1721"/>
      <c r="P1028" s="1721"/>
      <c r="Q1028" s="1721"/>
      <c r="R1028" s="1721"/>
      <c r="S1028" s="1721"/>
      <c r="T1028" s="1721"/>
      <c r="U1028" s="1721"/>
      <c r="V1028" s="1721"/>
      <c r="W1028" s="1721"/>
      <c r="X1028" s="1721"/>
      <c r="Y1028" s="1721"/>
      <c r="Z1028" s="1721"/>
      <c r="AA1028" s="1721"/>
      <c r="AB1028" s="1721"/>
      <c r="AC1028" s="1721"/>
      <c r="AD1028" s="1721"/>
      <c r="AE1028" s="1722"/>
      <c r="AF1028" s="62"/>
      <c r="AG1028" s="1728" t="s">
        <v>836</v>
      </c>
      <c r="AH1028" s="1729"/>
      <c r="AI1028" s="65"/>
      <c r="AJ1028" s="1680">
        <f>ROUND(IF(AG1028="yes",(AJ991*0.1),0),0)</f>
        <v>5139062</v>
      </c>
      <c r="AK1028" s="1681"/>
      <c r="AL1028" s="1681"/>
      <c r="AM1028" s="1681"/>
      <c r="AN1028" s="1681"/>
      <c r="AO1028" s="1681"/>
      <c r="AP1028" s="1681"/>
      <c r="AQ1028" s="1682"/>
      <c r="AR1028" s="1176"/>
      <c r="AS1028" s="1176"/>
      <c r="AT1028" s="1176"/>
      <c r="AU1028" s="1176"/>
      <c r="AV1028" s="1176"/>
      <c r="AW1028" s="1176"/>
      <c r="AX1028" s="1176"/>
      <c r="AY1028" s="1176"/>
    </row>
    <row r="1029" spans="1:51" ht="13.2" customHeight="1">
      <c r="A1029" s="14"/>
      <c r="B1029" s="59"/>
      <c r="C1029" s="1187"/>
      <c r="D1029" s="1642" t="s">
        <v>1775</v>
      </c>
      <c r="E1029" s="1643"/>
      <c r="F1029" s="1643"/>
      <c r="G1029" s="1643"/>
      <c r="H1029" s="1643"/>
      <c r="I1029" s="1643"/>
      <c r="J1029" s="1643"/>
      <c r="K1029" s="1643"/>
      <c r="L1029" s="1643"/>
      <c r="M1029" s="1643"/>
      <c r="N1029" s="1643"/>
      <c r="O1029" s="1643"/>
      <c r="P1029" s="1643"/>
      <c r="Q1029" s="1643"/>
      <c r="R1029" s="1643"/>
      <c r="S1029" s="1643"/>
      <c r="T1029" s="1643"/>
      <c r="U1029" s="1643"/>
      <c r="V1029" s="1643"/>
      <c r="W1029" s="1643"/>
      <c r="X1029" s="1643"/>
      <c r="Y1029" s="1643"/>
      <c r="Z1029" s="1643"/>
      <c r="AA1029" s="1643"/>
      <c r="AB1029" s="1643"/>
      <c r="AC1029" s="1643"/>
      <c r="AD1029" s="1643"/>
      <c r="AE1029" s="1644"/>
      <c r="AF1029" s="59"/>
      <c r="AG1029" s="14"/>
      <c r="AH1029" s="14"/>
      <c r="AI1029" s="63"/>
      <c r="AJ1029" s="1683"/>
      <c r="AK1029" s="1684"/>
      <c r="AL1029" s="1684"/>
      <c r="AM1029" s="1684"/>
      <c r="AN1029" s="1684"/>
      <c r="AO1029" s="1684"/>
      <c r="AP1029" s="1684"/>
      <c r="AQ1029" s="1685"/>
      <c r="AR1029" s="1176"/>
      <c r="AS1029" s="1176"/>
      <c r="AT1029" s="1176"/>
      <c r="AU1029" s="1176"/>
      <c r="AV1029" s="1176"/>
      <c r="AW1029" s="1176"/>
      <c r="AX1029" s="1176"/>
      <c r="AY1029" s="1176"/>
    </row>
    <row r="1030" spans="1:51" ht="13.2" customHeight="1">
      <c r="A1030" s="14"/>
      <c r="B1030" s="60"/>
      <c r="C1030" s="1187"/>
      <c r="D1030" s="1625"/>
      <c r="E1030" s="1626"/>
      <c r="F1030" s="1626"/>
      <c r="G1030" s="1626"/>
      <c r="H1030" s="1626"/>
      <c r="I1030" s="1626"/>
      <c r="J1030" s="1626"/>
      <c r="K1030" s="1626"/>
      <c r="L1030" s="1626"/>
      <c r="M1030" s="1626"/>
      <c r="N1030" s="1626"/>
      <c r="O1030" s="1626"/>
      <c r="P1030" s="1626"/>
      <c r="Q1030" s="1626"/>
      <c r="R1030" s="1626"/>
      <c r="S1030" s="1626"/>
      <c r="T1030" s="1626"/>
      <c r="U1030" s="1626"/>
      <c r="V1030" s="1626"/>
      <c r="W1030" s="1626"/>
      <c r="X1030" s="1626"/>
      <c r="Y1030" s="1626"/>
      <c r="Z1030" s="1626"/>
      <c r="AA1030" s="1626"/>
      <c r="AB1030" s="1626"/>
      <c r="AC1030" s="1626"/>
      <c r="AD1030" s="1626"/>
      <c r="AE1030" s="1627"/>
      <c r="AF1030" s="59"/>
      <c r="AG1030" s="14"/>
      <c r="AH1030" s="14"/>
      <c r="AI1030" s="63"/>
      <c r="AJ1030" s="1686"/>
      <c r="AK1030" s="1687"/>
      <c r="AL1030" s="1687"/>
      <c r="AM1030" s="1687"/>
      <c r="AN1030" s="1687"/>
      <c r="AO1030" s="1687"/>
      <c r="AP1030" s="1687"/>
      <c r="AQ1030" s="1688"/>
      <c r="AR1030" s="1176"/>
      <c r="AS1030" s="1176"/>
      <c r="AT1030" s="1176"/>
      <c r="AU1030" s="1176"/>
      <c r="AV1030" s="1176"/>
      <c r="AW1030" s="1176"/>
      <c r="AX1030" s="1176"/>
      <c r="AY1030" s="1176"/>
    </row>
    <row r="1031" spans="1:51" ht="13.2" customHeight="1">
      <c r="A1031" s="14"/>
      <c r="B1031" s="59"/>
      <c r="C1031" s="260" t="s">
        <v>21</v>
      </c>
      <c r="D1031" s="1616" t="s">
        <v>1776</v>
      </c>
      <c r="E1031" s="1617"/>
      <c r="F1031" s="1617"/>
      <c r="G1031" s="1617"/>
      <c r="H1031" s="1617"/>
      <c r="I1031" s="1617"/>
      <c r="J1031" s="1617"/>
      <c r="K1031" s="1617"/>
      <c r="L1031" s="1617"/>
      <c r="M1031" s="1617"/>
      <c r="N1031" s="1617"/>
      <c r="O1031" s="1617"/>
      <c r="P1031" s="1617"/>
      <c r="Q1031" s="1617"/>
      <c r="R1031" s="1617"/>
      <c r="S1031" s="1617"/>
      <c r="T1031" s="1617"/>
      <c r="U1031" s="1617"/>
      <c r="V1031" s="1617"/>
      <c r="W1031" s="1617"/>
      <c r="X1031" s="1617"/>
      <c r="Y1031" s="1617"/>
      <c r="Z1031" s="1617"/>
      <c r="AA1031" s="1617"/>
      <c r="AB1031" s="1617"/>
      <c r="AC1031" s="1617"/>
      <c r="AD1031" s="1617"/>
      <c r="AE1031" s="1618"/>
      <c r="AF1031" s="62"/>
      <c r="AG1031" s="1728" t="s">
        <v>892</v>
      </c>
      <c r="AH1031" s="1729"/>
      <c r="AI1031" s="65"/>
      <c r="AJ1031" s="1680">
        <f>ROUND(IF(AG1031="yes",(AJ991*0.15),0),0)</f>
        <v>0</v>
      </c>
      <c r="AK1031" s="1681"/>
      <c r="AL1031" s="1681"/>
      <c r="AM1031" s="1681"/>
      <c r="AN1031" s="1681"/>
      <c r="AO1031" s="1681"/>
      <c r="AP1031" s="1681"/>
      <c r="AQ1031" s="1682"/>
      <c r="AR1031" s="1176"/>
      <c r="AS1031" s="1176"/>
      <c r="AT1031" s="1176"/>
      <c r="AU1031" s="1176"/>
      <c r="AV1031" s="1176"/>
      <c r="AW1031" s="1176"/>
      <c r="AX1031" s="1176"/>
      <c r="AY1031" s="1176"/>
    </row>
    <row r="1032" spans="1:51" ht="13.2" customHeight="1">
      <c r="A1032" s="14"/>
      <c r="B1032" s="59"/>
      <c r="C1032" s="1187"/>
      <c r="D1032" s="1736" t="s">
        <v>1777</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737"/>
      <c r="AF1032" s="836"/>
      <c r="AG1032" s="837"/>
      <c r="AH1032" s="837"/>
      <c r="AI1032" s="838"/>
      <c r="AJ1032" s="1683"/>
      <c r="AK1032" s="1684"/>
      <c r="AL1032" s="1684"/>
      <c r="AM1032" s="1684"/>
      <c r="AN1032" s="1684"/>
      <c r="AO1032" s="1684"/>
      <c r="AP1032" s="1684"/>
      <c r="AQ1032" s="1685"/>
      <c r="AR1032" s="1176"/>
      <c r="AS1032" s="1176"/>
      <c r="AT1032" s="1176"/>
      <c r="AU1032" s="1176"/>
      <c r="AV1032" s="1176"/>
      <c r="AW1032" s="1176"/>
      <c r="AX1032" s="1176"/>
      <c r="AY1032" s="1176"/>
    </row>
    <row r="1033" spans="1:51" ht="13.2" customHeight="1">
      <c r="A1033" s="14"/>
      <c r="B1033" s="59"/>
      <c r="C1033" s="1187"/>
      <c r="D1033" s="1736"/>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737"/>
      <c r="AF1033" s="836"/>
      <c r="AG1033" s="837"/>
      <c r="AH1033" s="837"/>
      <c r="AI1033" s="838"/>
      <c r="AJ1033" s="1683"/>
      <c r="AK1033" s="1684"/>
      <c r="AL1033" s="1684"/>
      <c r="AM1033" s="1684"/>
      <c r="AN1033" s="1684"/>
      <c r="AO1033" s="1684"/>
      <c r="AP1033" s="1684"/>
      <c r="AQ1033" s="1685"/>
      <c r="AR1033" s="1176"/>
      <c r="AS1033" s="1176"/>
      <c r="AT1033" s="1176"/>
      <c r="AU1033" s="1176"/>
      <c r="AV1033" s="1176"/>
      <c r="AW1033" s="1176"/>
      <c r="AX1033" s="1176"/>
      <c r="AY1033" s="1176"/>
    </row>
    <row r="1034" spans="1:51" ht="13.2" customHeight="1">
      <c r="A1034" s="14"/>
      <c r="B1034" s="59"/>
      <c r="C1034" s="1187"/>
      <c r="D1034" s="1738"/>
      <c r="E1034" s="1502"/>
      <c r="F1034" s="1502"/>
      <c r="G1034" s="1502"/>
      <c r="H1034" s="1502"/>
      <c r="I1034" s="1502"/>
      <c r="J1034" s="1502"/>
      <c r="K1034" s="1502"/>
      <c r="L1034" s="1502"/>
      <c r="M1034" s="1502"/>
      <c r="N1034" s="1502"/>
      <c r="O1034" s="1502"/>
      <c r="P1034" s="1502"/>
      <c r="Q1034" s="1502"/>
      <c r="R1034" s="1502"/>
      <c r="S1034" s="1502"/>
      <c r="T1034" s="1502"/>
      <c r="U1034" s="1502"/>
      <c r="V1034" s="1502"/>
      <c r="W1034" s="1502"/>
      <c r="X1034" s="1502"/>
      <c r="Y1034" s="1502"/>
      <c r="Z1034" s="1502"/>
      <c r="AA1034" s="1502"/>
      <c r="AB1034" s="1502"/>
      <c r="AC1034" s="1502"/>
      <c r="AD1034" s="1502"/>
      <c r="AE1034" s="1739"/>
      <c r="AF1034" s="839"/>
      <c r="AG1034" s="840"/>
      <c r="AH1034" s="840"/>
      <c r="AI1034" s="841"/>
      <c r="AJ1034" s="1686"/>
      <c r="AK1034" s="1687"/>
      <c r="AL1034" s="1687"/>
      <c r="AM1034" s="1687"/>
      <c r="AN1034" s="1687"/>
      <c r="AO1034" s="1687"/>
      <c r="AP1034" s="1687"/>
      <c r="AQ1034" s="1688"/>
      <c r="AR1034" s="1176"/>
      <c r="AS1034" s="1176"/>
      <c r="AT1034" s="1176"/>
      <c r="AU1034" s="1176"/>
      <c r="AV1034" s="1176"/>
      <c r="AW1034" s="1176"/>
      <c r="AX1034" s="1176"/>
      <c r="AY1034" s="1176"/>
    </row>
    <row r="1035" spans="1:51" ht="13.2" customHeight="1">
      <c r="A1035" s="14"/>
      <c r="B1035" s="59"/>
      <c r="C1035" s="260" t="s">
        <v>21</v>
      </c>
      <c r="D1035" s="1720" t="s">
        <v>1778</v>
      </c>
      <c r="E1035" s="1721"/>
      <c r="F1035" s="1721"/>
      <c r="G1035" s="1721"/>
      <c r="H1035" s="1721"/>
      <c r="I1035" s="1721"/>
      <c r="J1035" s="1721"/>
      <c r="K1035" s="1721"/>
      <c r="L1035" s="1721"/>
      <c r="M1035" s="1721"/>
      <c r="N1035" s="1721"/>
      <c r="O1035" s="1721"/>
      <c r="P1035" s="1721"/>
      <c r="Q1035" s="1721"/>
      <c r="R1035" s="1721"/>
      <c r="S1035" s="1721"/>
      <c r="T1035" s="1721"/>
      <c r="U1035" s="1721"/>
      <c r="V1035" s="1721"/>
      <c r="W1035" s="1721"/>
      <c r="X1035" s="1721"/>
      <c r="Y1035" s="1721"/>
      <c r="Z1035" s="1721"/>
      <c r="AA1035" s="1721"/>
      <c r="AB1035" s="1721"/>
      <c r="AC1035" s="1721"/>
      <c r="AD1035" s="1721"/>
      <c r="AE1035" s="1722"/>
      <c r="AF1035" s="59"/>
      <c r="AG1035" s="1714" t="s">
        <v>892</v>
      </c>
      <c r="AH1035" s="1715"/>
      <c r="AI1035" s="63"/>
      <c r="AJ1035" s="1680">
        <f>ROUND(IF(AND(AG1035="yes",AJ1031=0),(AJ991*0.1),0),0)</f>
        <v>0</v>
      </c>
      <c r="AK1035" s="1681"/>
      <c r="AL1035" s="1681"/>
      <c r="AM1035" s="1681"/>
      <c r="AN1035" s="1681"/>
      <c r="AO1035" s="1681"/>
      <c r="AP1035" s="1681"/>
      <c r="AQ1035" s="1682"/>
      <c r="AR1035" s="1176"/>
      <c r="AS1035" s="1176"/>
      <c r="AT1035" s="1176"/>
      <c r="AU1035" s="1176"/>
      <c r="AV1035" s="1176"/>
      <c r="AW1035" s="1176"/>
      <c r="AX1035" s="1176"/>
      <c r="AY1035" s="1176"/>
    </row>
    <row r="1036" spans="1:51" ht="13.2" customHeight="1">
      <c r="A1036" s="14"/>
      <c r="B1036" s="59"/>
      <c r="C1036" s="1187"/>
      <c r="D1036" s="1736" t="s">
        <v>1779</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737"/>
      <c r="AF1036" s="59"/>
      <c r="AG1036" s="14"/>
      <c r="AH1036" s="14"/>
      <c r="AI1036" s="63"/>
      <c r="AJ1036" s="1683"/>
      <c r="AK1036" s="1684"/>
      <c r="AL1036" s="1684"/>
      <c r="AM1036" s="1684"/>
      <c r="AN1036" s="1684"/>
      <c r="AO1036" s="1684"/>
      <c r="AP1036" s="1684"/>
      <c r="AQ1036" s="1685"/>
      <c r="AR1036" s="1176"/>
      <c r="AS1036" s="1176"/>
      <c r="AT1036" s="1176"/>
      <c r="AU1036" s="1176"/>
      <c r="AV1036" s="1176"/>
      <c r="AW1036" s="1176"/>
      <c r="AX1036" s="1176"/>
      <c r="AY1036" s="1176"/>
    </row>
    <row r="1037" spans="1:51" ht="13.2" customHeight="1">
      <c r="A1037" s="14"/>
      <c r="B1037" s="59"/>
      <c r="C1037" s="1187"/>
      <c r="D1037" s="1736"/>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737"/>
      <c r="AF1037" s="59"/>
      <c r="AG1037" s="14"/>
      <c r="AH1037" s="14"/>
      <c r="AI1037" s="63"/>
      <c r="AJ1037" s="1683"/>
      <c r="AK1037" s="1684"/>
      <c r="AL1037" s="1684"/>
      <c r="AM1037" s="1684"/>
      <c r="AN1037" s="1684"/>
      <c r="AO1037" s="1684"/>
      <c r="AP1037" s="1684"/>
      <c r="AQ1037" s="1685"/>
      <c r="AR1037" s="1176"/>
      <c r="AS1037" s="1176"/>
      <c r="AT1037" s="1176"/>
      <c r="AU1037" s="1176"/>
      <c r="AV1037" s="1176"/>
      <c r="AW1037" s="1176"/>
      <c r="AX1037" s="1176"/>
      <c r="AY1037" s="1176"/>
    </row>
    <row r="1038" spans="1:51" ht="13.2" customHeight="1">
      <c r="A1038" s="14"/>
      <c r="B1038" s="59"/>
      <c r="C1038" s="1187"/>
      <c r="D1038" s="1736"/>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737"/>
      <c r="AF1038" s="59"/>
      <c r="AG1038" s="14"/>
      <c r="AH1038" s="14"/>
      <c r="AI1038" s="63"/>
      <c r="AJ1038" s="1683"/>
      <c r="AK1038" s="1684"/>
      <c r="AL1038" s="1684"/>
      <c r="AM1038" s="1684"/>
      <c r="AN1038" s="1684"/>
      <c r="AO1038" s="1684"/>
      <c r="AP1038" s="1684"/>
      <c r="AQ1038" s="1685"/>
      <c r="AR1038" s="1176"/>
      <c r="AS1038" s="1176"/>
      <c r="AT1038" s="1176"/>
      <c r="AU1038" s="1176"/>
      <c r="AV1038" s="1176"/>
      <c r="AW1038" s="1176"/>
      <c r="AX1038" s="1176"/>
      <c r="AY1038" s="1176"/>
    </row>
    <row r="1039" spans="1:51" ht="13.2" customHeight="1">
      <c r="A1039" s="14"/>
      <c r="B1039" s="59"/>
      <c r="C1039" s="1187"/>
      <c r="D1039" s="1738"/>
      <c r="E1039" s="1502"/>
      <c r="F1039" s="1502"/>
      <c r="G1039" s="1502"/>
      <c r="H1039" s="1502"/>
      <c r="I1039" s="1502"/>
      <c r="J1039" s="1502"/>
      <c r="K1039" s="1502"/>
      <c r="L1039" s="1502"/>
      <c r="M1039" s="1502"/>
      <c r="N1039" s="1502"/>
      <c r="O1039" s="1502"/>
      <c r="P1039" s="1502"/>
      <c r="Q1039" s="1502"/>
      <c r="R1039" s="1502"/>
      <c r="S1039" s="1502"/>
      <c r="T1039" s="1502"/>
      <c r="U1039" s="1502"/>
      <c r="V1039" s="1502"/>
      <c r="W1039" s="1502"/>
      <c r="X1039" s="1502"/>
      <c r="Y1039" s="1502"/>
      <c r="Z1039" s="1502"/>
      <c r="AA1039" s="1502"/>
      <c r="AB1039" s="1502"/>
      <c r="AC1039" s="1502"/>
      <c r="AD1039" s="1502"/>
      <c r="AE1039" s="1739"/>
      <c r="AF1039" s="59"/>
      <c r="AG1039" s="14"/>
      <c r="AH1039" s="14"/>
      <c r="AI1039" s="63"/>
      <c r="AJ1039" s="1683"/>
      <c r="AK1039" s="1684"/>
      <c r="AL1039" s="1684"/>
      <c r="AM1039" s="1684"/>
      <c r="AN1039" s="1684"/>
      <c r="AO1039" s="1684"/>
      <c r="AP1039" s="1684"/>
      <c r="AQ1039" s="1685"/>
      <c r="AR1039" s="1176"/>
      <c r="AS1039" s="1176"/>
      <c r="AT1039" s="1176"/>
      <c r="AU1039" s="1176"/>
      <c r="AV1039" s="1176"/>
      <c r="AW1039" s="1176"/>
      <c r="AX1039" s="1176"/>
      <c r="AY1039" s="1176"/>
    </row>
    <row r="1040" spans="1:51" ht="13.2" customHeight="1">
      <c r="A1040" s="14"/>
      <c r="B1040" s="62"/>
      <c r="C1040" s="97" t="s">
        <v>1780</v>
      </c>
      <c r="D1040" s="1616" t="s">
        <v>1781</v>
      </c>
      <c r="E1040" s="1617"/>
      <c r="F1040" s="1617"/>
      <c r="G1040" s="1617"/>
      <c r="H1040" s="1617"/>
      <c r="I1040" s="1617"/>
      <c r="J1040" s="1617"/>
      <c r="K1040" s="1617"/>
      <c r="L1040" s="1617"/>
      <c r="M1040" s="1617"/>
      <c r="N1040" s="1617"/>
      <c r="O1040" s="1617"/>
      <c r="P1040" s="1617"/>
      <c r="Q1040" s="1617"/>
      <c r="R1040" s="1617"/>
      <c r="S1040" s="1617"/>
      <c r="T1040" s="1617"/>
      <c r="U1040" s="1617"/>
      <c r="V1040" s="1617"/>
      <c r="W1040" s="1617"/>
      <c r="X1040" s="1617"/>
      <c r="Y1040" s="1617"/>
      <c r="Z1040" s="1617"/>
      <c r="AA1040" s="1617"/>
      <c r="AB1040" s="1617"/>
      <c r="AC1040" s="1617"/>
      <c r="AD1040" s="1617"/>
      <c r="AE1040" s="1618"/>
      <c r="AF1040" s="62"/>
      <c r="AG1040" s="1728" t="s">
        <v>892</v>
      </c>
      <c r="AH1040" s="1729"/>
      <c r="AI1040" s="65"/>
      <c r="AJ1040" s="1680">
        <f>ROUND(IF(AG1040="yes",(AJ991*0.1),0),0)</f>
        <v>0</v>
      </c>
      <c r="AK1040" s="1681"/>
      <c r="AL1040" s="1681"/>
      <c r="AM1040" s="1681"/>
      <c r="AN1040" s="1681"/>
      <c r="AO1040" s="1681"/>
      <c r="AP1040" s="1681"/>
      <c r="AQ1040" s="1682"/>
      <c r="AR1040" s="1176"/>
      <c r="AS1040" s="1176"/>
      <c r="AT1040" s="1176"/>
      <c r="AU1040" s="1176"/>
      <c r="AV1040" s="1176"/>
      <c r="AW1040" s="1176"/>
      <c r="AX1040" s="1176"/>
      <c r="AY1040" s="1176"/>
    </row>
    <row r="1041" spans="1:51" ht="13.2" customHeight="1">
      <c r="A1041" s="14"/>
      <c r="B1041" s="59"/>
      <c r="C1041" s="1187"/>
      <c r="D1041" s="1642" t="s">
        <v>1782</v>
      </c>
      <c r="E1041" s="1643"/>
      <c r="F1041" s="1643"/>
      <c r="G1041" s="1643"/>
      <c r="H1041" s="1643"/>
      <c r="I1041" s="1643"/>
      <c r="J1041" s="1643"/>
      <c r="K1041" s="1643"/>
      <c r="L1041" s="1643"/>
      <c r="M1041" s="1643"/>
      <c r="N1041" s="1643"/>
      <c r="O1041" s="1643"/>
      <c r="P1041" s="1643"/>
      <c r="Q1041" s="1643"/>
      <c r="R1041" s="1643"/>
      <c r="S1041" s="1643"/>
      <c r="T1041" s="1643"/>
      <c r="U1041" s="1643"/>
      <c r="V1041" s="1643"/>
      <c r="W1041" s="1643"/>
      <c r="X1041" s="1643"/>
      <c r="Y1041" s="1643"/>
      <c r="Z1041" s="1643"/>
      <c r="AA1041" s="1643"/>
      <c r="AB1041" s="1643"/>
      <c r="AC1041" s="1643"/>
      <c r="AD1041" s="1643"/>
      <c r="AE1041" s="1644"/>
      <c r="AF1041" s="59"/>
      <c r="AG1041" s="14"/>
      <c r="AH1041" s="14"/>
      <c r="AI1041" s="63"/>
      <c r="AJ1041" s="1683"/>
      <c r="AK1041" s="1684"/>
      <c r="AL1041" s="1684"/>
      <c r="AM1041" s="1684"/>
      <c r="AN1041" s="1684"/>
      <c r="AO1041" s="1684"/>
      <c r="AP1041" s="1684"/>
      <c r="AQ1041" s="1685"/>
      <c r="AR1041" s="1176"/>
      <c r="AS1041" s="1176"/>
      <c r="AT1041" s="1176"/>
      <c r="AU1041" s="1176"/>
      <c r="AV1041" s="1176"/>
      <c r="AW1041" s="1176"/>
      <c r="AX1041" s="1176"/>
      <c r="AY1041" s="1176"/>
    </row>
    <row r="1042" spans="1:51" ht="13.2" customHeight="1">
      <c r="A1042" s="14"/>
      <c r="B1042" s="59"/>
      <c r="C1042" s="1187"/>
      <c r="D1042" s="1642"/>
      <c r="E1042" s="1643"/>
      <c r="F1042" s="1643"/>
      <c r="G1042" s="1643"/>
      <c r="H1042" s="1643"/>
      <c r="I1042" s="1643"/>
      <c r="J1042" s="1643"/>
      <c r="K1042" s="1643"/>
      <c r="L1042" s="1643"/>
      <c r="M1042" s="1643"/>
      <c r="N1042" s="1643"/>
      <c r="O1042" s="1643"/>
      <c r="P1042" s="1643"/>
      <c r="Q1042" s="1643"/>
      <c r="R1042" s="1643"/>
      <c r="S1042" s="1643"/>
      <c r="T1042" s="1643"/>
      <c r="U1042" s="1643"/>
      <c r="V1042" s="1643"/>
      <c r="W1042" s="1643"/>
      <c r="X1042" s="1643"/>
      <c r="Y1042" s="1643"/>
      <c r="Z1042" s="1643"/>
      <c r="AA1042" s="1643"/>
      <c r="AB1042" s="1643"/>
      <c r="AC1042" s="1643"/>
      <c r="AD1042" s="1643"/>
      <c r="AE1042" s="1644"/>
      <c r="AF1042" s="59"/>
      <c r="AG1042" s="14"/>
      <c r="AH1042" s="14"/>
      <c r="AI1042" s="63"/>
      <c r="AJ1042" s="1683"/>
      <c r="AK1042" s="1684"/>
      <c r="AL1042" s="1684"/>
      <c r="AM1042" s="1684"/>
      <c r="AN1042" s="1684"/>
      <c r="AO1042" s="1684"/>
      <c r="AP1042" s="1684"/>
      <c r="AQ1042" s="1685"/>
      <c r="AR1042" s="1176"/>
      <c r="AS1042" s="1176"/>
      <c r="AT1042" s="1176"/>
      <c r="AU1042" s="1176"/>
      <c r="AV1042" s="1176"/>
      <c r="AW1042" s="1176"/>
      <c r="AX1042" s="1176"/>
      <c r="AY1042" s="1176"/>
    </row>
    <row r="1043" spans="1:51" ht="13.2" customHeight="1">
      <c r="A1043" s="14"/>
      <c r="B1043" s="59"/>
      <c r="C1043" s="1187"/>
      <c r="D1043" s="1625"/>
      <c r="E1043" s="1626"/>
      <c r="F1043" s="1626"/>
      <c r="G1043" s="1626"/>
      <c r="H1043" s="1626"/>
      <c r="I1043" s="1626"/>
      <c r="J1043" s="1626"/>
      <c r="K1043" s="1626"/>
      <c r="L1043" s="1626"/>
      <c r="M1043" s="1626"/>
      <c r="N1043" s="1626"/>
      <c r="O1043" s="1626"/>
      <c r="P1043" s="1626"/>
      <c r="Q1043" s="1626"/>
      <c r="R1043" s="1626"/>
      <c r="S1043" s="1626"/>
      <c r="T1043" s="1626"/>
      <c r="U1043" s="1626"/>
      <c r="V1043" s="1626"/>
      <c r="W1043" s="1626"/>
      <c r="X1043" s="1626"/>
      <c r="Y1043" s="1626"/>
      <c r="Z1043" s="1626"/>
      <c r="AA1043" s="1626"/>
      <c r="AB1043" s="1626"/>
      <c r="AC1043" s="1626"/>
      <c r="AD1043" s="1626"/>
      <c r="AE1043" s="1627"/>
      <c r="AF1043" s="59"/>
      <c r="AG1043" s="14"/>
      <c r="AH1043" s="14"/>
      <c r="AI1043" s="63"/>
      <c r="AJ1043" s="1686"/>
      <c r="AK1043" s="1687"/>
      <c r="AL1043" s="1687"/>
      <c r="AM1043" s="1687"/>
      <c r="AN1043" s="1687"/>
      <c r="AO1043" s="1687"/>
      <c r="AP1043" s="1687"/>
      <c r="AQ1043" s="1688"/>
      <c r="AR1043" s="1176"/>
      <c r="AS1043" s="1176"/>
      <c r="AT1043" s="1176"/>
      <c r="AU1043" s="1176"/>
      <c r="AV1043" s="1176"/>
      <c r="AW1043" s="1176"/>
      <c r="AX1043" s="1176"/>
      <c r="AY1043" s="1176"/>
    </row>
    <row r="1044" spans="1:51" ht="13.2" customHeight="1">
      <c r="A1044" s="14"/>
      <c r="B1044" s="62"/>
      <c r="C1044" s="97" t="s">
        <v>1783</v>
      </c>
      <c r="D1044" s="1720" t="s">
        <v>1784</v>
      </c>
      <c r="E1044" s="1721"/>
      <c r="F1044" s="1721"/>
      <c r="G1044" s="1721"/>
      <c r="H1044" s="1721"/>
      <c r="I1044" s="1721"/>
      <c r="J1044" s="1721"/>
      <c r="K1044" s="1721"/>
      <c r="L1044" s="1721"/>
      <c r="M1044" s="1721"/>
      <c r="N1044" s="1721"/>
      <c r="O1044" s="1721"/>
      <c r="P1044" s="1721"/>
      <c r="Q1044" s="1721"/>
      <c r="R1044" s="1721"/>
      <c r="S1044" s="1721"/>
      <c r="T1044" s="1721"/>
      <c r="U1044" s="1721"/>
      <c r="V1044" s="1721"/>
      <c r="W1044" s="1721"/>
      <c r="X1044" s="1721"/>
      <c r="Y1044" s="1721"/>
      <c r="Z1044" s="1721"/>
      <c r="AA1044" s="1721"/>
      <c r="AB1044" s="1721"/>
      <c r="AC1044" s="1721"/>
      <c r="AD1044" s="1721"/>
      <c r="AE1044" s="1722"/>
      <c r="AF1044" s="62"/>
      <c r="AG1044" s="1645" t="str">
        <f>IF(X1047&gt;0,"Yes","No")</f>
        <v>No</v>
      </c>
      <c r="AH1044" s="1646"/>
      <c r="AI1044" s="65"/>
      <c r="AJ1044" s="1680">
        <f>IF((X1047=0),0,AY1004*AJ991)</f>
        <v>0</v>
      </c>
      <c r="AK1044" s="1681"/>
      <c r="AL1044" s="1681"/>
      <c r="AM1044" s="1681"/>
      <c r="AN1044" s="1681"/>
      <c r="AO1044" s="1681"/>
      <c r="AP1044" s="1681"/>
      <c r="AQ1044" s="1682"/>
      <c r="AR1044" s="1176"/>
      <c r="AS1044" s="1176"/>
      <c r="AT1044" s="1176"/>
      <c r="AU1044" s="1176"/>
      <c r="AV1044" s="1176"/>
      <c r="AW1044" s="1176"/>
      <c r="AX1044" s="1176"/>
      <c r="AY1044" s="1176"/>
    </row>
    <row r="1045" spans="1:51" ht="13.2" customHeight="1">
      <c r="A1045" s="14"/>
      <c r="B1045" s="59"/>
      <c r="C1045" s="369"/>
      <c r="D1045" s="1642" t="s">
        <v>1785</v>
      </c>
      <c r="E1045" s="1643"/>
      <c r="F1045" s="1643"/>
      <c r="G1045" s="1643"/>
      <c r="H1045" s="1643"/>
      <c r="I1045" s="1643"/>
      <c r="J1045" s="1643"/>
      <c r="K1045" s="1643"/>
      <c r="L1045" s="1643"/>
      <c r="M1045" s="1643"/>
      <c r="N1045" s="1643"/>
      <c r="O1045" s="1643"/>
      <c r="P1045" s="1643"/>
      <c r="Q1045" s="1643"/>
      <c r="R1045" s="1643"/>
      <c r="S1045" s="1643"/>
      <c r="T1045" s="1643"/>
      <c r="U1045" s="1643"/>
      <c r="V1045" s="1643"/>
      <c r="W1045" s="1643"/>
      <c r="X1045" s="1643"/>
      <c r="Y1045" s="1643"/>
      <c r="Z1045" s="1643"/>
      <c r="AA1045" s="1643"/>
      <c r="AB1045" s="1643"/>
      <c r="AC1045" s="1643"/>
      <c r="AD1045" s="1643"/>
      <c r="AE1045" s="1644"/>
      <c r="AF1045" s="59"/>
      <c r="AG1045" s="1193"/>
      <c r="AH1045" s="1193"/>
      <c r="AI1045" s="63"/>
      <c r="AJ1045" s="1683"/>
      <c r="AK1045" s="1684"/>
      <c r="AL1045" s="1684"/>
      <c r="AM1045" s="1684"/>
      <c r="AN1045" s="1684"/>
      <c r="AO1045" s="1684"/>
      <c r="AP1045" s="1684"/>
      <c r="AQ1045" s="1685"/>
      <c r="AR1045" s="1176"/>
      <c r="AS1045" s="1176"/>
      <c r="AT1045" s="1176"/>
      <c r="AU1045" s="13"/>
      <c r="AV1045" s="1176"/>
      <c r="AW1045" s="1176"/>
      <c r="AX1045" s="1176"/>
      <c r="AY1045" s="1176"/>
    </row>
    <row r="1046" spans="1:51" ht="13.2" customHeight="1">
      <c r="A1046" s="14"/>
      <c r="B1046" s="59"/>
      <c r="C1046" s="369"/>
      <c r="D1046" s="1642"/>
      <c r="E1046" s="1643"/>
      <c r="F1046" s="1643"/>
      <c r="G1046" s="1643"/>
      <c r="H1046" s="1643"/>
      <c r="I1046" s="1643"/>
      <c r="J1046" s="1643"/>
      <c r="K1046" s="1643"/>
      <c r="L1046" s="1643"/>
      <c r="M1046" s="1643"/>
      <c r="N1046" s="1643"/>
      <c r="O1046" s="1643"/>
      <c r="P1046" s="1643"/>
      <c r="Q1046" s="1643"/>
      <c r="R1046" s="1643"/>
      <c r="S1046" s="1643"/>
      <c r="T1046" s="1643"/>
      <c r="U1046" s="1643"/>
      <c r="V1046" s="1643"/>
      <c r="W1046" s="1643"/>
      <c r="X1046" s="1643"/>
      <c r="Y1046" s="1643"/>
      <c r="Z1046" s="1643"/>
      <c r="AA1046" s="1643"/>
      <c r="AB1046" s="1643"/>
      <c r="AC1046" s="1643"/>
      <c r="AD1046" s="1643"/>
      <c r="AE1046" s="1644"/>
      <c r="AF1046" s="59"/>
      <c r="AG1046" s="1193"/>
      <c r="AH1046" s="1193"/>
      <c r="AI1046" s="63"/>
      <c r="AJ1046" s="1683"/>
      <c r="AK1046" s="1684"/>
      <c r="AL1046" s="1684"/>
      <c r="AM1046" s="1684"/>
      <c r="AN1046" s="1684"/>
      <c r="AO1046" s="1684"/>
      <c r="AP1046" s="1684"/>
      <c r="AQ1046" s="1685"/>
      <c r="AR1046" s="1176"/>
      <c r="AS1046" s="1176"/>
      <c r="AT1046" s="1176"/>
      <c r="AU1046" s="13"/>
      <c r="AV1046" s="1176"/>
      <c r="AW1046" s="1176"/>
      <c r="AX1046" s="1176"/>
      <c r="AY1046" s="1176"/>
    </row>
    <row r="1047" spans="1:51" ht="13.2" customHeight="1">
      <c r="A1047" s="14"/>
      <c r="B1047" s="60"/>
      <c r="C1047" s="61"/>
      <c r="D1047" s="98" t="s">
        <v>1786</v>
      </c>
      <c r="E1047" s="7"/>
      <c r="F1047" s="7"/>
      <c r="G1047" s="7"/>
      <c r="H1047" s="7"/>
      <c r="I1047" s="1740">
        <f>AY1002</f>
        <v>100</v>
      </c>
      <c r="J1047" s="1741"/>
      <c r="K1047" s="7"/>
      <c r="L1047" s="7"/>
      <c r="M1047" s="7"/>
      <c r="N1047" s="7"/>
      <c r="O1047" s="7"/>
      <c r="P1047" s="7"/>
      <c r="Q1047" s="7"/>
      <c r="R1047" s="7"/>
      <c r="S1047" s="7"/>
      <c r="T1047" s="7"/>
      <c r="U1047" s="7"/>
      <c r="V1047" s="99" t="s">
        <v>1787</v>
      </c>
      <c r="W1047" s="41"/>
      <c r="X1047" s="1645">
        <f>BG632</f>
        <v>0</v>
      </c>
      <c r="Y1047" s="1646"/>
      <c r="Z1047" s="41"/>
      <c r="AA1047" s="41"/>
      <c r="AB1047" s="41"/>
      <c r="AC1047" s="41"/>
      <c r="AD1047" s="41"/>
      <c r="AE1047" s="42"/>
      <c r="AF1047" s="845"/>
      <c r="AG1047" s="846"/>
      <c r="AH1047" s="846"/>
      <c r="AI1047" s="847"/>
      <c r="AJ1047" s="1686"/>
      <c r="AK1047" s="1687"/>
      <c r="AL1047" s="1687"/>
      <c r="AM1047" s="1687"/>
      <c r="AN1047" s="1687"/>
      <c r="AO1047" s="1687"/>
      <c r="AP1047" s="1687"/>
      <c r="AQ1047" s="1688"/>
      <c r="AR1047" s="1176"/>
      <c r="AS1047" s="1176"/>
      <c r="AT1047" s="1176"/>
      <c r="AU1047" s="14"/>
      <c r="AV1047" s="1176"/>
      <c r="AW1047" s="1176"/>
      <c r="AX1047" s="1176"/>
      <c r="AY1047" s="1176"/>
    </row>
    <row r="1048" spans="1:51" ht="13.2" customHeight="1">
      <c r="A1048" s="14"/>
      <c r="B1048" s="62"/>
      <c r="C1048" s="97" t="s">
        <v>1788</v>
      </c>
      <c r="D1048" s="1616" t="s">
        <v>1789</v>
      </c>
      <c r="E1048" s="1617"/>
      <c r="F1048" s="1617"/>
      <c r="G1048" s="1617"/>
      <c r="H1048" s="1617"/>
      <c r="I1048" s="1617"/>
      <c r="J1048" s="1617"/>
      <c r="K1048" s="1617"/>
      <c r="L1048" s="1617"/>
      <c r="M1048" s="1617"/>
      <c r="N1048" s="1617"/>
      <c r="O1048" s="1617"/>
      <c r="P1048" s="1617"/>
      <c r="Q1048" s="1617"/>
      <c r="R1048" s="1617"/>
      <c r="S1048" s="1617"/>
      <c r="T1048" s="1617"/>
      <c r="U1048" s="1617"/>
      <c r="V1048" s="1617"/>
      <c r="W1048" s="1617"/>
      <c r="X1048" s="1617"/>
      <c r="Y1048" s="1617"/>
      <c r="Z1048" s="1617"/>
      <c r="AA1048" s="1617"/>
      <c r="AB1048" s="1617"/>
      <c r="AC1048" s="1617"/>
      <c r="AD1048" s="1617"/>
      <c r="AE1048" s="1618"/>
      <c r="AF1048" s="59"/>
      <c r="AG1048" s="1645" t="str">
        <f>IF(X1051&gt;0,"Yes","No")</f>
        <v>Yes</v>
      </c>
      <c r="AH1048" s="1646"/>
      <c r="AI1048" s="63"/>
      <c r="AJ1048" s="1680">
        <f>IF((X1051=0),0,(2*AY1005)*AJ991)</f>
        <v>51390615</v>
      </c>
      <c r="AK1048" s="1681"/>
      <c r="AL1048" s="1681"/>
      <c r="AM1048" s="1681"/>
      <c r="AN1048" s="1681"/>
      <c r="AO1048" s="1681"/>
      <c r="AP1048" s="1681"/>
      <c r="AQ1048" s="1682"/>
      <c r="AR1048" s="1176"/>
      <c r="AS1048" s="1176"/>
      <c r="AT1048" s="1176"/>
      <c r="AU1048" s="14"/>
      <c r="AV1048" s="1176"/>
      <c r="AW1048" s="1176"/>
      <c r="AX1048" s="1176"/>
      <c r="AY1048" s="1176"/>
    </row>
    <row r="1049" spans="1:51" ht="13.2" customHeight="1">
      <c r="A1049" s="14"/>
      <c r="B1049" s="59"/>
      <c r="C1049" s="369"/>
      <c r="D1049" s="1642" t="s">
        <v>1790</v>
      </c>
      <c r="E1049" s="1643"/>
      <c r="F1049" s="1643"/>
      <c r="G1049" s="1643"/>
      <c r="H1049" s="1643"/>
      <c r="I1049" s="1643"/>
      <c r="J1049" s="1643"/>
      <c r="K1049" s="1643"/>
      <c r="L1049" s="1643"/>
      <c r="M1049" s="1643"/>
      <c r="N1049" s="1643"/>
      <c r="O1049" s="1643"/>
      <c r="P1049" s="1643"/>
      <c r="Q1049" s="1643"/>
      <c r="R1049" s="1643"/>
      <c r="S1049" s="1643"/>
      <c r="T1049" s="1643"/>
      <c r="U1049" s="1643"/>
      <c r="V1049" s="1643"/>
      <c r="W1049" s="1643"/>
      <c r="X1049" s="1643"/>
      <c r="Y1049" s="1643"/>
      <c r="Z1049" s="1643"/>
      <c r="AA1049" s="1643"/>
      <c r="AB1049" s="1643"/>
      <c r="AC1049" s="1643"/>
      <c r="AD1049" s="1643"/>
      <c r="AE1049" s="1644"/>
      <c r="AF1049" s="59"/>
      <c r="AG1049" s="1193"/>
      <c r="AH1049" s="1193"/>
      <c r="AI1049" s="63"/>
      <c r="AJ1049" s="1683"/>
      <c r="AK1049" s="1684"/>
      <c r="AL1049" s="1684"/>
      <c r="AM1049" s="1684"/>
      <c r="AN1049" s="1684"/>
      <c r="AO1049" s="1684"/>
      <c r="AP1049" s="1684"/>
      <c r="AQ1049" s="1685"/>
      <c r="AR1049" s="1176"/>
      <c r="AS1049" s="1176"/>
      <c r="AT1049" s="1176"/>
      <c r="AU1049" s="1176"/>
      <c r="AV1049" s="1176"/>
      <c r="AW1049" s="1176"/>
      <c r="AX1049" s="1176"/>
      <c r="AY1049" s="1176"/>
    </row>
    <row r="1050" spans="1:51" ht="13.2" customHeight="1">
      <c r="A1050" s="14"/>
      <c r="B1050" s="59"/>
      <c r="C1050" s="63"/>
      <c r="D1050" s="1642"/>
      <c r="E1050" s="1643"/>
      <c r="F1050" s="1643"/>
      <c r="G1050" s="1643"/>
      <c r="H1050" s="1643"/>
      <c r="I1050" s="1643"/>
      <c r="J1050" s="1643"/>
      <c r="K1050" s="1643"/>
      <c r="L1050" s="1643"/>
      <c r="M1050" s="1643"/>
      <c r="N1050" s="1643"/>
      <c r="O1050" s="1643"/>
      <c r="P1050" s="1643"/>
      <c r="Q1050" s="1643"/>
      <c r="R1050" s="1643"/>
      <c r="S1050" s="1643"/>
      <c r="T1050" s="1643"/>
      <c r="U1050" s="1643"/>
      <c r="V1050" s="1643"/>
      <c r="W1050" s="1643"/>
      <c r="X1050" s="1643"/>
      <c r="Y1050" s="1643"/>
      <c r="Z1050" s="1643"/>
      <c r="AA1050" s="1643"/>
      <c r="AB1050" s="1643"/>
      <c r="AC1050" s="1643"/>
      <c r="AD1050" s="1643"/>
      <c r="AE1050" s="1644"/>
      <c r="AF1050" s="842"/>
      <c r="AG1050" s="843"/>
      <c r="AH1050" s="843"/>
      <c r="AI1050" s="844"/>
      <c r="AJ1050" s="1683"/>
      <c r="AK1050" s="1684"/>
      <c r="AL1050" s="1684"/>
      <c r="AM1050" s="1684"/>
      <c r="AN1050" s="1684"/>
      <c r="AO1050" s="1684"/>
      <c r="AP1050" s="1684"/>
      <c r="AQ1050" s="1685"/>
      <c r="AR1050" s="1176"/>
      <c r="AS1050" s="1176"/>
      <c r="AT1050" s="1176"/>
      <c r="AU1050" s="1176"/>
      <c r="AV1050" s="1176"/>
      <c r="AW1050" s="1176"/>
      <c r="AX1050" s="1176"/>
      <c r="AY1050" s="1176"/>
    </row>
    <row r="1051" spans="1:51" ht="13.2" customHeight="1">
      <c r="A1051" s="14"/>
      <c r="B1051" s="60"/>
      <c r="C1051" s="61"/>
      <c r="D1051" s="98" t="s">
        <v>1786</v>
      </c>
      <c r="E1051" s="7"/>
      <c r="F1051" s="7"/>
      <c r="G1051" s="7"/>
      <c r="H1051" s="7"/>
      <c r="I1051" s="1740">
        <f>AY1002</f>
        <v>100</v>
      </c>
      <c r="J1051" s="1741"/>
      <c r="K1051" s="14"/>
      <c r="L1051" s="7"/>
      <c r="M1051" s="7"/>
      <c r="N1051" s="7"/>
      <c r="O1051" s="7"/>
      <c r="P1051" s="7"/>
      <c r="Q1051" s="7"/>
      <c r="R1051" s="7"/>
      <c r="S1051" s="7"/>
      <c r="T1051" s="7"/>
      <c r="U1051" s="7"/>
      <c r="V1051" s="99" t="s">
        <v>1791</v>
      </c>
      <c r="X1051" s="1645">
        <f>BK632</f>
        <v>50</v>
      </c>
      <c r="Y1051" s="1646"/>
      <c r="AF1051" s="845"/>
      <c r="AG1051" s="846"/>
      <c r="AH1051" s="846"/>
      <c r="AI1051" s="847"/>
      <c r="AJ1051" s="1686"/>
      <c r="AK1051" s="1687"/>
      <c r="AL1051" s="1687"/>
      <c r="AM1051" s="1687"/>
      <c r="AN1051" s="1687"/>
      <c r="AO1051" s="1687"/>
      <c r="AP1051" s="1687"/>
      <c r="AQ1051" s="1688"/>
      <c r="AR1051" s="1176"/>
      <c r="AS1051" s="1176"/>
      <c r="AT1051" s="1176"/>
      <c r="AU1051" s="1176"/>
      <c r="AV1051" s="1176"/>
      <c r="AW1051" s="1176"/>
      <c r="AX1051" s="1176"/>
      <c r="AY1051" s="1176"/>
    </row>
    <row r="1052" spans="1:51" ht="13.2" customHeight="1">
      <c r="A1052" s="14"/>
      <c r="B1052" s="78"/>
      <c r="C1052" s="1194"/>
      <c r="D1052" s="1640" t="s">
        <v>1792</v>
      </c>
      <c r="E1052" s="1640"/>
      <c r="F1052" s="1640"/>
      <c r="G1052" s="1640"/>
      <c r="H1052" s="1640"/>
      <c r="I1052" s="1640"/>
      <c r="J1052" s="1640"/>
      <c r="K1052" s="1640"/>
      <c r="L1052" s="1640"/>
      <c r="M1052" s="1640"/>
      <c r="N1052" s="1640"/>
      <c r="O1052" s="1640"/>
      <c r="P1052" s="1640"/>
      <c r="Q1052" s="1640"/>
      <c r="R1052" s="1640"/>
      <c r="S1052" s="1640"/>
      <c r="T1052" s="1640"/>
      <c r="U1052" s="1640"/>
      <c r="V1052" s="1640"/>
      <c r="W1052" s="1640"/>
      <c r="X1052" s="1640"/>
      <c r="Y1052" s="1640"/>
      <c r="Z1052" s="1640"/>
      <c r="AA1052" s="1640"/>
      <c r="AB1052" s="1640"/>
      <c r="AC1052" s="1640"/>
      <c r="AD1052" s="1640"/>
      <c r="AE1052" s="1640"/>
      <c r="AF1052" s="1640"/>
      <c r="AG1052" s="1640"/>
      <c r="AH1052" s="1640"/>
      <c r="AI1052" s="1641"/>
      <c r="AJ1052" s="1733">
        <f>SUM(AJ991:AQ1051)</f>
        <v>118198415</v>
      </c>
      <c r="AK1052" s="1734"/>
      <c r="AL1052" s="1734"/>
      <c r="AM1052" s="1734"/>
      <c r="AN1052" s="1734"/>
      <c r="AO1052" s="1734"/>
      <c r="AP1052" s="1734"/>
      <c r="AQ1052" s="1735"/>
      <c r="AR1052" s="1176"/>
      <c r="AS1052" s="1176"/>
      <c r="AT1052" s="1176"/>
      <c r="AU1052" s="1176"/>
      <c r="AV1052" s="1176"/>
      <c r="AW1052" s="1176"/>
      <c r="AX1052" s="1176"/>
      <c r="AY1052" s="1176"/>
    </row>
    <row r="1053" spans="1:51" ht="13.2" customHeight="1">
      <c r="A1053" s="14"/>
      <c r="B1053" s="14"/>
      <c r="C1053" s="1195"/>
      <c r="D1053" s="1196"/>
      <c r="E1053" s="1196"/>
      <c r="F1053" s="1196"/>
      <c r="G1053" s="1196"/>
      <c r="H1053" s="1196"/>
      <c r="I1053" s="1196"/>
      <c r="J1053" s="1196"/>
      <c r="K1053" s="1196"/>
      <c r="L1053" s="1196"/>
      <c r="M1053" s="1196"/>
      <c r="N1053" s="1196"/>
      <c r="O1053" s="1196"/>
      <c r="P1053" s="1196"/>
      <c r="Q1053" s="1196"/>
      <c r="R1053" s="1196"/>
      <c r="S1053" s="1196"/>
      <c r="T1053" s="1197"/>
      <c r="U1053" s="1197"/>
      <c r="V1053" s="1197"/>
      <c r="W1053" s="1197"/>
      <c r="X1053" s="1197"/>
      <c r="Y1053" s="1197"/>
      <c r="Z1053" s="1197"/>
      <c r="AA1053" s="1197"/>
      <c r="AB1053" s="1197"/>
      <c r="AC1053" s="1197"/>
      <c r="AD1053" s="147"/>
      <c r="AE1053" s="147"/>
      <c r="AF1053" s="147"/>
      <c r="AG1053" s="147"/>
      <c r="AH1053" s="147"/>
      <c r="AI1053" s="147"/>
      <c r="AJ1053" s="147"/>
      <c r="AK1053" s="147"/>
      <c r="AL1053" s="1176"/>
      <c r="AM1053" s="1176"/>
      <c r="AN1053" s="1176"/>
      <c r="AO1053" s="1176"/>
      <c r="AP1053" s="1176"/>
      <c r="AQ1053" s="1176"/>
      <c r="AR1053" s="1176"/>
      <c r="AS1053" s="1176"/>
      <c r="AT1053" s="1176"/>
      <c r="AU1053" s="1176"/>
      <c r="AV1053" s="1176"/>
      <c r="AW1053" s="1176"/>
      <c r="AX1053" s="1176"/>
      <c r="AY1053" s="1176"/>
    </row>
    <row r="1054" spans="1:51" ht="13.2" customHeight="1">
      <c r="A1054" s="14"/>
      <c r="B1054" s="1176"/>
      <c r="C1054" s="1176"/>
      <c r="D1054" s="1176"/>
      <c r="E1054" s="1176"/>
      <c r="F1054" s="1176"/>
      <c r="G1054" s="1176"/>
      <c r="H1054" s="1176"/>
      <c r="I1054" s="1176"/>
      <c r="J1054" s="1176"/>
      <c r="K1054" s="1176"/>
      <c r="L1054" s="1176"/>
      <c r="M1054" s="1176"/>
      <c r="N1054" s="1176"/>
      <c r="O1054" s="1176"/>
      <c r="P1054" s="1176"/>
      <c r="Q1054" s="1176"/>
      <c r="R1054" s="1176"/>
      <c r="S1054" s="1176"/>
      <c r="T1054" s="1176"/>
      <c r="U1054" s="1176"/>
      <c r="V1054" s="1176"/>
      <c r="W1054" s="1176"/>
      <c r="X1054" s="1176"/>
      <c r="Y1054" s="1176"/>
      <c r="Z1054" s="1176"/>
      <c r="AA1054" s="1176"/>
      <c r="AB1054" s="1176"/>
      <c r="AC1054" s="1176"/>
      <c r="AD1054" s="1176"/>
      <c r="AE1054" s="1176"/>
      <c r="AF1054" s="1176"/>
      <c r="AG1054" s="1176"/>
      <c r="AH1054" s="1176"/>
      <c r="AI1054" s="1176"/>
      <c r="AJ1054" s="1176"/>
      <c r="AK1054" s="1176"/>
      <c r="AL1054" s="1176"/>
      <c r="AM1054" s="1176"/>
      <c r="AN1054" s="1176"/>
      <c r="AO1054" s="1176"/>
      <c r="AP1054" s="1176"/>
      <c r="AQ1054" s="1176"/>
      <c r="AR1054" s="1176"/>
      <c r="AS1054" s="1176"/>
      <c r="AT1054" s="1176"/>
      <c r="AU1054" s="1176"/>
      <c r="AV1054" s="1176"/>
      <c r="AW1054" s="1176"/>
      <c r="AX1054" s="1176"/>
      <c r="AY1054" s="1176"/>
    </row>
    <row r="1055" spans="1:51" ht="13.2" customHeight="1">
      <c r="A1055" s="14"/>
      <c r="B1055" s="1176"/>
      <c r="C1055" s="1176"/>
      <c r="D1055" s="1176"/>
      <c r="E1055" s="1176"/>
      <c r="F1055" s="1176"/>
      <c r="G1055" s="1176"/>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6"/>
      <c r="AH1055" s="1176"/>
      <c r="AI1055" s="1176"/>
      <c r="AJ1055" s="1176"/>
      <c r="AK1055" s="1176"/>
      <c r="AL1055" s="1176"/>
      <c r="AM1055" s="1176"/>
      <c r="AN1055" s="1176"/>
      <c r="AO1055" s="1176"/>
      <c r="AP1055" s="1176"/>
      <c r="AQ1055" s="1176"/>
      <c r="AR1055" s="1176"/>
      <c r="AS1055" s="1176"/>
      <c r="AT1055" s="1176"/>
      <c r="AU1055" s="1176"/>
      <c r="AV1055" s="13"/>
      <c r="AW1055" s="13"/>
      <c r="AX1055" s="13"/>
      <c r="AY1055" s="13"/>
    </row>
    <row r="1056" spans="1:51" ht="13.2" customHeight="1">
      <c r="A1056" s="14"/>
      <c r="B1056" s="1176"/>
      <c r="C1056" s="1176"/>
      <c r="D1056" s="1176"/>
      <c r="E1056" s="1176"/>
      <c r="F1056" s="1176"/>
      <c r="G1056" s="1176"/>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176"/>
      <c r="AB1056" s="1176"/>
      <c r="AC1056" s="1176"/>
      <c r="AD1056" s="1176"/>
      <c r="AE1056" s="1176"/>
      <c r="AF1056" s="1176"/>
      <c r="AG1056" s="1176"/>
      <c r="AH1056" s="1176"/>
      <c r="AI1056" s="1176"/>
      <c r="AJ1056" s="1176"/>
      <c r="AK1056" s="1176"/>
      <c r="AL1056" s="1176"/>
      <c r="AM1056" s="1176"/>
      <c r="AN1056" s="1176"/>
      <c r="AO1056" s="1176"/>
      <c r="AP1056" s="1176"/>
      <c r="AQ1056" s="1176"/>
      <c r="AR1056" s="1176"/>
      <c r="AS1056" s="1176"/>
      <c r="AT1056" s="1176"/>
      <c r="AU1056" s="1176"/>
      <c r="AV1056" s="13"/>
      <c r="AW1056" s="13"/>
      <c r="AX1056" s="13"/>
      <c r="AY1056" s="13"/>
    </row>
    <row r="1057" spans="1:51" ht="13.2" customHeight="1">
      <c r="A1057" s="14"/>
      <c r="B1057" s="1176"/>
      <c r="C1057" s="1176"/>
      <c r="D1057" s="1176"/>
      <c r="E1057" s="1176"/>
      <c r="F1057" s="1176"/>
      <c r="G1057" s="1176"/>
      <c r="H1057" s="1176"/>
      <c r="I1057" s="1176"/>
      <c r="J1057" s="1176"/>
      <c r="K1057" s="1176"/>
      <c r="L1057" s="1176"/>
      <c r="M1057" s="1176"/>
      <c r="N1057" s="1176"/>
      <c r="O1057" s="1176"/>
      <c r="P1057" s="1176"/>
      <c r="Q1057" s="1176"/>
      <c r="R1057" s="1176"/>
      <c r="S1057" s="1176"/>
      <c r="T1057" s="1176"/>
      <c r="U1057" s="1176"/>
      <c r="V1057" s="1176"/>
      <c r="W1057" s="1176"/>
      <c r="X1057" s="1176"/>
      <c r="Y1057" s="1176"/>
      <c r="Z1057" s="1176"/>
      <c r="AA1057" s="1176"/>
      <c r="AB1057" s="1176"/>
      <c r="AC1057" s="1176"/>
      <c r="AD1057" s="1176"/>
      <c r="AE1057" s="1176"/>
      <c r="AF1057" s="1176"/>
      <c r="AG1057" s="1176"/>
      <c r="AH1057" s="1176"/>
      <c r="AI1057" s="1176"/>
      <c r="AJ1057" s="1176"/>
      <c r="AK1057" s="1176"/>
      <c r="AL1057" s="1176"/>
      <c r="AM1057" s="1176"/>
      <c r="AN1057" s="1176"/>
      <c r="AO1057" s="1176"/>
      <c r="AP1057" s="1176"/>
      <c r="AQ1057" s="1176"/>
      <c r="AR1057" s="1176"/>
      <c r="AS1057" s="1176"/>
      <c r="AT1057" s="1176"/>
      <c r="AU1057" s="1176"/>
      <c r="AV1057" s="14"/>
      <c r="AW1057" s="14"/>
      <c r="AX1057" s="14"/>
      <c r="AY1057" s="14"/>
    </row>
    <row r="1058" spans="1:51" ht="13.2" customHeight="1">
      <c r="A1058" s="14"/>
      <c r="B1058" s="14"/>
      <c r="C1058" s="1195"/>
      <c r="D1058" s="1198"/>
      <c r="E1058" s="1198"/>
      <c r="F1058" s="1198"/>
      <c r="G1058" s="1198"/>
      <c r="H1058" s="1198"/>
      <c r="I1058" s="1198"/>
      <c r="J1058" s="1198"/>
      <c r="K1058" s="1198"/>
      <c r="L1058" s="1198"/>
      <c r="M1058" s="1198"/>
      <c r="N1058" s="1198"/>
      <c r="O1058" s="1198"/>
      <c r="P1058" s="1198"/>
      <c r="Q1058" s="1198"/>
      <c r="R1058" s="1198"/>
      <c r="S1058" s="1198"/>
      <c r="T1058" s="1198"/>
      <c r="U1058" s="1198"/>
      <c r="V1058" s="1198"/>
      <c r="W1058" s="1198"/>
      <c r="X1058" s="1198"/>
      <c r="Y1058" s="1198"/>
      <c r="Z1058" s="1198"/>
      <c r="AA1058" s="1198"/>
      <c r="AB1058" s="1198"/>
      <c r="AC1058" s="1198"/>
      <c r="AD1058" s="1198"/>
      <c r="AE1058" s="1198"/>
      <c r="AF1058" s="1198"/>
      <c r="AG1058" s="1198"/>
      <c r="AH1058" s="1198"/>
      <c r="AI1058" s="1198"/>
      <c r="AJ1058" s="1198"/>
      <c r="AK1058" s="1198"/>
      <c r="AL1058" s="1176"/>
      <c r="AM1058" s="1176"/>
      <c r="AN1058" s="1176"/>
      <c r="AO1058" s="1176"/>
      <c r="AP1058" s="1176"/>
      <c r="AQ1058" s="1176"/>
      <c r="AR1058" s="1176"/>
      <c r="AS1058" s="1176"/>
      <c r="AT1058" s="1176"/>
      <c r="AU1058" s="1176"/>
      <c r="AV1058" s="14"/>
      <c r="AW1058" s="14"/>
      <c r="AX1058" s="14"/>
      <c r="AY1058" s="14"/>
    </row>
    <row r="1059" spans="1:51" ht="13.2" customHeight="1">
      <c r="A1059" s="1199"/>
      <c r="B1059" s="1789">
        <f>IF(ISNA(IF((AJ1019&gt;(AJ991*0.15)),"(f) cannot be greater than 15% of unadjusted eligible basis.",0)),"",(IF((AJ1019&gt;(AJ991*0.15)),"(f) cannot be greater than 15% of unadjusted eligible basis.",0)))</f>
        <v>0</v>
      </c>
      <c r="C1059" s="1789"/>
      <c r="D1059" s="1789"/>
      <c r="E1059" s="1789"/>
      <c r="F1059" s="1789"/>
      <c r="G1059" s="1789"/>
      <c r="H1059" s="1789"/>
      <c r="I1059" s="1789"/>
      <c r="J1059" s="1789"/>
      <c r="K1059" s="1789"/>
      <c r="L1059" s="1789"/>
      <c r="M1059" s="1789"/>
      <c r="N1059" s="1789"/>
      <c r="O1059" s="1789"/>
      <c r="P1059" s="1789"/>
      <c r="Q1059" s="1789"/>
      <c r="R1059" s="1789"/>
      <c r="S1059" s="1789"/>
      <c r="T1059" s="1789"/>
      <c r="U1059" s="1789"/>
      <c r="V1059" s="1789"/>
      <c r="W1059" s="1789"/>
      <c r="X1059" s="1789"/>
      <c r="Y1059" s="1789"/>
      <c r="Z1059" s="1789"/>
      <c r="AA1059" s="1789"/>
      <c r="AB1059" s="1789"/>
      <c r="AC1059" s="1789"/>
      <c r="AD1059" s="1789"/>
      <c r="AE1059" s="1789"/>
      <c r="AF1059" s="1789"/>
      <c r="AG1059" s="1789"/>
      <c r="AH1059" s="1789"/>
      <c r="AI1059" s="1789"/>
      <c r="AJ1059" s="1789"/>
      <c r="AK1059" s="1789"/>
      <c r="AL1059" s="1789"/>
      <c r="AM1059" s="1789"/>
      <c r="AN1059" s="1789"/>
      <c r="AO1059" s="1789"/>
      <c r="AP1059" s="1789"/>
      <c r="AQ1059" s="1176"/>
      <c r="AR1059" s="1176"/>
      <c r="AS1059" s="1176"/>
      <c r="AT1059" s="1176"/>
      <c r="AU1059" s="1176"/>
      <c r="AV1059" s="1176"/>
      <c r="AW1059" s="1176"/>
      <c r="AX1059" s="1176"/>
      <c r="AY1059" s="1176"/>
    </row>
    <row r="1060" spans="1:51" ht="13.2" customHeight="1">
      <c r="A1060" s="1258" t="s">
        <v>1793</v>
      </c>
      <c r="B1060" s="1258"/>
      <c r="C1060" s="1258"/>
      <c r="D1060" s="1258"/>
      <c r="E1060" s="1258"/>
      <c r="F1060" s="1258"/>
      <c r="G1060" s="1258"/>
      <c r="H1060" s="1258"/>
      <c r="I1060" s="1258"/>
      <c r="J1060" s="1258"/>
      <c r="K1060" s="1258"/>
      <c r="L1060" s="1258"/>
      <c r="M1060" s="1258"/>
      <c r="N1060" s="1258"/>
      <c r="O1060" s="1258"/>
      <c r="P1060" s="1258"/>
      <c r="Q1060" s="1258"/>
      <c r="R1060" s="1258"/>
      <c r="S1060" s="1258"/>
      <c r="T1060" s="1258"/>
      <c r="U1060" s="1258"/>
      <c r="V1060" s="1258"/>
      <c r="W1060" s="1258"/>
      <c r="X1060" s="1258"/>
      <c r="Y1060" s="1258"/>
      <c r="Z1060" s="1258"/>
      <c r="AA1060" s="1258"/>
      <c r="AB1060" s="1258"/>
      <c r="AC1060" s="1258"/>
      <c r="AD1060" s="1258"/>
      <c r="AE1060" s="1258"/>
      <c r="AF1060" s="1258"/>
      <c r="AG1060" s="1258"/>
      <c r="AH1060" s="1258"/>
      <c r="AI1060" s="1258"/>
      <c r="AJ1060" s="1258"/>
      <c r="AK1060" s="1258"/>
      <c r="AL1060" s="1258"/>
      <c r="AM1060" s="1258"/>
      <c r="AN1060" s="1258"/>
      <c r="AO1060" s="1258"/>
      <c r="AP1060" s="1258"/>
      <c r="AQ1060" s="1258"/>
      <c r="AR1060" s="13"/>
      <c r="AS1060" s="13"/>
      <c r="AT1060" s="13"/>
      <c r="AV1060" s="1176"/>
      <c r="AW1060" s="1176"/>
      <c r="AX1060" s="1176"/>
      <c r="AY1060" s="1176"/>
    </row>
    <row r="1061" spans="1:51" ht="13.2"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6"/>
      <c r="AW1061" s="1176"/>
      <c r="AX1061" s="1176"/>
      <c r="AY1061" s="1176"/>
    </row>
    <row r="1062" spans="1:51" ht="13.2" customHeight="1">
      <c r="A1062" s="50" t="s">
        <v>1794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6"/>
      <c r="AW1062" s="1176"/>
      <c r="AX1062" s="1176"/>
      <c r="AY1062" s="1176"/>
    </row>
    <row r="1063" spans="1:51" ht="13.2" customHeight="1">
      <c r="A1063" s="140" t="s">
        <v>1795</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6"/>
      <c r="AW1063" s="1176"/>
      <c r="AX1063" s="1176"/>
      <c r="AY1063" s="1176"/>
    </row>
    <row r="1064" spans="1:51" ht="13.2" customHeight="1">
      <c r="A1064" s="1348" t="s">
        <v>299</v>
      </c>
      <c r="B1064" s="1348"/>
      <c r="C1064" s="8">
        <v>1</v>
      </c>
      <c r="D1064" s="1220" t="s">
        <v>1796</v>
      </c>
      <c r="E1064" s="1220"/>
      <c r="F1064" s="1220"/>
      <c r="G1064" s="1220"/>
      <c r="H1064" s="1220"/>
      <c r="I1064" s="1220"/>
      <c r="J1064" s="1220"/>
      <c r="K1064" s="1220"/>
      <c r="L1064" s="1220"/>
      <c r="M1064" s="1220"/>
      <c r="N1064" s="1220"/>
      <c r="O1064" s="1220"/>
      <c r="P1064" s="1220"/>
      <c r="Q1064" s="1220"/>
      <c r="R1064" s="1220"/>
      <c r="S1064" s="1220"/>
      <c r="T1064" s="1220"/>
      <c r="U1064" s="1220"/>
      <c r="V1064" s="1220"/>
      <c r="W1064" s="1220"/>
      <c r="X1064" s="1220"/>
      <c r="Y1064" s="1220"/>
      <c r="Z1064" s="1220"/>
      <c r="AA1064" s="1220"/>
      <c r="AB1064" s="1220"/>
      <c r="AC1064" s="1220"/>
      <c r="AD1064" s="1220"/>
      <c r="AE1064" s="1220"/>
      <c r="AF1064" s="1220"/>
      <c r="AG1064" s="1220"/>
      <c r="AH1064" s="1220"/>
      <c r="AI1064" s="1220"/>
      <c r="AJ1064" s="1220"/>
      <c r="AK1064" s="1220"/>
      <c r="AL1064" s="1176"/>
      <c r="AM1064" s="1176"/>
      <c r="AN1064" s="1176"/>
      <c r="AO1064" s="1176"/>
      <c r="AP1064" s="1176"/>
      <c r="AQ1064" s="1176"/>
      <c r="AR1064" s="1176"/>
      <c r="AS1064" s="1176"/>
      <c r="AT1064" s="1176"/>
      <c r="AV1064" s="1176"/>
      <c r="AW1064" s="1176"/>
      <c r="AX1064" s="1176"/>
      <c r="AY1064" s="1176"/>
    </row>
    <row r="1065" spans="1:51" ht="13.2" customHeight="1">
      <c r="A1065" s="1"/>
      <c r="B1065" s="1"/>
      <c r="C1065" s="8"/>
      <c r="D1065" s="1220"/>
      <c r="E1065" s="1220"/>
      <c r="F1065" s="1220"/>
      <c r="G1065" s="1220"/>
      <c r="H1065" s="1220"/>
      <c r="I1065" s="1220"/>
      <c r="J1065" s="1220"/>
      <c r="K1065" s="1220"/>
      <c r="L1065" s="1220"/>
      <c r="M1065" s="1220"/>
      <c r="N1065" s="1220"/>
      <c r="O1065" s="1220"/>
      <c r="P1065" s="1220"/>
      <c r="Q1065" s="1220"/>
      <c r="R1065" s="1220"/>
      <c r="S1065" s="1220"/>
      <c r="T1065" s="1220"/>
      <c r="U1065" s="1220"/>
      <c r="V1065" s="1220"/>
      <c r="W1065" s="1220"/>
      <c r="X1065" s="1220"/>
      <c r="Y1065" s="1220"/>
      <c r="Z1065" s="1220"/>
      <c r="AA1065" s="1220"/>
      <c r="AB1065" s="1220"/>
      <c r="AC1065" s="1220"/>
      <c r="AD1065" s="1220"/>
      <c r="AE1065" s="1220"/>
      <c r="AF1065" s="1220"/>
      <c r="AG1065" s="1220"/>
      <c r="AH1065" s="1220"/>
      <c r="AI1065" s="1220"/>
      <c r="AJ1065" s="1220"/>
      <c r="AK1065" s="1220"/>
      <c r="AL1065" s="1176"/>
      <c r="AM1065" s="1176"/>
      <c r="AN1065" s="1176"/>
      <c r="AO1065" s="1176"/>
      <c r="AP1065" s="1176"/>
      <c r="AQ1065" s="1176"/>
      <c r="AR1065" s="1176"/>
      <c r="AS1065" s="1176"/>
      <c r="AT1065" s="1176"/>
      <c r="AV1065" s="1176"/>
      <c r="AW1065" s="1176"/>
      <c r="AX1065" s="1176"/>
      <c r="AY1065" s="1176"/>
    </row>
    <row r="1066" spans="1:51" ht="13.2" customHeight="1">
      <c r="A1066" s="1"/>
      <c r="B1066" s="1"/>
      <c r="C1066" s="8"/>
      <c r="D1066" s="1220"/>
      <c r="E1066" s="1220"/>
      <c r="F1066" s="1220"/>
      <c r="G1066" s="1220"/>
      <c r="H1066" s="1220"/>
      <c r="I1066" s="1220"/>
      <c r="J1066" s="1220"/>
      <c r="K1066" s="1220"/>
      <c r="L1066" s="1220"/>
      <c r="M1066" s="1220"/>
      <c r="N1066" s="1220"/>
      <c r="O1066" s="1220"/>
      <c r="P1066" s="1220"/>
      <c r="Q1066" s="1220"/>
      <c r="R1066" s="1220"/>
      <c r="S1066" s="1220"/>
      <c r="T1066" s="1220"/>
      <c r="U1066" s="1220"/>
      <c r="V1066" s="1220"/>
      <c r="W1066" s="1220"/>
      <c r="X1066" s="1220"/>
      <c r="Y1066" s="1220"/>
      <c r="Z1066" s="1220"/>
      <c r="AA1066" s="1220"/>
      <c r="AB1066" s="1220"/>
      <c r="AC1066" s="1220"/>
      <c r="AD1066" s="1220"/>
      <c r="AE1066" s="1220"/>
      <c r="AF1066" s="1220"/>
      <c r="AG1066" s="1220"/>
      <c r="AH1066" s="1220"/>
      <c r="AI1066" s="1220"/>
      <c r="AJ1066" s="1220"/>
      <c r="AK1066" s="1220"/>
      <c r="AL1066" s="1176"/>
      <c r="AM1066" s="1176"/>
      <c r="AN1066" s="1176"/>
      <c r="AO1066" s="1176"/>
      <c r="AP1066" s="1176"/>
      <c r="AQ1066" s="1176"/>
      <c r="AR1066" s="1176"/>
      <c r="AS1066" s="1176"/>
      <c r="AT1066" s="1176"/>
      <c r="AV1066" s="1176"/>
      <c r="AW1066" s="1176"/>
      <c r="AX1066" s="1176"/>
      <c r="AY1066" s="1176"/>
    </row>
    <row r="1067" spans="1:51" ht="13.2" customHeight="1">
      <c r="A1067" s="1"/>
      <c r="B1067" s="1"/>
      <c r="C1067" s="8"/>
      <c r="D1067" s="1220"/>
      <c r="E1067" s="1220"/>
      <c r="F1067" s="1220"/>
      <c r="G1067" s="1220"/>
      <c r="H1067" s="1220"/>
      <c r="I1067" s="1220"/>
      <c r="J1067" s="1220"/>
      <c r="K1067" s="1220"/>
      <c r="L1067" s="1220"/>
      <c r="M1067" s="1220"/>
      <c r="N1067" s="1220"/>
      <c r="O1067" s="1220"/>
      <c r="P1067" s="1220"/>
      <c r="Q1067" s="1220"/>
      <c r="R1067" s="1220"/>
      <c r="S1067" s="1220"/>
      <c r="T1067" s="1220"/>
      <c r="U1067" s="1220"/>
      <c r="V1067" s="1220"/>
      <c r="W1067" s="1220"/>
      <c r="X1067" s="1220"/>
      <c r="Y1067" s="1220"/>
      <c r="Z1067" s="1220"/>
      <c r="AA1067" s="1220"/>
      <c r="AB1067" s="1220"/>
      <c r="AC1067" s="1220"/>
      <c r="AD1067" s="1220"/>
      <c r="AE1067" s="1220"/>
      <c r="AF1067" s="1220"/>
      <c r="AG1067" s="1220"/>
      <c r="AH1067" s="1220"/>
      <c r="AI1067" s="1220"/>
      <c r="AJ1067" s="1220"/>
      <c r="AK1067" s="1220"/>
      <c r="AL1067" s="1176"/>
      <c r="AM1067" s="1176"/>
      <c r="AN1067" s="1176"/>
      <c r="AO1067" s="1176"/>
      <c r="AP1067" s="1176"/>
      <c r="AQ1067" s="1176"/>
      <c r="AR1067" s="1176"/>
      <c r="AS1067" s="1176"/>
      <c r="AT1067" s="1176"/>
      <c r="AV1067" s="1176"/>
      <c r="AW1067" s="1176"/>
      <c r="AX1067" s="1176"/>
      <c r="AY1067" s="1176"/>
    </row>
    <row r="1068" spans="1:51" ht="13.2" customHeight="1">
      <c r="A1068" s="1"/>
      <c r="B1068" s="1"/>
      <c r="C1068" s="8"/>
      <c r="D1068" s="1220"/>
      <c r="E1068" s="1220"/>
      <c r="F1068" s="1220"/>
      <c r="G1068" s="1220"/>
      <c r="H1068" s="1220"/>
      <c r="I1068" s="1220"/>
      <c r="J1068" s="1220"/>
      <c r="K1068" s="1220"/>
      <c r="L1068" s="1220"/>
      <c r="M1068" s="1220"/>
      <c r="N1068" s="1220"/>
      <c r="O1068" s="1220"/>
      <c r="P1068" s="1220"/>
      <c r="Q1068" s="1220"/>
      <c r="R1068" s="1220"/>
      <c r="S1068" s="1220"/>
      <c r="T1068" s="1220"/>
      <c r="U1068" s="1220"/>
      <c r="V1068" s="1220"/>
      <c r="W1068" s="1220"/>
      <c r="X1068" s="1220"/>
      <c r="Y1068" s="1220"/>
      <c r="Z1068" s="1220"/>
      <c r="AA1068" s="1220"/>
      <c r="AB1068" s="1220"/>
      <c r="AC1068" s="1220"/>
      <c r="AD1068" s="1220"/>
      <c r="AE1068" s="1220"/>
      <c r="AF1068" s="1220"/>
      <c r="AG1068" s="1220"/>
      <c r="AH1068" s="1220"/>
      <c r="AI1068" s="1220"/>
      <c r="AJ1068" s="1220"/>
      <c r="AK1068" s="1220"/>
      <c r="AL1068" s="1176"/>
      <c r="AM1068" s="1176"/>
      <c r="AN1068" s="1176"/>
      <c r="AO1068" s="1176"/>
      <c r="AP1068" s="1176"/>
      <c r="AQ1068" s="1176"/>
      <c r="AR1068" s="1176"/>
      <c r="AS1068" s="1176"/>
      <c r="AT1068" s="1176"/>
      <c r="AV1068" s="1176"/>
      <c r="AW1068" s="1176"/>
      <c r="AX1068" s="1176"/>
      <c r="AY1068" s="1176"/>
    </row>
    <row r="1069" spans="1:51" ht="13.2" customHeight="1">
      <c r="A1069" s="2"/>
      <c r="B1069" s="22"/>
      <c r="C1069" s="8"/>
      <c r="D1069" s="1220"/>
      <c r="E1069" s="1220"/>
      <c r="F1069" s="1220"/>
      <c r="G1069" s="1220"/>
      <c r="H1069" s="1220"/>
      <c r="I1069" s="1220"/>
      <c r="J1069" s="1220"/>
      <c r="K1069" s="1220"/>
      <c r="L1069" s="1220"/>
      <c r="M1069" s="1220"/>
      <c r="N1069" s="1220"/>
      <c r="O1069" s="1220"/>
      <c r="P1069" s="1220"/>
      <c r="Q1069" s="1220"/>
      <c r="R1069" s="1220"/>
      <c r="S1069" s="1220"/>
      <c r="T1069" s="1220"/>
      <c r="U1069" s="1220"/>
      <c r="V1069" s="1220"/>
      <c r="W1069" s="1220"/>
      <c r="X1069" s="1220"/>
      <c r="Y1069" s="1220"/>
      <c r="Z1069" s="1220"/>
      <c r="AA1069" s="1220"/>
      <c r="AB1069" s="1220"/>
      <c r="AC1069" s="1220"/>
      <c r="AD1069" s="1220"/>
      <c r="AE1069" s="1220"/>
      <c r="AF1069" s="1220"/>
      <c r="AG1069" s="1220"/>
      <c r="AH1069" s="1220"/>
      <c r="AI1069" s="1220"/>
      <c r="AJ1069" s="1220"/>
      <c r="AK1069" s="1220"/>
      <c r="AL1069" s="1176"/>
      <c r="AM1069" s="1176"/>
      <c r="AN1069" s="1176"/>
      <c r="AO1069" s="1176"/>
      <c r="AP1069" s="1176"/>
      <c r="AQ1069" s="1176"/>
      <c r="AR1069" s="1176"/>
      <c r="AS1069" s="1176"/>
      <c r="AT1069" s="1176"/>
      <c r="AV1069" s="1176"/>
      <c r="AW1069" s="1176"/>
      <c r="AX1069" s="1176"/>
      <c r="AY1069" s="1176"/>
    </row>
    <row r="1070" spans="1:51" ht="13.2" customHeight="1">
      <c r="A1070" s="1348" t="s">
        <v>299</v>
      </c>
      <c r="B1070" s="1348"/>
      <c r="C1070" s="8">
        <v>2</v>
      </c>
      <c r="D1070" s="1220" t="s">
        <v>1797</v>
      </c>
      <c r="E1070" s="1220"/>
      <c r="F1070" s="1220"/>
      <c r="G1070" s="1220"/>
      <c r="H1070" s="1220"/>
      <c r="I1070" s="1220"/>
      <c r="J1070" s="1220"/>
      <c r="K1070" s="1220"/>
      <c r="L1070" s="1220"/>
      <c r="M1070" s="1220"/>
      <c r="N1070" s="1220"/>
      <c r="O1070" s="1220"/>
      <c r="P1070" s="1220"/>
      <c r="Q1070" s="1220"/>
      <c r="R1070" s="1220"/>
      <c r="S1070" s="1220"/>
      <c r="T1070" s="1220"/>
      <c r="U1070" s="1220"/>
      <c r="V1070" s="1220"/>
      <c r="W1070" s="1220"/>
      <c r="X1070" s="1220"/>
      <c r="Y1070" s="1220"/>
      <c r="Z1070" s="1220"/>
      <c r="AA1070" s="1220"/>
      <c r="AB1070" s="1220"/>
      <c r="AC1070" s="1220"/>
      <c r="AD1070" s="1220"/>
      <c r="AE1070" s="1220"/>
      <c r="AF1070" s="1220"/>
      <c r="AG1070" s="1220"/>
      <c r="AH1070" s="1220"/>
      <c r="AI1070" s="1220"/>
      <c r="AJ1070" s="1220"/>
      <c r="AK1070" s="1220"/>
      <c r="AL1070" s="1176"/>
      <c r="AM1070" s="1176"/>
      <c r="AN1070" s="1176"/>
      <c r="AO1070" s="1176"/>
      <c r="AP1070" s="1176"/>
      <c r="AQ1070" s="1176"/>
      <c r="AR1070" s="1176"/>
      <c r="AS1070" s="1176"/>
      <c r="AT1070" s="1176"/>
    </row>
    <row r="1071" spans="1:51" ht="13.2" customHeight="1">
      <c r="A1071" s="1"/>
      <c r="B1071" s="1"/>
      <c r="C1071" s="8"/>
      <c r="D1071" s="1220"/>
      <c r="E1071" s="1220"/>
      <c r="F1071" s="1220"/>
      <c r="G1071" s="1220"/>
      <c r="H1071" s="1220"/>
      <c r="I1071" s="1220"/>
      <c r="J1071" s="1220"/>
      <c r="K1071" s="1220"/>
      <c r="L1071" s="1220"/>
      <c r="M1071" s="1220"/>
      <c r="N1071" s="1220"/>
      <c r="O1071" s="1220"/>
      <c r="P1071" s="1220"/>
      <c r="Q1071" s="1220"/>
      <c r="R1071" s="1220"/>
      <c r="S1071" s="1220"/>
      <c r="T1071" s="1220"/>
      <c r="U1071" s="1220"/>
      <c r="V1071" s="1220"/>
      <c r="W1071" s="1220"/>
      <c r="X1071" s="1220"/>
      <c r="Y1071" s="1220"/>
      <c r="Z1071" s="1220"/>
      <c r="AA1071" s="1220"/>
      <c r="AB1071" s="1220"/>
      <c r="AC1071" s="1220"/>
      <c r="AD1071" s="1220"/>
      <c r="AE1071" s="1220"/>
      <c r="AF1071" s="1220"/>
      <c r="AG1071" s="1220"/>
      <c r="AH1071" s="1220"/>
      <c r="AI1071" s="1220"/>
      <c r="AJ1071" s="1220"/>
      <c r="AK1071" s="1220"/>
      <c r="AL1071" s="1176"/>
      <c r="AM1071" s="1176"/>
      <c r="AN1071" s="1176"/>
      <c r="AO1071" s="1176"/>
      <c r="AP1071" s="1176"/>
      <c r="AQ1071" s="1176"/>
      <c r="AR1071" s="1176"/>
      <c r="AS1071" s="1176"/>
      <c r="AT1071" s="1176"/>
    </row>
    <row r="1072" spans="1:51" ht="13.2" customHeight="1">
      <c r="A1072" s="1"/>
      <c r="B1072" s="1"/>
      <c r="C1072" s="8"/>
      <c r="D1072" s="1220"/>
      <c r="E1072" s="1220"/>
      <c r="F1072" s="1220"/>
      <c r="G1072" s="1220"/>
      <c r="H1072" s="1220"/>
      <c r="I1072" s="1220"/>
      <c r="J1072" s="1220"/>
      <c r="K1072" s="1220"/>
      <c r="L1072" s="1220"/>
      <c r="M1072" s="1220"/>
      <c r="N1072" s="1220"/>
      <c r="O1072" s="1220"/>
      <c r="P1072" s="1220"/>
      <c r="Q1072" s="1220"/>
      <c r="R1072" s="1220"/>
      <c r="S1072" s="1220"/>
      <c r="T1072" s="1220"/>
      <c r="U1072" s="1220"/>
      <c r="V1072" s="1220"/>
      <c r="W1072" s="1220"/>
      <c r="X1072" s="1220"/>
      <c r="Y1072" s="1220"/>
      <c r="Z1072" s="1220"/>
      <c r="AA1072" s="1220"/>
      <c r="AB1072" s="1220"/>
      <c r="AC1072" s="1220"/>
      <c r="AD1072" s="1220"/>
      <c r="AE1072" s="1220"/>
      <c r="AF1072" s="1220"/>
      <c r="AG1072" s="1220"/>
      <c r="AH1072" s="1220"/>
      <c r="AI1072" s="1220"/>
      <c r="AJ1072" s="1220"/>
      <c r="AK1072" s="1220"/>
      <c r="AL1072" s="1176"/>
      <c r="AM1072" s="1176"/>
      <c r="AN1072" s="1176"/>
      <c r="AO1072" s="1176"/>
      <c r="AP1072" s="1176"/>
      <c r="AQ1072" s="1176"/>
      <c r="AR1072" s="1176"/>
      <c r="AS1072" s="1176"/>
      <c r="AT1072" s="1176"/>
    </row>
    <row r="1073" spans="1:46" ht="13.2" customHeight="1">
      <c r="A1073" s="1"/>
      <c r="B1073" s="1"/>
      <c r="C1073" s="8"/>
      <c r="D1073" s="1220"/>
      <c r="E1073" s="1220"/>
      <c r="F1073" s="1220"/>
      <c r="G1073" s="1220"/>
      <c r="H1073" s="1220"/>
      <c r="I1073" s="1220"/>
      <c r="J1073" s="1220"/>
      <c r="K1073" s="1220"/>
      <c r="L1073" s="1220"/>
      <c r="M1073" s="1220"/>
      <c r="N1073" s="1220"/>
      <c r="O1073" s="1220"/>
      <c r="P1073" s="1220"/>
      <c r="Q1073" s="1220"/>
      <c r="R1073" s="1220"/>
      <c r="S1073" s="1220"/>
      <c r="T1073" s="1220"/>
      <c r="U1073" s="1220"/>
      <c r="V1073" s="1220"/>
      <c r="W1073" s="1220"/>
      <c r="X1073" s="1220"/>
      <c r="Y1073" s="1220"/>
      <c r="Z1073" s="1220"/>
      <c r="AA1073" s="1220"/>
      <c r="AB1073" s="1220"/>
      <c r="AC1073" s="1220"/>
      <c r="AD1073" s="1220"/>
      <c r="AE1073" s="1220"/>
      <c r="AF1073" s="1220"/>
      <c r="AG1073" s="1220"/>
      <c r="AH1073" s="1220"/>
      <c r="AI1073" s="1220"/>
      <c r="AJ1073" s="1220"/>
      <c r="AK1073" s="1220"/>
      <c r="AL1073" s="1176"/>
      <c r="AM1073" s="1176"/>
      <c r="AN1073" s="1176"/>
      <c r="AO1073" s="1176"/>
      <c r="AP1073" s="1176"/>
      <c r="AQ1073" s="1176"/>
      <c r="AR1073" s="1176"/>
      <c r="AS1073" s="1176"/>
      <c r="AT1073" s="1176"/>
    </row>
    <row r="1074" spans="1:46" ht="13.2" hidden="1" customHeight="1">
      <c r="A1074" s="1"/>
      <c r="B1074" s="1"/>
      <c r="C1074" s="8"/>
      <c r="D1074" s="1220"/>
      <c r="E1074" s="1220"/>
      <c r="F1074" s="1220"/>
      <c r="G1074" s="1220"/>
      <c r="H1074" s="1220"/>
      <c r="I1074" s="1220"/>
      <c r="J1074" s="1220"/>
      <c r="K1074" s="1220"/>
      <c r="L1074" s="1220"/>
      <c r="M1074" s="1220"/>
      <c r="N1074" s="1220"/>
      <c r="O1074" s="1220"/>
      <c r="P1074" s="1220"/>
      <c r="Q1074" s="1220"/>
      <c r="R1074" s="1220"/>
      <c r="S1074" s="1220"/>
      <c r="T1074" s="1220"/>
      <c r="U1074" s="1220"/>
      <c r="V1074" s="1220"/>
      <c r="W1074" s="1220"/>
      <c r="X1074" s="1220"/>
      <c r="Y1074" s="1220"/>
      <c r="Z1074" s="1220"/>
      <c r="AA1074" s="1220"/>
      <c r="AB1074" s="1220"/>
      <c r="AC1074" s="1220"/>
      <c r="AD1074" s="1220"/>
      <c r="AE1074" s="1220"/>
      <c r="AF1074" s="1220"/>
      <c r="AG1074" s="1220"/>
      <c r="AH1074" s="1220"/>
      <c r="AI1074" s="1220"/>
      <c r="AJ1074" s="1220"/>
      <c r="AK1074" s="1220"/>
      <c r="AL1074" s="1176"/>
      <c r="AM1074" s="1176"/>
      <c r="AN1074" s="1176"/>
      <c r="AO1074" s="1176"/>
      <c r="AP1074" s="1176"/>
      <c r="AQ1074" s="1176"/>
      <c r="AR1074" s="1176"/>
      <c r="AS1074" s="1176"/>
      <c r="AT1074" s="1176"/>
    </row>
    <row r="1075" spans="1:46" ht="13.2" customHeight="1">
      <c r="A1075" s="1"/>
      <c r="B1075" s="1"/>
      <c r="C1075" s="8"/>
      <c r="D1075" s="1220"/>
      <c r="E1075" s="1220"/>
      <c r="F1075" s="1220"/>
      <c r="G1075" s="1220"/>
      <c r="H1075" s="1220"/>
      <c r="I1075" s="1220"/>
      <c r="J1075" s="1220"/>
      <c r="K1075" s="1220"/>
      <c r="L1075" s="1220"/>
      <c r="M1075" s="1220"/>
      <c r="N1075" s="1220"/>
      <c r="O1075" s="1220"/>
      <c r="P1075" s="1220"/>
      <c r="Q1075" s="1220"/>
      <c r="R1075" s="1220"/>
      <c r="S1075" s="1220"/>
      <c r="T1075" s="1220"/>
      <c r="U1075" s="1220"/>
      <c r="V1075" s="1220"/>
      <c r="W1075" s="1220"/>
      <c r="X1075" s="1220"/>
      <c r="Y1075" s="1220"/>
      <c r="Z1075" s="1220"/>
      <c r="AA1075" s="1220"/>
      <c r="AB1075" s="1220"/>
      <c r="AC1075" s="1220"/>
      <c r="AD1075" s="1220"/>
      <c r="AE1075" s="1220"/>
      <c r="AF1075" s="1220"/>
      <c r="AG1075" s="1220"/>
      <c r="AH1075" s="1220"/>
      <c r="AI1075" s="1220"/>
      <c r="AJ1075" s="1220"/>
      <c r="AK1075" s="1220"/>
    </row>
    <row r="1076" spans="1:46" ht="13.2" customHeight="1">
      <c r="A1076" s="1348" t="s">
        <v>299</v>
      </c>
      <c r="B1076" s="1348"/>
      <c r="C1076" s="8">
        <v>3</v>
      </c>
      <c r="D1076" s="1220" t="s">
        <v>1798</v>
      </c>
      <c r="E1076" s="1220"/>
      <c r="F1076" s="1220"/>
      <c r="G1076" s="1220"/>
      <c r="H1076" s="1220"/>
      <c r="I1076" s="1220"/>
      <c r="J1076" s="1220"/>
      <c r="K1076" s="1220"/>
      <c r="L1076" s="1220"/>
      <c r="M1076" s="1220"/>
      <c r="N1076" s="1220"/>
      <c r="O1076" s="1220"/>
      <c r="P1076" s="1220"/>
      <c r="Q1076" s="1220"/>
      <c r="R1076" s="1220"/>
      <c r="S1076" s="1220"/>
      <c r="T1076" s="1220"/>
      <c r="U1076" s="1220"/>
      <c r="V1076" s="1220"/>
      <c r="W1076" s="1220"/>
      <c r="X1076" s="1220"/>
      <c r="Y1076" s="1220"/>
      <c r="Z1076" s="1220"/>
      <c r="AA1076" s="1220"/>
      <c r="AB1076" s="1220"/>
      <c r="AC1076" s="1220"/>
      <c r="AD1076" s="1220"/>
      <c r="AE1076" s="1220"/>
      <c r="AF1076" s="1220"/>
      <c r="AG1076" s="1220"/>
      <c r="AH1076" s="1220"/>
      <c r="AI1076" s="1220"/>
      <c r="AJ1076" s="1220"/>
      <c r="AK1076" s="1220"/>
    </row>
    <row r="1077" spans="1:46" ht="13.2" customHeight="1">
      <c r="A1077" s="3"/>
      <c r="B1077" s="3"/>
      <c r="C1077" s="8"/>
      <c r="D1077" s="1220"/>
      <c r="E1077" s="1220"/>
      <c r="F1077" s="1220"/>
      <c r="G1077" s="1220"/>
      <c r="H1077" s="1220"/>
      <c r="I1077" s="1220"/>
      <c r="J1077" s="1220"/>
      <c r="K1077" s="1220"/>
      <c r="L1077" s="1220"/>
      <c r="M1077" s="1220"/>
      <c r="N1077" s="1220"/>
      <c r="O1077" s="1220"/>
      <c r="P1077" s="1220"/>
      <c r="Q1077" s="1220"/>
      <c r="R1077" s="1220"/>
      <c r="S1077" s="1220"/>
      <c r="T1077" s="1220"/>
      <c r="U1077" s="1220"/>
      <c r="V1077" s="1220"/>
      <c r="W1077" s="1220"/>
      <c r="X1077" s="1220"/>
      <c r="Y1077" s="1220"/>
      <c r="Z1077" s="1220"/>
      <c r="AA1077" s="1220"/>
      <c r="AB1077" s="1220"/>
      <c r="AC1077" s="1220"/>
      <c r="AD1077" s="1220"/>
      <c r="AE1077" s="1220"/>
      <c r="AF1077" s="1220"/>
      <c r="AG1077" s="1220"/>
      <c r="AH1077" s="1220"/>
      <c r="AI1077" s="1220"/>
      <c r="AJ1077" s="1220"/>
      <c r="AK1077" s="1220"/>
    </row>
    <row r="1078" spans="1:46" ht="13.2" customHeight="1">
      <c r="A1078" s="3"/>
      <c r="B1078" s="3"/>
      <c r="C1078" s="8"/>
      <c r="D1078" s="1220"/>
      <c r="E1078" s="1220"/>
      <c r="F1078" s="1220"/>
      <c r="G1078" s="1220"/>
      <c r="H1078" s="1220"/>
      <c r="I1078" s="1220"/>
      <c r="J1078" s="1220"/>
      <c r="K1078" s="1220"/>
      <c r="L1078" s="1220"/>
      <c r="M1078" s="1220"/>
      <c r="N1078" s="1220"/>
      <c r="O1078" s="1220"/>
      <c r="P1078" s="1220"/>
      <c r="Q1078" s="1220"/>
      <c r="R1078" s="1220"/>
      <c r="S1078" s="1220"/>
      <c r="T1078" s="1220"/>
      <c r="U1078" s="1220"/>
      <c r="V1078" s="1220"/>
      <c r="W1078" s="1220"/>
      <c r="X1078" s="1220"/>
      <c r="Y1078" s="1220"/>
      <c r="Z1078" s="1220"/>
      <c r="AA1078" s="1220"/>
      <c r="AB1078" s="1220"/>
      <c r="AC1078" s="1220"/>
      <c r="AD1078" s="1220"/>
      <c r="AE1078" s="1220"/>
      <c r="AF1078" s="1220"/>
      <c r="AG1078" s="1220"/>
      <c r="AH1078" s="1220"/>
      <c r="AI1078" s="1220"/>
      <c r="AJ1078" s="1220"/>
      <c r="AK1078" s="1220"/>
    </row>
    <row r="1079" spans="1:46" ht="13.2" customHeight="1">
      <c r="A1079" s="85"/>
      <c r="B1079" s="22"/>
      <c r="C1079" s="8"/>
      <c r="D1079" s="1220"/>
      <c r="E1079" s="1220"/>
      <c r="F1079" s="1220"/>
      <c r="G1079" s="1220"/>
      <c r="H1079" s="1220"/>
      <c r="I1079" s="1220"/>
      <c r="J1079" s="1220"/>
      <c r="K1079" s="1220"/>
      <c r="L1079" s="1220"/>
      <c r="M1079" s="1220"/>
      <c r="N1079" s="1220"/>
      <c r="O1079" s="1220"/>
      <c r="P1079" s="1220"/>
      <c r="Q1079" s="1220"/>
      <c r="R1079" s="1220"/>
      <c r="S1079" s="1220"/>
      <c r="T1079" s="1220"/>
      <c r="U1079" s="1220"/>
      <c r="V1079" s="1220"/>
      <c r="W1079" s="1220"/>
      <c r="X1079" s="1220"/>
      <c r="Y1079" s="1220"/>
      <c r="Z1079" s="1220"/>
      <c r="AA1079" s="1220"/>
      <c r="AB1079" s="1220"/>
      <c r="AC1079" s="1220"/>
      <c r="AD1079" s="1220"/>
      <c r="AE1079" s="1220"/>
      <c r="AF1079" s="1220"/>
      <c r="AG1079" s="1220"/>
      <c r="AH1079" s="1220"/>
      <c r="AI1079" s="1220"/>
      <c r="AJ1079" s="1220"/>
      <c r="AK1079" s="1220"/>
    </row>
    <row r="1080" spans="1:46" ht="13.2" customHeight="1">
      <c r="A1080" s="85"/>
      <c r="B1080" s="22"/>
      <c r="C1080" s="8"/>
      <c r="D1080" s="1220"/>
      <c r="E1080" s="1220"/>
      <c r="F1080" s="1220"/>
      <c r="G1080" s="1220"/>
      <c r="H1080" s="1220"/>
      <c r="I1080" s="1220"/>
      <c r="J1080" s="1220"/>
      <c r="K1080" s="1220"/>
      <c r="L1080" s="1220"/>
      <c r="M1080" s="1220"/>
      <c r="N1080" s="1220"/>
      <c r="O1080" s="1220"/>
      <c r="P1080" s="1220"/>
      <c r="Q1080" s="1220"/>
      <c r="R1080" s="1220"/>
      <c r="S1080" s="1220"/>
      <c r="T1080" s="1220"/>
      <c r="U1080" s="1220"/>
      <c r="V1080" s="1220"/>
      <c r="W1080" s="1220"/>
      <c r="X1080" s="1220"/>
      <c r="Y1080" s="1220"/>
      <c r="Z1080" s="1220"/>
      <c r="AA1080" s="1220"/>
      <c r="AB1080" s="1220"/>
      <c r="AC1080" s="1220"/>
      <c r="AD1080" s="1220"/>
      <c r="AE1080" s="1220"/>
      <c r="AF1080" s="1220"/>
      <c r="AG1080" s="1220"/>
      <c r="AH1080" s="1220"/>
      <c r="AI1080" s="1220"/>
      <c r="AJ1080" s="1220"/>
      <c r="AK1080" s="1220"/>
    </row>
    <row r="1081" spans="1:46" ht="13.2" customHeight="1">
      <c r="A1081" s="85"/>
      <c r="B1081" s="22"/>
      <c r="C1081" s="8"/>
      <c r="D1081" s="1220"/>
      <c r="E1081" s="1220"/>
      <c r="F1081" s="1220"/>
      <c r="G1081" s="1220"/>
      <c r="H1081" s="1220"/>
      <c r="I1081" s="1220"/>
      <c r="J1081" s="1220"/>
      <c r="K1081" s="1220"/>
      <c r="L1081" s="1220"/>
      <c r="M1081" s="1220"/>
      <c r="N1081" s="1220"/>
      <c r="O1081" s="1220"/>
      <c r="P1081" s="1220"/>
      <c r="Q1081" s="1220"/>
      <c r="R1081" s="1220"/>
      <c r="S1081" s="1220"/>
      <c r="T1081" s="1220"/>
      <c r="U1081" s="1220"/>
      <c r="V1081" s="1220"/>
      <c r="W1081" s="1220"/>
      <c r="X1081" s="1220"/>
      <c r="Y1081" s="1220"/>
      <c r="Z1081" s="1220"/>
      <c r="AA1081" s="1220"/>
      <c r="AB1081" s="1220"/>
      <c r="AC1081" s="1220"/>
      <c r="AD1081" s="1220"/>
      <c r="AE1081" s="1220"/>
      <c r="AF1081" s="1220"/>
      <c r="AG1081" s="1220"/>
      <c r="AH1081" s="1220"/>
      <c r="AI1081" s="1220"/>
      <c r="AJ1081" s="1220"/>
      <c r="AK1081" s="1220"/>
    </row>
    <row r="1082" spans="1:46" ht="13.2" customHeight="1">
      <c r="A1082" s="85"/>
      <c r="B1082" s="22"/>
      <c r="C1082" s="8"/>
      <c r="D1082" s="1220"/>
      <c r="E1082" s="1220"/>
      <c r="F1082" s="1220"/>
      <c r="G1082" s="1220"/>
      <c r="H1082" s="1220"/>
      <c r="I1082" s="1220"/>
      <c r="J1082" s="1220"/>
      <c r="K1082" s="1220"/>
      <c r="L1082" s="1220"/>
      <c r="M1082" s="1220"/>
      <c r="N1082" s="1220"/>
      <c r="O1082" s="1220"/>
      <c r="P1082" s="1220"/>
      <c r="Q1082" s="1220"/>
      <c r="R1082" s="1220"/>
      <c r="S1082" s="1220"/>
      <c r="T1082" s="1220"/>
      <c r="U1082" s="1220"/>
      <c r="V1082" s="1220"/>
      <c r="W1082" s="1220"/>
      <c r="X1082" s="1220"/>
      <c r="Y1082" s="1220"/>
      <c r="Z1082" s="1220"/>
      <c r="AA1082" s="1220"/>
      <c r="AB1082" s="1220"/>
      <c r="AC1082" s="1220"/>
      <c r="AD1082" s="1220"/>
      <c r="AE1082" s="1220"/>
      <c r="AF1082" s="1220"/>
      <c r="AG1082" s="1220"/>
      <c r="AH1082" s="1220"/>
      <c r="AI1082" s="1220"/>
      <c r="AJ1082" s="1220"/>
      <c r="AK1082" s="1220"/>
    </row>
    <row r="1083" spans="1:46" ht="13.2" customHeight="1">
      <c r="A1083" s="1348" t="s">
        <v>299</v>
      </c>
      <c r="B1083" s="1348"/>
      <c r="C1083" s="8">
        <v>4</v>
      </c>
      <c r="D1083" s="1220" t="s">
        <v>1799</v>
      </c>
      <c r="E1083" s="1220"/>
      <c r="F1083" s="1220"/>
      <c r="G1083" s="1220"/>
      <c r="H1083" s="1220"/>
      <c r="I1083" s="1220"/>
      <c r="J1083" s="1220"/>
      <c r="K1083" s="1220"/>
      <c r="L1083" s="1220"/>
      <c r="M1083" s="1220"/>
      <c r="N1083" s="1220"/>
      <c r="O1083" s="1220"/>
      <c r="P1083" s="1220"/>
      <c r="Q1083" s="1220"/>
      <c r="R1083" s="1220"/>
      <c r="S1083" s="1220"/>
      <c r="T1083" s="1220"/>
      <c r="U1083" s="1220"/>
      <c r="V1083" s="1220"/>
      <c r="W1083" s="1220"/>
      <c r="X1083" s="1220"/>
      <c r="Y1083" s="1220"/>
      <c r="Z1083" s="1220"/>
      <c r="AA1083" s="1220"/>
      <c r="AB1083" s="1220"/>
      <c r="AC1083" s="1220"/>
      <c r="AD1083" s="1220"/>
      <c r="AE1083" s="1220"/>
      <c r="AF1083" s="1220"/>
      <c r="AG1083" s="1220"/>
      <c r="AH1083" s="1220"/>
      <c r="AI1083" s="1220"/>
      <c r="AJ1083" s="1220"/>
      <c r="AK1083" s="1220"/>
    </row>
    <row r="1084" spans="1:46" ht="13.2" customHeight="1">
      <c r="A1084" s="1"/>
      <c r="B1084" s="1"/>
      <c r="C1084" s="8"/>
      <c r="D1084" s="1220"/>
      <c r="E1084" s="1220"/>
      <c r="F1084" s="1220"/>
      <c r="G1084" s="1220"/>
      <c r="H1084" s="1220"/>
      <c r="I1084" s="1220"/>
      <c r="J1084" s="1220"/>
      <c r="K1084" s="1220"/>
      <c r="L1084" s="1220"/>
      <c r="M1084" s="1220"/>
      <c r="N1084" s="1220"/>
      <c r="O1084" s="1220"/>
      <c r="P1084" s="1220"/>
      <c r="Q1084" s="1220"/>
      <c r="R1084" s="1220"/>
      <c r="S1084" s="1220"/>
      <c r="T1084" s="1220"/>
      <c r="U1084" s="1220"/>
      <c r="V1084" s="1220"/>
      <c r="W1084" s="1220"/>
      <c r="X1084" s="1220"/>
      <c r="Y1084" s="1220"/>
      <c r="Z1084" s="1220"/>
      <c r="AA1084" s="1220"/>
      <c r="AB1084" s="1220"/>
      <c r="AC1084" s="1220"/>
      <c r="AD1084" s="1220"/>
      <c r="AE1084" s="1220"/>
      <c r="AF1084" s="1220"/>
      <c r="AG1084" s="1220"/>
      <c r="AH1084" s="1220"/>
      <c r="AI1084" s="1220"/>
      <c r="AJ1084" s="1220"/>
      <c r="AK1084" s="1220"/>
    </row>
    <row r="1085" spans="1:46" ht="13.2" customHeight="1">
      <c r="A1085" s="85"/>
      <c r="B1085" s="22"/>
      <c r="C1085" s="8"/>
      <c r="D1085" s="1220"/>
      <c r="E1085" s="1220"/>
      <c r="F1085" s="1220"/>
      <c r="G1085" s="1220"/>
      <c r="H1085" s="1220"/>
      <c r="I1085" s="1220"/>
      <c r="J1085" s="1220"/>
      <c r="K1085" s="1220"/>
      <c r="L1085" s="1220"/>
      <c r="M1085" s="1220"/>
      <c r="N1085" s="1220"/>
      <c r="O1085" s="1220"/>
      <c r="P1085" s="1220"/>
      <c r="Q1085" s="1220"/>
      <c r="R1085" s="1220"/>
      <c r="S1085" s="1220"/>
      <c r="T1085" s="1220"/>
      <c r="U1085" s="1220"/>
      <c r="V1085" s="1220"/>
      <c r="W1085" s="1220"/>
      <c r="X1085" s="1220"/>
      <c r="Y1085" s="1220"/>
      <c r="Z1085" s="1220"/>
      <c r="AA1085" s="1220"/>
      <c r="AB1085" s="1220"/>
      <c r="AC1085" s="1220"/>
      <c r="AD1085" s="1220"/>
      <c r="AE1085" s="1220"/>
      <c r="AF1085" s="1220"/>
      <c r="AG1085" s="1220"/>
      <c r="AH1085" s="1220"/>
      <c r="AI1085" s="1220"/>
      <c r="AJ1085" s="1220"/>
      <c r="AK1085" s="1220"/>
    </row>
    <row r="1086" spans="1:46" ht="13.2" customHeight="1">
      <c r="A1086" s="1348" t="s">
        <v>299</v>
      </c>
      <c r="B1086" s="1348"/>
      <c r="C1086" s="8">
        <v>5</v>
      </c>
      <c r="D1086" s="1220" t="s">
        <v>1800</v>
      </c>
      <c r="E1086" s="1220"/>
      <c r="F1086" s="1220"/>
      <c r="G1086" s="1220"/>
      <c r="H1086" s="1220"/>
      <c r="I1086" s="1220"/>
      <c r="J1086" s="1220"/>
      <c r="K1086" s="1220"/>
      <c r="L1086" s="1220"/>
      <c r="M1086" s="1220"/>
      <c r="N1086" s="1220"/>
      <c r="O1086" s="1220"/>
      <c r="P1086" s="1220"/>
      <c r="Q1086" s="1220"/>
      <c r="R1086" s="1220"/>
      <c r="S1086" s="1220"/>
      <c r="T1086" s="1220"/>
      <c r="U1086" s="1220"/>
      <c r="V1086" s="1220"/>
      <c r="W1086" s="1220"/>
      <c r="X1086" s="1220"/>
      <c r="Y1086" s="1220"/>
      <c r="Z1086" s="1220"/>
      <c r="AA1086" s="1220"/>
      <c r="AB1086" s="1220"/>
      <c r="AC1086" s="1220"/>
      <c r="AD1086" s="1220"/>
      <c r="AE1086" s="1220"/>
      <c r="AF1086" s="1220"/>
      <c r="AG1086" s="1220"/>
      <c r="AH1086" s="1220"/>
      <c r="AI1086" s="1220"/>
      <c r="AJ1086" s="1220"/>
      <c r="AK1086" s="1220"/>
    </row>
    <row r="1087" spans="1:46" ht="13.2" customHeight="1">
      <c r="A1087" s="1"/>
      <c r="B1087" s="1"/>
      <c r="C1087" s="8"/>
      <c r="D1087" s="1220"/>
      <c r="E1087" s="1220"/>
      <c r="F1087" s="1220"/>
      <c r="G1087" s="1220"/>
      <c r="H1087" s="1220"/>
      <c r="I1087" s="1220"/>
      <c r="J1087" s="1220"/>
      <c r="K1087" s="1220"/>
      <c r="L1087" s="1220"/>
      <c r="M1087" s="1220"/>
      <c r="N1087" s="1220"/>
      <c r="O1087" s="1220"/>
      <c r="P1087" s="1220"/>
      <c r="Q1087" s="1220"/>
      <c r="R1087" s="1220"/>
      <c r="S1087" s="1220"/>
      <c r="T1087" s="1220"/>
      <c r="U1087" s="1220"/>
      <c r="V1087" s="1220"/>
      <c r="W1087" s="1220"/>
      <c r="X1087" s="1220"/>
      <c r="Y1087" s="1220"/>
      <c r="Z1087" s="1220"/>
      <c r="AA1087" s="1220"/>
      <c r="AB1087" s="1220"/>
      <c r="AC1087" s="1220"/>
      <c r="AD1087" s="1220"/>
      <c r="AE1087" s="1220"/>
      <c r="AF1087" s="1220"/>
      <c r="AG1087" s="1220"/>
      <c r="AH1087" s="1220"/>
      <c r="AI1087" s="1220"/>
      <c r="AJ1087" s="1220"/>
      <c r="AK1087" s="1220"/>
    </row>
    <row r="1088" spans="1:46" ht="13.2" customHeight="1">
      <c r="A1088" s="1"/>
      <c r="B1088" s="1"/>
      <c r="C1088" s="8"/>
      <c r="D1088" s="1220"/>
      <c r="E1088" s="1220"/>
      <c r="F1088" s="1220"/>
      <c r="G1088" s="1220"/>
      <c r="H1088" s="1220"/>
      <c r="I1088" s="1220"/>
      <c r="J1088" s="1220"/>
      <c r="K1088" s="1220"/>
      <c r="L1088" s="1220"/>
      <c r="M1088" s="1220"/>
      <c r="N1088" s="1220"/>
      <c r="O1088" s="1220"/>
      <c r="P1088" s="1220"/>
      <c r="Q1088" s="1220"/>
      <c r="R1088" s="1220"/>
      <c r="S1088" s="1220"/>
      <c r="T1088" s="1220"/>
      <c r="U1088" s="1220"/>
      <c r="V1088" s="1220"/>
      <c r="W1088" s="1220"/>
      <c r="X1088" s="1220"/>
      <c r="Y1088" s="1220"/>
      <c r="Z1088" s="1220"/>
      <c r="AA1088" s="1220"/>
      <c r="AB1088" s="1220"/>
      <c r="AC1088" s="1220"/>
      <c r="AD1088" s="1220"/>
      <c r="AE1088" s="1220"/>
      <c r="AF1088" s="1220"/>
      <c r="AG1088" s="1220"/>
      <c r="AH1088" s="1220"/>
      <c r="AI1088" s="1220"/>
      <c r="AJ1088" s="1220"/>
      <c r="AK1088" s="1220"/>
    </row>
    <row r="1089" spans="1:37" ht="13.2" hidden="1" customHeight="1">
      <c r="A1089" s="1"/>
      <c r="B1089" s="1"/>
      <c r="C1089" s="8"/>
      <c r="D1089" s="1220"/>
      <c r="E1089" s="1220"/>
      <c r="F1089" s="1220"/>
      <c r="G1089" s="1220"/>
      <c r="H1089" s="1220"/>
      <c r="I1089" s="1220"/>
      <c r="J1089" s="1220"/>
      <c r="K1089" s="1220"/>
      <c r="L1089" s="1220"/>
      <c r="M1089" s="1220"/>
      <c r="N1089" s="1220"/>
      <c r="O1089" s="1220"/>
      <c r="P1089" s="1220"/>
      <c r="Q1089" s="1220"/>
      <c r="R1089" s="1220"/>
      <c r="S1089" s="1220"/>
      <c r="T1089" s="1220"/>
      <c r="U1089" s="1220"/>
      <c r="V1089" s="1220"/>
      <c r="W1089" s="1220"/>
      <c r="X1089" s="1220"/>
      <c r="Y1089" s="1220"/>
      <c r="Z1089" s="1220"/>
      <c r="AA1089" s="1220"/>
      <c r="AB1089" s="1220"/>
      <c r="AC1089" s="1220"/>
      <c r="AD1089" s="1220"/>
      <c r="AE1089" s="1220"/>
      <c r="AF1089" s="1220"/>
      <c r="AG1089" s="1220"/>
      <c r="AH1089" s="1220"/>
      <c r="AI1089" s="1220"/>
      <c r="AJ1089" s="1220"/>
      <c r="AK1089" s="1220"/>
    </row>
    <row r="1090" spans="1:37" ht="13.2" customHeight="1">
      <c r="A1090" s="85"/>
      <c r="B1090" s="22"/>
      <c r="C1090" s="8"/>
      <c r="D1090" s="1220"/>
      <c r="E1090" s="1220"/>
      <c r="F1090" s="1220"/>
      <c r="G1090" s="1220"/>
      <c r="H1090" s="1220"/>
      <c r="I1090" s="1220"/>
      <c r="J1090" s="1220"/>
      <c r="K1090" s="1220"/>
      <c r="L1090" s="1220"/>
      <c r="M1090" s="1220"/>
      <c r="N1090" s="1220"/>
      <c r="O1090" s="1220"/>
      <c r="P1090" s="1220"/>
      <c r="Q1090" s="1220"/>
      <c r="R1090" s="1220"/>
      <c r="S1090" s="1220"/>
      <c r="T1090" s="1220"/>
      <c r="U1090" s="1220"/>
      <c r="V1090" s="1220"/>
      <c r="W1090" s="1220"/>
      <c r="X1090" s="1220"/>
      <c r="Y1090" s="1220"/>
      <c r="Z1090" s="1220"/>
      <c r="AA1090" s="1220"/>
      <c r="AB1090" s="1220"/>
      <c r="AC1090" s="1220"/>
      <c r="AD1090" s="1220"/>
      <c r="AE1090" s="1220"/>
      <c r="AF1090" s="1220"/>
      <c r="AG1090" s="1220"/>
      <c r="AH1090" s="1220"/>
      <c r="AI1090" s="1220"/>
      <c r="AJ1090" s="1220"/>
      <c r="AK1090" s="1220"/>
    </row>
    <row r="1091" spans="1:37" ht="13.2" customHeight="1">
      <c r="A1091" s="1348" t="s">
        <v>299</v>
      </c>
      <c r="B1091" s="1348"/>
      <c r="C1091" s="8">
        <v>6</v>
      </c>
      <c r="D1091" s="1220" t="s">
        <v>1801</v>
      </c>
      <c r="E1091" s="1220"/>
      <c r="F1091" s="1220"/>
      <c r="G1091" s="1220"/>
      <c r="H1091" s="1220"/>
      <c r="I1091" s="1220"/>
      <c r="J1091" s="1220"/>
      <c r="K1091" s="1220"/>
      <c r="L1091" s="1220"/>
      <c r="M1091" s="1220"/>
      <c r="N1091" s="1220"/>
      <c r="O1091" s="1220"/>
      <c r="P1091" s="1220"/>
      <c r="Q1091" s="1220"/>
      <c r="R1091" s="1220"/>
      <c r="S1091" s="1220"/>
      <c r="T1091" s="1220"/>
      <c r="U1091" s="1220"/>
      <c r="V1091" s="1220"/>
      <c r="W1091" s="1220"/>
      <c r="X1091" s="1220"/>
      <c r="Y1091" s="1220"/>
      <c r="Z1091" s="1220"/>
      <c r="AA1091" s="1220"/>
      <c r="AB1091" s="1220"/>
      <c r="AC1091" s="1220"/>
      <c r="AD1091" s="1220"/>
      <c r="AE1091" s="1220"/>
      <c r="AF1091" s="1220"/>
      <c r="AG1091" s="1220"/>
      <c r="AH1091" s="1220"/>
      <c r="AI1091" s="1220"/>
      <c r="AJ1091" s="1220"/>
      <c r="AK1091" s="1220"/>
    </row>
    <row r="1092" spans="1:37" ht="13.2" customHeight="1">
      <c r="A1092" s="85"/>
      <c r="B1092" s="22"/>
      <c r="C1092" s="8"/>
      <c r="D1092" s="1220"/>
      <c r="E1092" s="1220"/>
      <c r="F1092" s="1220"/>
      <c r="G1092" s="1220"/>
      <c r="H1092" s="1220"/>
      <c r="I1092" s="1220"/>
      <c r="J1092" s="1220"/>
      <c r="K1092" s="1220"/>
      <c r="L1092" s="1220"/>
      <c r="M1092" s="1220"/>
      <c r="N1092" s="1220"/>
      <c r="O1092" s="1220"/>
      <c r="P1092" s="1220"/>
      <c r="Q1092" s="1220"/>
      <c r="R1092" s="1220"/>
      <c r="S1092" s="1220"/>
      <c r="T1092" s="1220"/>
      <c r="U1092" s="1220"/>
      <c r="V1092" s="1220"/>
      <c r="W1092" s="1220"/>
      <c r="X1092" s="1220"/>
      <c r="Y1092" s="1220"/>
      <c r="Z1092" s="1220"/>
      <c r="AA1092" s="1220"/>
      <c r="AB1092" s="1220"/>
      <c r="AC1092" s="1220"/>
      <c r="AD1092" s="1220"/>
      <c r="AE1092" s="1220"/>
      <c r="AF1092" s="1220"/>
      <c r="AG1092" s="1220"/>
      <c r="AH1092" s="1220"/>
      <c r="AI1092" s="1220"/>
      <c r="AJ1092" s="1220"/>
      <c r="AK1092" s="1220"/>
    </row>
    <row r="1093" spans="1:37" ht="13.2" customHeight="1">
      <c r="A1093" s="85"/>
      <c r="B1093" s="22"/>
      <c r="C1093" s="8"/>
      <c r="D1093" s="1220"/>
      <c r="E1093" s="1220"/>
      <c r="F1093" s="1220"/>
      <c r="G1093" s="1220"/>
      <c r="H1093" s="1220"/>
      <c r="I1093" s="1220"/>
      <c r="J1093" s="1220"/>
      <c r="K1093" s="1220"/>
      <c r="L1093" s="1220"/>
      <c r="M1093" s="1220"/>
      <c r="N1093" s="1220"/>
      <c r="O1093" s="1220"/>
      <c r="P1093" s="1220"/>
      <c r="Q1093" s="1220"/>
      <c r="R1093" s="1220"/>
      <c r="S1093" s="1220"/>
      <c r="T1093" s="1220"/>
      <c r="U1093" s="1220"/>
      <c r="V1093" s="1220"/>
      <c r="W1093" s="1220"/>
      <c r="X1093" s="1220"/>
      <c r="Y1093" s="1220"/>
      <c r="Z1093" s="1220"/>
      <c r="AA1093" s="1220"/>
      <c r="AB1093" s="1220"/>
      <c r="AC1093" s="1220"/>
      <c r="AD1093" s="1220"/>
      <c r="AE1093" s="1220"/>
      <c r="AF1093" s="1220"/>
      <c r="AG1093" s="1220"/>
      <c r="AH1093" s="1220"/>
      <c r="AI1093" s="1220"/>
      <c r="AJ1093" s="1220"/>
      <c r="AK1093" s="1220"/>
    </row>
    <row r="1094" spans="1:37" ht="13.2" customHeight="1">
      <c r="A1094" s="1348" t="s">
        <v>299</v>
      </c>
      <c r="B1094" s="1348"/>
      <c r="C1094" s="1200">
        <v>7</v>
      </c>
      <c r="D1094" s="1220" t="s">
        <v>1802</v>
      </c>
      <c r="E1094" s="1220"/>
      <c r="F1094" s="1220"/>
      <c r="G1094" s="1220"/>
      <c r="H1094" s="1220"/>
      <c r="I1094" s="1220"/>
      <c r="J1094" s="1220"/>
      <c r="K1094" s="1220"/>
      <c r="L1094" s="1220"/>
      <c r="M1094" s="1220"/>
      <c r="N1094" s="1220"/>
      <c r="O1094" s="1220"/>
      <c r="P1094" s="1220"/>
      <c r="Q1094" s="1220"/>
      <c r="R1094" s="1220"/>
      <c r="S1094" s="1220"/>
      <c r="T1094" s="1220"/>
      <c r="U1094" s="1220"/>
      <c r="V1094" s="1220"/>
      <c r="W1094" s="1220"/>
      <c r="X1094" s="1220"/>
      <c r="Y1094" s="1220"/>
      <c r="Z1094" s="1220"/>
      <c r="AA1094" s="1220"/>
      <c r="AB1094" s="1220"/>
      <c r="AC1094" s="1220"/>
      <c r="AD1094" s="1220"/>
      <c r="AE1094" s="1220"/>
      <c r="AF1094" s="1220"/>
      <c r="AG1094" s="1220"/>
      <c r="AH1094" s="1220"/>
      <c r="AI1094" s="1220"/>
      <c r="AJ1094" s="1220"/>
      <c r="AK1094" s="1220"/>
    </row>
    <row r="1095" spans="1:37" ht="13.2" customHeight="1">
      <c r="A1095" s="1"/>
      <c r="B1095" s="1"/>
      <c r="C1095" s="1200"/>
      <c r="D1095" s="1220"/>
      <c r="E1095" s="1220"/>
      <c r="F1095" s="1220"/>
      <c r="G1095" s="1220"/>
      <c r="H1095" s="1220"/>
      <c r="I1095" s="1220"/>
      <c r="J1095" s="1220"/>
      <c r="K1095" s="1220"/>
      <c r="L1095" s="1220"/>
      <c r="M1095" s="1220"/>
      <c r="N1095" s="1220"/>
      <c r="O1095" s="1220"/>
      <c r="P1095" s="1220"/>
      <c r="Q1095" s="1220"/>
      <c r="R1095" s="1220"/>
      <c r="S1095" s="1220"/>
      <c r="T1095" s="1220"/>
      <c r="U1095" s="1220"/>
      <c r="V1095" s="1220"/>
      <c r="W1095" s="1220"/>
      <c r="X1095" s="1220"/>
      <c r="Y1095" s="1220"/>
      <c r="Z1095" s="1220"/>
      <c r="AA1095" s="1220"/>
      <c r="AB1095" s="1220"/>
      <c r="AC1095" s="1220"/>
      <c r="AD1095" s="1220"/>
      <c r="AE1095" s="1220"/>
      <c r="AF1095" s="1220"/>
      <c r="AG1095" s="1220"/>
      <c r="AH1095" s="1220"/>
      <c r="AI1095" s="1220"/>
      <c r="AJ1095" s="1220"/>
      <c r="AK1095" s="1220"/>
    </row>
    <row r="1096" spans="1:37" ht="13.2" customHeight="1">
      <c r="A1096" s="1"/>
      <c r="B1096" s="1"/>
      <c r="C1096" s="1200"/>
      <c r="D1096" s="1220"/>
      <c r="E1096" s="1220"/>
      <c r="F1096" s="1220"/>
      <c r="G1096" s="1220"/>
      <c r="H1096" s="1220"/>
      <c r="I1096" s="1220"/>
      <c r="J1096" s="1220"/>
      <c r="K1096" s="1220"/>
      <c r="L1096" s="1220"/>
      <c r="M1096" s="1220"/>
      <c r="N1096" s="1220"/>
      <c r="O1096" s="1220"/>
      <c r="P1096" s="1220"/>
      <c r="Q1096" s="1220"/>
      <c r="R1096" s="1220"/>
      <c r="S1096" s="1220"/>
      <c r="T1096" s="1220"/>
      <c r="U1096" s="1220"/>
      <c r="V1096" s="1220"/>
      <c r="W1096" s="1220"/>
      <c r="X1096" s="1220"/>
      <c r="Y1096" s="1220"/>
      <c r="Z1096" s="1220"/>
      <c r="AA1096" s="1220"/>
      <c r="AB1096" s="1220"/>
      <c r="AC1096" s="1220"/>
      <c r="AD1096" s="1220"/>
      <c r="AE1096" s="1220"/>
      <c r="AF1096" s="1220"/>
      <c r="AG1096" s="1220"/>
      <c r="AH1096" s="1220"/>
      <c r="AI1096" s="1220"/>
      <c r="AJ1096" s="1220"/>
      <c r="AK1096" s="1220"/>
    </row>
    <row r="1097" spans="1:37" ht="13.2" customHeight="1">
      <c r="A1097" s="85"/>
      <c r="B1097" s="22"/>
      <c r="C1097" s="1200"/>
      <c r="D1097" s="1220"/>
      <c r="E1097" s="1220"/>
      <c r="F1097" s="1220"/>
      <c r="G1097" s="1220"/>
      <c r="H1097" s="1220"/>
      <c r="I1097" s="1220"/>
      <c r="J1097" s="1220"/>
      <c r="K1097" s="1220"/>
      <c r="L1097" s="1220"/>
      <c r="M1097" s="1220"/>
      <c r="N1097" s="1220"/>
      <c r="O1097" s="1220"/>
      <c r="P1097" s="1220"/>
      <c r="Q1097" s="1220"/>
      <c r="R1097" s="1220"/>
      <c r="S1097" s="1220"/>
      <c r="T1097" s="1220"/>
      <c r="U1097" s="1220"/>
      <c r="V1097" s="1220"/>
      <c r="W1097" s="1220"/>
      <c r="X1097" s="1220"/>
      <c r="Y1097" s="1220"/>
      <c r="Z1097" s="1220"/>
      <c r="AA1097" s="1220"/>
      <c r="AB1097" s="1220"/>
      <c r="AC1097" s="1220"/>
      <c r="AD1097" s="1220"/>
      <c r="AE1097" s="1220"/>
      <c r="AF1097" s="1220"/>
      <c r="AG1097" s="1220"/>
      <c r="AH1097" s="1220"/>
      <c r="AI1097" s="1220"/>
      <c r="AJ1097" s="1220"/>
      <c r="AK1097" s="1220"/>
    </row>
    <row r="1098" spans="1:37" ht="13.2" customHeight="1">
      <c r="A1098" s="1348" t="s">
        <v>299</v>
      </c>
      <c r="B1098" s="1348"/>
      <c r="C1098" s="1200">
        <v>8</v>
      </c>
      <c r="D1098" s="1302" t="s">
        <v>1803</v>
      </c>
      <c r="E1098" s="1302"/>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row>
    <row r="1099" spans="1:37" ht="13.2" customHeight="1">
      <c r="A1099" s="1"/>
      <c r="B1099" s="1"/>
      <c r="C1099" s="1200"/>
      <c r="D1099" s="130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row>
    <row r="1100" spans="1:37" ht="13.2" customHeight="1">
      <c r="A1100" s="1"/>
      <c r="B1100" s="1"/>
      <c r="C1100" s="1200"/>
      <c r="D1100" s="130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row>
    <row r="1101" spans="1:37" ht="0" hidden="1" customHeight="1">
      <c r="A1101" s="1"/>
      <c r="B1101" s="1"/>
      <c r="C1101" s="1200"/>
      <c r="D1101" s="1302"/>
      <c r="E1101" s="1302"/>
      <c r="F1101" s="1302"/>
      <c r="G1101" s="1302"/>
      <c r="H1101" s="1302"/>
      <c r="I1101" s="1302"/>
      <c r="J1101" s="1302"/>
      <c r="K1101" s="1302"/>
      <c r="L1101" s="1302"/>
      <c r="M1101" s="1302"/>
      <c r="N1101" s="1302"/>
      <c r="O1101" s="1302"/>
      <c r="P1101" s="1302"/>
      <c r="Q1101" s="1302"/>
      <c r="R1101" s="1302"/>
      <c r="S1101" s="1302"/>
      <c r="T1101" s="1302"/>
      <c r="U1101" s="1302"/>
      <c r="V1101" s="1302"/>
      <c r="W1101" s="1302"/>
      <c r="X1101" s="1302"/>
      <c r="Y1101" s="1302"/>
      <c r="Z1101" s="1302"/>
      <c r="AA1101" s="1302"/>
      <c r="AB1101" s="1302"/>
      <c r="AC1101" s="1302"/>
      <c r="AD1101" s="1302"/>
      <c r="AE1101" s="1302"/>
      <c r="AF1101" s="1302"/>
      <c r="AG1101" s="1302"/>
      <c r="AH1101" s="1302"/>
      <c r="AI1101" s="1302"/>
      <c r="AJ1101" s="1302"/>
      <c r="AK1101" s="1302"/>
    </row>
    <row r="1102" spans="1:37" ht="0" hidden="1" customHeight="1">
      <c r="A1102" s="85"/>
      <c r="B1102" s="22"/>
      <c r="C1102" s="1200"/>
      <c r="D1102" s="1302"/>
      <c r="E1102" s="1302"/>
      <c r="F1102" s="1302"/>
      <c r="G1102" s="1302"/>
      <c r="H1102" s="1302"/>
      <c r="I1102" s="1302"/>
      <c r="J1102" s="1302"/>
      <c r="K1102" s="1302"/>
      <c r="L1102" s="1302"/>
      <c r="M1102" s="1302"/>
      <c r="N1102" s="1302"/>
      <c r="O1102" s="1302"/>
      <c r="P1102" s="1302"/>
      <c r="Q1102" s="1302"/>
      <c r="R1102" s="1302"/>
      <c r="S1102" s="1302"/>
      <c r="T1102" s="1302"/>
      <c r="U1102" s="1302"/>
      <c r="V1102" s="1302"/>
      <c r="W1102" s="1302"/>
      <c r="X1102" s="1302"/>
      <c r="Y1102" s="1302"/>
      <c r="Z1102" s="1302"/>
      <c r="AA1102" s="1302"/>
      <c r="AB1102" s="1302"/>
      <c r="AC1102" s="1302"/>
      <c r="AD1102" s="1302"/>
      <c r="AE1102" s="1302"/>
      <c r="AF1102" s="1302"/>
      <c r="AG1102" s="1302"/>
      <c r="AH1102" s="1302"/>
      <c r="AI1102" s="1302"/>
      <c r="AJ1102" s="1302"/>
      <c r="AK1102" s="1302"/>
    </row>
    <row r="1103" spans="1:37" ht="0" hidden="1" customHeight="1">
      <c r="A1103" s="1348" t="s">
        <v>299</v>
      </c>
      <c r="B1103" s="1348"/>
      <c r="C1103" s="1200">
        <v>9</v>
      </c>
      <c r="D1103" s="1220" t="s">
        <v>1804</v>
      </c>
      <c r="E1103" s="1220"/>
      <c r="F1103" s="1220"/>
      <c r="G1103" s="1220"/>
      <c r="H1103" s="1220"/>
      <c r="I1103" s="1220"/>
      <c r="J1103" s="1220"/>
      <c r="K1103" s="1220"/>
      <c r="L1103" s="1220"/>
      <c r="M1103" s="1220"/>
      <c r="N1103" s="1220"/>
      <c r="O1103" s="1220"/>
      <c r="P1103" s="1220"/>
      <c r="Q1103" s="1220"/>
      <c r="R1103" s="1220"/>
      <c r="S1103" s="1220"/>
      <c r="T1103" s="1220"/>
      <c r="U1103" s="1220"/>
      <c r="V1103" s="1220"/>
      <c r="W1103" s="1220"/>
      <c r="X1103" s="1220"/>
      <c r="Y1103" s="1220"/>
      <c r="Z1103" s="1220"/>
      <c r="AA1103" s="1220"/>
      <c r="AB1103" s="1220"/>
      <c r="AC1103" s="1220"/>
      <c r="AD1103" s="1220"/>
      <c r="AE1103" s="1220"/>
      <c r="AF1103" s="1220"/>
      <c r="AG1103" s="1220"/>
      <c r="AH1103" s="1220"/>
      <c r="AI1103" s="1220"/>
      <c r="AJ1103" s="1220"/>
      <c r="AK1103" s="1220"/>
    </row>
    <row r="1104" spans="1:37" ht="0" hidden="1" customHeight="1">
      <c r="A1104" s="85"/>
      <c r="B1104" s="22"/>
      <c r="C1104" s="1200"/>
      <c r="D1104" s="1220"/>
      <c r="E1104" s="1220"/>
      <c r="F1104" s="1220"/>
      <c r="G1104" s="1220"/>
      <c r="H1104" s="1220"/>
      <c r="I1104" s="1220"/>
      <c r="J1104" s="1220"/>
      <c r="K1104" s="1220"/>
      <c r="L1104" s="1220"/>
      <c r="M1104" s="1220"/>
      <c r="N1104" s="1220"/>
      <c r="O1104" s="1220"/>
      <c r="P1104" s="1220"/>
      <c r="Q1104" s="1220"/>
      <c r="R1104" s="1220"/>
      <c r="S1104" s="1220"/>
      <c r="T1104" s="1220"/>
      <c r="U1104" s="1220"/>
      <c r="V1104" s="1220"/>
      <c r="W1104" s="1220"/>
      <c r="X1104" s="1220"/>
      <c r="Y1104" s="1220"/>
      <c r="Z1104" s="1220"/>
      <c r="AA1104" s="1220"/>
      <c r="AB1104" s="1220"/>
      <c r="AC1104" s="1220"/>
      <c r="AD1104" s="1220"/>
      <c r="AE1104" s="1220"/>
      <c r="AF1104" s="1220"/>
      <c r="AG1104" s="1220"/>
      <c r="AH1104" s="1220"/>
      <c r="AI1104" s="1220"/>
      <c r="AJ1104" s="1220"/>
      <c r="AK1104" s="1220"/>
    </row>
    <row r="1105" spans="4:37" ht="0" hidden="1" customHeight="1">
      <c r="D1105" s="1220"/>
      <c r="E1105" s="1220"/>
      <c r="F1105" s="1220"/>
      <c r="G1105" s="1220"/>
      <c r="H1105" s="1220"/>
      <c r="I1105" s="1220"/>
      <c r="J1105" s="1220"/>
      <c r="K1105" s="1220"/>
      <c r="L1105" s="1220"/>
      <c r="M1105" s="1220"/>
      <c r="N1105" s="1220"/>
      <c r="O1105" s="1220"/>
      <c r="P1105" s="1220"/>
      <c r="Q1105" s="1220"/>
      <c r="R1105" s="1220"/>
      <c r="S1105" s="1220"/>
      <c r="T1105" s="1220"/>
      <c r="U1105" s="1220"/>
      <c r="V1105" s="1220"/>
      <c r="W1105" s="1220"/>
      <c r="X1105" s="1220"/>
      <c r="Y1105" s="1220"/>
      <c r="Z1105" s="1220"/>
      <c r="AA1105" s="1220"/>
      <c r="AB1105" s="1220"/>
      <c r="AC1105" s="1220"/>
      <c r="AD1105" s="1220"/>
      <c r="AE1105" s="1220"/>
      <c r="AF1105" s="1220"/>
      <c r="AG1105" s="1220"/>
      <c r="AH1105" s="1220"/>
      <c r="AI1105" s="1220"/>
      <c r="AJ1105" s="1220"/>
      <c r="AK1105" s="1220"/>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G728:J728"/>
    <mergeCell ref="G731:J731"/>
    <mergeCell ref="K726:N72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D1031:AE1031"/>
    <mergeCell ref="D1032:AE1034"/>
    <mergeCell ref="AJ1031:AQ1034"/>
    <mergeCell ref="AJ993:AQ999"/>
    <mergeCell ref="AJ1006:AQ1009"/>
    <mergeCell ref="AJ1010:AQ101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K728:AO728"/>
    <mergeCell ref="T722:W722"/>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Q630:S630"/>
    <mergeCell ref="Q631:S631"/>
    <mergeCell ref="Q632:S632"/>
    <mergeCell ref="Q633:S633"/>
    <mergeCell ref="Q634:S634"/>
    <mergeCell ref="AK633:AN633"/>
    <mergeCell ref="W632:Y632"/>
    <mergeCell ref="P613:R613"/>
    <mergeCell ref="G609:R609"/>
    <mergeCell ref="N615:O615"/>
    <mergeCell ref="AC633:AE633"/>
    <mergeCell ref="AF635:AJ635"/>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Z646:AK646"/>
    <mergeCell ref="G580:R580"/>
    <mergeCell ref="W631:Y631"/>
    <mergeCell ref="AG615:AH615"/>
    <mergeCell ref="G612:R612"/>
    <mergeCell ref="M629:P629"/>
    <mergeCell ref="W624:Y626"/>
    <mergeCell ref="Q627:S627"/>
    <mergeCell ref="M565:P565"/>
    <mergeCell ref="AC634:AE634"/>
    <mergeCell ref="Z604:AK604"/>
    <mergeCell ref="Z594:AK594"/>
    <mergeCell ref="T634:V634"/>
    <mergeCell ref="W628:Y628"/>
    <mergeCell ref="W629:Y629"/>
    <mergeCell ref="T563:V563"/>
    <mergeCell ref="Z564:AD564"/>
    <mergeCell ref="B723:F723"/>
    <mergeCell ref="AH729:AJ729"/>
    <mergeCell ref="B722:F722"/>
    <mergeCell ref="M630:P630"/>
    <mergeCell ref="M631:P631"/>
    <mergeCell ref="M632:P632"/>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CM653:CQ653"/>
    <mergeCell ref="CX654:DB654"/>
    <mergeCell ref="DC654:DG654"/>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S653:BW653"/>
    <mergeCell ref="BN651:BR651"/>
    <mergeCell ref="BN650:BR650"/>
    <mergeCell ref="DC653:DG653"/>
    <mergeCell ref="CS652:CW652"/>
    <mergeCell ref="CX652:DB652"/>
    <mergeCell ref="Z655:AE655"/>
    <mergeCell ref="Z676:AK676"/>
    <mergeCell ref="AH728:AJ728"/>
    <mergeCell ref="AH726:AJ726"/>
    <mergeCell ref="X724:AB724"/>
    <mergeCell ref="CX655:DB655"/>
    <mergeCell ref="CM655:CQ655"/>
    <mergeCell ref="CS653:CW653"/>
    <mergeCell ref="CX653:DB653"/>
    <mergeCell ref="Z683:AK683"/>
    <mergeCell ref="AA688:AK688"/>
    <mergeCell ref="Z678:AK678"/>
    <mergeCell ref="Z653:AK653"/>
    <mergeCell ref="CM654:CQ654"/>
    <mergeCell ref="BN652:BR652"/>
    <mergeCell ref="BN653:BR653"/>
    <mergeCell ref="BN654:BR654"/>
    <mergeCell ref="AA680:AK680"/>
    <mergeCell ref="CS655:CW655"/>
    <mergeCell ref="Z675:AK675"/>
    <mergeCell ref="AE702:AF702"/>
    <mergeCell ref="AE693:AF693"/>
    <mergeCell ref="CM660:CQ660"/>
    <mergeCell ref="CS651:CW651"/>
    <mergeCell ref="CH654:CL654"/>
    <mergeCell ref="CM652:CQ65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BS647:BW647"/>
    <mergeCell ref="CH652:CL652"/>
    <mergeCell ref="CH653:CL653"/>
    <mergeCell ref="CC655:CG655"/>
    <mergeCell ref="CH655:CL655"/>
    <mergeCell ref="BS650:BW650"/>
    <mergeCell ref="BX653:CB653"/>
    <mergeCell ref="BX654:CB654"/>
    <mergeCell ref="P655:R655"/>
    <mergeCell ref="K714:N717"/>
    <mergeCell ref="O720:S720"/>
    <mergeCell ref="G714:J717"/>
    <mergeCell ref="AG673:AH673"/>
    <mergeCell ref="AG649:AH649"/>
    <mergeCell ref="G677:R677"/>
    <mergeCell ref="Z651:AK651"/>
    <mergeCell ref="BN660:BR660"/>
    <mergeCell ref="BN646:BR646"/>
    <mergeCell ref="DR646:DV646"/>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CM649:CQ649"/>
    <mergeCell ref="DH649:DL649"/>
    <mergeCell ref="DM649:DQ649"/>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S646:CW646"/>
    <mergeCell ref="BX646:CB646"/>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8:DQ618"/>
    <mergeCell ref="DR618:DV618"/>
    <mergeCell ref="DR616:DV616"/>
    <mergeCell ref="CX616:DB616"/>
    <mergeCell ref="DC618:DG61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T624:V626"/>
    <mergeCell ref="DR630:DV630"/>
    <mergeCell ref="CM637:CQ637"/>
    <mergeCell ref="CH630:CL630"/>
    <mergeCell ref="DM645:DQ645"/>
    <mergeCell ref="DR645:DV645"/>
    <mergeCell ref="CC645:CG645"/>
    <mergeCell ref="BX632:CB632"/>
    <mergeCell ref="DH630:DL630"/>
    <mergeCell ref="CH637:CL637"/>
    <mergeCell ref="CH641:CL641"/>
    <mergeCell ref="BX638:CB638"/>
    <mergeCell ref="DR619:DV619"/>
    <mergeCell ref="DX632:EB632"/>
    <mergeCell ref="EC632:EG632"/>
    <mergeCell ref="DH614:DL614"/>
    <mergeCell ref="DM614:DQ614"/>
    <mergeCell ref="CX614:DB614"/>
    <mergeCell ref="EH613:EL613"/>
    <mergeCell ref="CM625:CQ625"/>
    <mergeCell ref="BX625:CB625"/>
    <mergeCell ref="CC623:CG623"/>
    <mergeCell ref="CC629:CG629"/>
    <mergeCell ref="CH629:CL629"/>
    <mergeCell ref="CM638:CQ638"/>
    <mergeCell ref="BX619:CB619"/>
    <mergeCell ref="CM633:CQ633"/>
    <mergeCell ref="DM619:DQ619"/>
    <mergeCell ref="Z636:AB636"/>
    <mergeCell ref="Z637:AB637"/>
    <mergeCell ref="Z638:AB638"/>
    <mergeCell ref="BS620:BW620"/>
    <mergeCell ref="CC625:CG625"/>
    <mergeCell ref="ER644:EV644"/>
    <mergeCell ref="EM637:EQ637"/>
    <mergeCell ref="EM644:EQ644"/>
    <mergeCell ref="CS631:CW631"/>
    <mergeCell ref="CX631:DB631"/>
    <mergeCell ref="CH631:CL631"/>
    <mergeCell ref="CC631:CG631"/>
    <mergeCell ref="BE631:BF631"/>
    <mergeCell ref="BE630:BF630"/>
    <mergeCell ref="CM632:CQ632"/>
    <mergeCell ref="CX632:DB632"/>
    <mergeCell ref="CC638:CG638"/>
    <mergeCell ref="CS620:CW620"/>
    <mergeCell ref="CX620:DB620"/>
    <mergeCell ref="BG631:BH631"/>
    <mergeCell ref="BI631:BJ631"/>
    <mergeCell ref="BK632:BL632"/>
    <mergeCell ref="BK620:BL620"/>
    <mergeCell ref="BN639:BR639"/>
    <mergeCell ref="CH625:CL625"/>
    <mergeCell ref="CS630:CW630"/>
    <mergeCell ref="CX630:DB630"/>
    <mergeCell ref="BK630:BL630"/>
    <mergeCell ref="CC626:CG626"/>
    <mergeCell ref="CM624:CQ624"/>
    <mergeCell ref="CH623:CL623"/>
    <mergeCell ref="CC621:CG621"/>
    <mergeCell ref="CH621:CL621"/>
    <mergeCell ref="CM621:CQ621"/>
    <mergeCell ref="CS621:CW621"/>
    <mergeCell ref="CX621:DB621"/>
    <mergeCell ref="CS629:CW629"/>
    <mergeCell ref="EW670:FA670"/>
    <mergeCell ref="EW656:FA656"/>
    <mergeCell ref="DX657:EB657"/>
    <mergeCell ref="EC657:EG657"/>
    <mergeCell ref="EH657:EL657"/>
    <mergeCell ref="ER651:EV651"/>
    <mergeCell ref="ER652:EV652"/>
    <mergeCell ref="EM651:EQ651"/>
    <mergeCell ref="ER649:EV649"/>
    <mergeCell ref="DX652:EB652"/>
    <mergeCell ref="EC652:EG652"/>
    <mergeCell ref="EH652:EL652"/>
    <mergeCell ref="ER650:EV650"/>
    <mergeCell ref="ER655:EV655"/>
    <mergeCell ref="EW668:FA668"/>
    <mergeCell ref="DX670:EB670"/>
    <mergeCell ref="EM664:EQ664"/>
    <mergeCell ref="ER664:EV664"/>
    <mergeCell ref="EC669:EG669"/>
    <mergeCell ref="ER660:EV660"/>
    <mergeCell ref="EW660:FA660"/>
    <mergeCell ref="DX661:EB661"/>
    <mergeCell ref="EC661:EG661"/>
    <mergeCell ref="EH661:EL661"/>
    <mergeCell ref="EW669:FA669"/>
    <mergeCell ref="ER669:EV669"/>
    <mergeCell ref="ER668:EV668"/>
    <mergeCell ref="EH656:EL656"/>
    <mergeCell ref="EM656:EQ656"/>
    <mergeCell ref="EM669:EQ669"/>
    <mergeCell ref="EW653:FA653"/>
    <mergeCell ref="DX649:EB649"/>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M667:EQ667"/>
    <mergeCell ref="ER667:EV667"/>
    <mergeCell ref="EW667:FA667"/>
    <mergeCell ref="EM661:EQ661"/>
    <mergeCell ref="DX666:EB666"/>
    <mergeCell ref="EC666:EG666"/>
    <mergeCell ref="EH666:EL666"/>
    <mergeCell ref="ER656:EV656"/>
    <mergeCell ref="EW664:FA664"/>
    <mergeCell ref="EC667:EG667"/>
    <mergeCell ref="EH667:EL667"/>
    <mergeCell ref="EM666:EQ666"/>
    <mergeCell ref="ER666:EV666"/>
    <mergeCell ref="EW666:FA666"/>
    <mergeCell ref="DX667:EB667"/>
    <mergeCell ref="DX662:EB662"/>
    <mergeCell ref="EC662:EG662"/>
    <mergeCell ref="EH662:EL662"/>
    <mergeCell ref="EM610:EQ610"/>
    <mergeCell ref="ER610:EV610"/>
    <mergeCell ref="EW610:FA610"/>
    <mergeCell ref="DX611:EB611"/>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19:EG619"/>
    <mergeCell ref="EC624:EG624"/>
    <mergeCell ref="EM623:EQ623"/>
    <mergeCell ref="ER623:EV623"/>
    <mergeCell ref="EW623:FA623"/>
    <mergeCell ref="DX624:EB624"/>
    <mergeCell ref="ER629:EV629"/>
    <mergeCell ref="EW629:FA629"/>
    <mergeCell ref="EW641:FA641"/>
    <mergeCell ref="DX642:EB642"/>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17:EQ617"/>
    <mergeCell ref="ER617:EV617"/>
    <mergeCell ref="EW617:FA617"/>
    <mergeCell ref="ER618:EV618"/>
    <mergeCell ref="DX617:EB617"/>
    <mergeCell ref="EW619:FA619"/>
    <mergeCell ref="DX619:EB619"/>
    <mergeCell ref="EC614:EG614"/>
    <mergeCell ref="EM612:EQ612"/>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EC609:EG609"/>
    <mergeCell ref="EH609:EL609"/>
    <mergeCell ref="EM609:EQ609"/>
    <mergeCell ref="ER609:EV609"/>
    <mergeCell ref="DX604:EB604"/>
    <mergeCell ref="EC604:EG604"/>
    <mergeCell ref="DX607:EB607"/>
    <mergeCell ref="EC607:EG607"/>
    <mergeCell ref="DX599:EB599"/>
    <mergeCell ref="EC599:EG599"/>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DX596:EB596"/>
    <mergeCell ref="EC596:EG596"/>
    <mergeCell ref="EH596:EL596"/>
    <mergeCell ref="EC670:EG670"/>
    <mergeCell ref="EC601:EG601"/>
    <mergeCell ref="DX623:EB623"/>
    <mergeCell ref="EC623:EG623"/>
    <mergeCell ref="EH623:EL623"/>
    <mergeCell ref="DX629:EB629"/>
    <mergeCell ref="EC629:EG629"/>
    <mergeCell ref="EH629:EL629"/>
    <mergeCell ref="EC626:EG626"/>
    <mergeCell ref="EH626:EL626"/>
    <mergeCell ref="EH632:EL632"/>
    <mergeCell ref="DX648:EB648"/>
    <mergeCell ref="DX651:EB651"/>
    <mergeCell ref="DX653:EB653"/>
    <mergeCell ref="EC653:EG653"/>
    <mergeCell ref="EM596:EQ596"/>
    <mergeCell ref="EC611:EG611"/>
    <mergeCell ref="EH611:EL611"/>
    <mergeCell ref="EM611:EQ611"/>
    <mergeCell ref="EH601:EL601"/>
    <mergeCell ref="EM601:EQ601"/>
    <mergeCell ref="DX602:EB602"/>
    <mergeCell ref="EC602:EG602"/>
    <mergeCell ref="EH602:EL602"/>
    <mergeCell ref="EM602:EQ602"/>
    <mergeCell ref="DX603:EB603"/>
    <mergeCell ref="EC603:EG603"/>
    <mergeCell ref="EM603:EQ603"/>
    <mergeCell ref="EH607:EL607"/>
    <mergeCell ref="EM607:EQ607"/>
    <mergeCell ref="DX608:EB608"/>
    <mergeCell ref="EH599:EL599"/>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EC608:EG608"/>
    <mergeCell ref="EH608:EL608"/>
    <mergeCell ref="DX610:EB610"/>
    <mergeCell ref="EC610:EG610"/>
    <mergeCell ref="EH610:EL610"/>
    <mergeCell ref="EC642:EG642"/>
    <mergeCell ref="EH664:EL664"/>
    <mergeCell ref="DX665:EB665"/>
    <mergeCell ref="EH645:EL645"/>
    <mergeCell ref="EC630:EG630"/>
    <mergeCell ref="EH630:EL630"/>
    <mergeCell ref="EH649:EL649"/>
    <mergeCell ref="DX655:EB655"/>
    <mergeCell ref="DX647:EB647"/>
    <mergeCell ref="EC647:EG647"/>
    <mergeCell ref="DX637:EB637"/>
    <mergeCell ref="EC618:EG618"/>
    <mergeCell ref="AO634:AS634"/>
    <mergeCell ref="BX637:CB637"/>
    <mergeCell ref="CH638:CL638"/>
    <mergeCell ref="DH645:DL645"/>
    <mergeCell ref="DC655:DG655"/>
    <mergeCell ref="DR655:DV655"/>
    <mergeCell ref="DC652:DG652"/>
    <mergeCell ref="DR654:DV654"/>
    <mergeCell ref="DH652:DL652"/>
    <mergeCell ref="DM652:DQ652"/>
    <mergeCell ref="DR652:DV652"/>
    <mergeCell ref="DM653:DQ653"/>
    <mergeCell ref="DH654:DL654"/>
    <mergeCell ref="DR657:DV657"/>
    <mergeCell ref="EC641:EG641"/>
    <mergeCell ref="EC643:EG643"/>
    <mergeCell ref="BX630:CB630"/>
    <mergeCell ref="DC645:DG645"/>
    <mergeCell ref="DR653:DV653"/>
    <mergeCell ref="DM654:DQ654"/>
    <mergeCell ref="DH655:DL655"/>
    <mergeCell ref="DM655:DQ655"/>
    <mergeCell ref="DH653:DL653"/>
    <mergeCell ref="DC651:DG651"/>
    <mergeCell ref="DC649:DG649"/>
    <mergeCell ref="DX650:EB650"/>
    <mergeCell ref="EC650:EG650"/>
    <mergeCell ref="EC655:EG655"/>
    <mergeCell ref="CX629:DB629"/>
    <mergeCell ref="BN640:BR640"/>
    <mergeCell ref="DM626:DQ626"/>
    <mergeCell ref="AO637:AS637"/>
    <mergeCell ref="CS614:CW614"/>
    <mergeCell ref="AO630:AS630"/>
    <mergeCell ref="Z611:AK611"/>
    <mergeCell ref="DX630:EB630"/>
    <mergeCell ref="DX659:EB659"/>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DX618:EB618"/>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AG1019:AH1019"/>
    <mergeCell ref="D1015:AE1015"/>
    <mergeCell ref="M969:S969"/>
    <mergeCell ref="F914:T914"/>
    <mergeCell ref="I947:T947"/>
    <mergeCell ref="X739:AB739"/>
    <mergeCell ref="EW600:FA600"/>
    <mergeCell ref="DX601:EB601"/>
    <mergeCell ref="D986:Q986"/>
    <mergeCell ref="R988:AA988"/>
    <mergeCell ref="AB987:AI987"/>
    <mergeCell ref="DX600:EB600"/>
    <mergeCell ref="EC600:EG600"/>
    <mergeCell ref="EM600:EQ600"/>
    <mergeCell ref="ER600:EV600"/>
    <mergeCell ref="ER611:EV611"/>
    <mergeCell ref="EW611:FA611"/>
    <mergeCell ref="ER601:EV601"/>
    <mergeCell ref="EW601:FA601"/>
    <mergeCell ref="ER602:EV602"/>
    <mergeCell ref="EW602:FA602"/>
    <mergeCell ref="ER603:EV603"/>
    <mergeCell ref="EW603:FA603"/>
    <mergeCell ref="ER607:EV607"/>
    <mergeCell ref="EW607:FA607"/>
    <mergeCell ref="DX631:EB631"/>
    <mergeCell ref="EC631:EG631"/>
    <mergeCell ref="DX664:EB664"/>
    <mergeCell ref="EC664:EG664"/>
    <mergeCell ref="CC660:CG660"/>
    <mergeCell ref="BS660:BW660"/>
    <mergeCell ref="DM616:DQ616"/>
    <mergeCell ref="AJ1015:AQ1018"/>
    <mergeCell ref="AJ1024:AQ1027"/>
    <mergeCell ref="AJ986:AQ986"/>
    <mergeCell ref="AJ987:AQ987"/>
    <mergeCell ref="B991:AI991"/>
    <mergeCell ref="R986:AA986"/>
    <mergeCell ref="D1007:AE1009"/>
    <mergeCell ref="AF1020:AI1021"/>
    <mergeCell ref="AF1022:AI1023"/>
    <mergeCell ref="M974:S974"/>
    <mergeCell ref="D984:Q984"/>
    <mergeCell ref="D985:Q985"/>
    <mergeCell ref="AF1026:AI1027"/>
    <mergeCell ref="O753:S753"/>
    <mergeCell ref="X769:AB772"/>
    <mergeCell ref="K746:N746"/>
    <mergeCell ref="O746:S746"/>
    <mergeCell ref="T746:W746"/>
    <mergeCell ref="O748:S748"/>
    <mergeCell ref="O751:S751"/>
    <mergeCell ref="T751:W751"/>
    <mergeCell ref="X746:AB746"/>
    <mergeCell ref="J1023:AE1023"/>
    <mergeCell ref="D994:AE997"/>
    <mergeCell ref="B990:AA990"/>
    <mergeCell ref="D993:AE993"/>
    <mergeCell ref="D998:AE998"/>
    <mergeCell ref="AB990:AI990"/>
    <mergeCell ref="AG1006:AH1006"/>
    <mergeCell ref="AG1010:AH1010"/>
    <mergeCell ref="AG1012:AH1012"/>
    <mergeCell ref="AG1015:AH1015"/>
    <mergeCell ref="M970:S970"/>
    <mergeCell ref="M955:S955"/>
    <mergeCell ref="R984:AA984"/>
    <mergeCell ref="A978:AT980"/>
    <mergeCell ref="O777:S777"/>
    <mergeCell ref="X775:AB775"/>
    <mergeCell ref="X776:AB776"/>
    <mergeCell ref="B736:F736"/>
    <mergeCell ref="B731:F731"/>
    <mergeCell ref="B752:F752"/>
    <mergeCell ref="B753:F753"/>
    <mergeCell ref="AC753:AG753"/>
    <mergeCell ref="Q830:T830"/>
    <mergeCell ref="AG831:AJ831"/>
    <mergeCell ref="X793:AB793"/>
    <mergeCell ref="T783:W786"/>
    <mergeCell ref="X773:AB773"/>
    <mergeCell ref="O789:S789"/>
    <mergeCell ref="Q826:T826"/>
    <mergeCell ref="Y823:AB824"/>
    <mergeCell ref="M829:P829"/>
    <mergeCell ref="Z815:AE815"/>
    <mergeCell ref="Z808:AE808"/>
    <mergeCell ref="J773:N773"/>
    <mergeCell ref="Q829:T829"/>
    <mergeCell ref="T795:W795"/>
    <mergeCell ref="AC783:AG786"/>
    <mergeCell ref="J791:N791"/>
    <mergeCell ref="X792:AB792"/>
    <mergeCell ref="T752:W752"/>
    <mergeCell ref="O797:S797"/>
    <mergeCell ref="X735:AB735"/>
    <mergeCell ref="AG1000:AH1000"/>
    <mergeCell ref="D1025:AE1027"/>
    <mergeCell ref="AG1024:AH1024"/>
    <mergeCell ref="AJ992:AQ992"/>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I1047:J1047"/>
    <mergeCell ref="I1051:J1051"/>
    <mergeCell ref="AG1048:AH1048"/>
    <mergeCell ref="AG1040:AH1040"/>
    <mergeCell ref="AJ1000:AQ1005"/>
    <mergeCell ref="AJ1019:AQ1023"/>
    <mergeCell ref="D1019:AE1020"/>
    <mergeCell ref="D1024:AE1024"/>
    <mergeCell ref="AF1025:AI1025"/>
    <mergeCell ref="AJ1012:AQ1014"/>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O739:S739"/>
    <mergeCell ref="K737:N737"/>
    <mergeCell ref="F831:L831"/>
    <mergeCell ref="AH739:AJ739"/>
    <mergeCell ref="AH740:AJ740"/>
    <mergeCell ref="M831:P831"/>
    <mergeCell ref="Z806:AE806"/>
    <mergeCell ref="T750:W750"/>
    <mergeCell ref="Q825:T825"/>
    <mergeCell ref="X736:AB736"/>
    <mergeCell ref="AC739:AG739"/>
    <mergeCell ref="O740:S740"/>
    <mergeCell ref="K741:N741"/>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J774:N774"/>
    <mergeCell ref="AC792:AG792"/>
    <mergeCell ref="O787:S787"/>
    <mergeCell ref="O775:S775"/>
    <mergeCell ref="Q831:T831"/>
    <mergeCell ref="O773:S773"/>
    <mergeCell ref="A1094:B1094"/>
    <mergeCell ref="AE959:AK959"/>
    <mergeCell ref="AE960:AK960"/>
    <mergeCell ref="AA947:AF94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M961:S961"/>
    <mergeCell ref="AC831:AF831"/>
    <mergeCell ref="T794:W794"/>
    <mergeCell ref="AE957:AK957"/>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G830:AJ830"/>
    <mergeCell ref="U832:X832"/>
    <mergeCell ref="Q827:T827"/>
    <mergeCell ref="Y826:AB826"/>
    <mergeCell ref="C826:H826"/>
    <mergeCell ref="U829:X829"/>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A948:AF948"/>
    <mergeCell ref="U940:Z940"/>
    <mergeCell ref="AA942:AF942"/>
    <mergeCell ref="AE955:AK955"/>
    <mergeCell ref="U914:Z916"/>
    <mergeCell ref="U949:Z949"/>
    <mergeCell ref="AA974:AG974"/>
    <mergeCell ref="BG848:BL848"/>
    <mergeCell ref="W842:AC842"/>
    <mergeCell ref="W847:AC847"/>
    <mergeCell ref="U922:Z922"/>
    <mergeCell ref="AA968:AG968"/>
    <mergeCell ref="AA935:AF935"/>
    <mergeCell ref="U942:Z942"/>
    <mergeCell ref="M967:S967"/>
    <mergeCell ref="AB956:AK956"/>
    <mergeCell ref="U948:Z948"/>
    <mergeCell ref="AA927:AF927"/>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W870:AC870"/>
    <mergeCell ref="Z899:AE899"/>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X743:AB743"/>
    <mergeCell ref="X744:AB744"/>
    <mergeCell ref="AH743:AJ743"/>
    <mergeCell ref="AH744:AJ744"/>
    <mergeCell ref="X738:AB738"/>
    <mergeCell ref="X729:AB729"/>
    <mergeCell ref="X728:AB728"/>
    <mergeCell ref="AK743:AO743"/>
    <mergeCell ref="X732:AB732"/>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CS616:CW616"/>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AA614:AK614"/>
    <mergeCell ref="AI581:AK581"/>
    <mergeCell ref="Z601:AK601"/>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F631:AJ631"/>
    <mergeCell ref="AI613:AK613"/>
    <mergeCell ref="AK629:AN629"/>
    <mergeCell ref="AK624:AN626"/>
    <mergeCell ref="Q629:S629"/>
    <mergeCell ref="AC630:AE630"/>
    <mergeCell ref="M624:P626"/>
    <mergeCell ref="G613:L613"/>
    <mergeCell ref="P605:R605"/>
    <mergeCell ref="Z603:AK603"/>
    <mergeCell ref="AI605:AK605"/>
    <mergeCell ref="G601:R601"/>
    <mergeCell ref="H590:R590"/>
    <mergeCell ref="Z565:AD565"/>
    <mergeCell ref="Z572:AE572"/>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CH611:CL611"/>
    <mergeCell ref="CH615:CL615"/>
    <mergeCell ref="BG606:BH606"/>
    <mergeCell ref="BG609:BH609"/>
    <mergeCell ref="BS597:BW597"/>
    <mergeCell ref="CH601:CL601"/>
    <mergeCell ref="BS603:BW603"/>
    <mergeCell ref="BN604:BR604"/>
    <mergeCell ref="BE602:BF602"/>
    <mergeCell ref="BE599:BF599"/>
    <mergeCell ref="BN598:BR598"/>
    <mergeCell ref="BN617:BR617"/>
    <mergeCell ref="G595:R595"/>
    <mergeCell ref="W561:Y561"/>
    <mergeCell ref="W562:Y562"/>
    <mergeCell ref="W563:Y563"/>
    <mergeCell ref="W564:Y564"/>
    <mergeCell ref="T565:V565"/>
    <mergeCell ref="AA573:AK573"/>
    <mergeCell ref="BG613:BH613"/>
    <mergeCell ref="BK615:BL615"/>
    <mergeCell ref="CC614:CG614"/>
    <mergeCell ref="BN615:BR615"/>
    <mergeCell ref="BK616:BL616"/>
    <mergeCell ref="BS616:BW616"/>
    <mergeCell ref="AF574:AK574"/>
    <mergeCell ref="Z585:AK585"/>
    <mergeCell ref="BX602:CB602"/>
    <mergeCell ref="CC610:CG610"/>
    <mergeCell ref="CC607:CG607"/>
    <mergeCell ref="CC609:CG609"/>
    <mergeCell ref="BI606:BJ606"/>
    <mergeCell ref="BG605:BH605"/>
    <mergeCell ref="AG607:AH607"/>
    <mergeCell ref="BG603:BH603"/>
    <mergeCell ref="BX613:CB613"/>
    <mergeCell ref="CC613:CG613"/>
    <mergeCell ref="G571:R571"/>
    <mergeCell ref="BI613:BJ613"/>
    <mergeCell ref="BS596:BW596"/>
    <mergeCell ref="BK604:BL604"/>
    <mergeCell ref="BX597:CB597"/>
    <mergeCell ref="BS602:BW602"/>
    <mergeCell ref="BS609:BW609"/>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CH617:CL617"/>
    <mergeCell ref="BS617:BW617"/>
    <mergeCell ref="BX616:CB616"/>
    <mergeCell ref="BS614:BW614"/>
    <mergeCell ref="BI619:BJ619"/>
    <mergeCell ref="BN614:BR614"/>
    <mergeCell ref="CC615:CG615"/>
    <mergeCell ref="BN637:BR637"/>
    <mergeCell ref="BS637:BW637"/>
    <mergeCell ref="BS630:BW630"/>
    <mergeCell ref="AC635:AE635"/>
    <mergeCell ref="AO632:AS632"/>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AK627:AN627"/>
    <mergeCell ref="BX620:CB620"/>
    <mergeCell ref="AF633:AJ633"/>
    <mergeCell ref="BI612:BJ612"/>
    <mergeCell ref="AC629:AE629"/>
    <mergeCell ref="BG627:BH627"/>
    <mergeCell ref="BI627:BJ627"/>
    <mergeCell ref="BS623:BW623"/>
    <mergeCell ref="BN620:BR620"/>
    <mergeCell ref="BN632:BR632"/>
    <mergeCell ref="C633:L633"/>
    <mergeCell ref="C634:L634"/>
    <mergeCell ref="W635:Y635"/>
    <mergeCell ref="BN630:BR63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C628:AE628"/>
    <mergeCell ref="C629:L629"/>
    <mergeCell ref="C630:L630"/>
    <mergeCell ref="C631:L631"/>
    <mergeCell ref="C632:L632"/>
    <mergeCell ref="AO624:AS626"/>
    <mergeCell ref="AF629:AJ629"/>
    <mergeCell ref="BE628:BF628"/>
    <mergeCell ref="BE620:BF620"/>
    <mergeCell ref="BG620:BH620"/>
    <mergeCell ref="AC631:AE631"/>
    <mergeCell ref="AC632:AE632"/>
    <mergeCell ref="BK619:BL619"/>
    <mergeCell ref="BK614:BL614"/>
    <mergeCell ref="B624:L626"/>
    <mergeCell ref="G644:R644"/>
    <mergeCell ref="Z645:AK645"/>
    <mergeCell ref="G645:R645"/>
    <mergeCell ref="Z647:AE647"/>
    <mergeCell ref="BI614:BJ614"/>
    <mergeCell ref="BG618:BH618"/>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AF630:AJ630"/>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G632:BH632"/>
    <mergeCell ref="Q638:S638"/>
    <mergeCell ref="Z634:AB634"/>
    <mergeCell ref="AO638:AS638"/>
    <mergeCell ref="Q636:S636"/>
    <mergeCell ref="Q637:S637"/>
    <mergeCell ref="M627:P627"/>
    <mergeCell ref="M628:P628"/>
    <mergeCell ref="AK632:AN632"/>
    <mergeCell ref="AF632:AJ632"/>
    <mergeCell ref="W634:Y634"/>
    <mergeCell ref="AO633:AS633"/>
    <mergeCell ref="AO628:AS628"/>
    <mergeCell ref="AO631:AS631"/>
    <mergeCell ref="BG630:BH630"/>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W871:AC871"/>
    <mergeCell ref="U928:Z928"/>
    <mergeCell ref="AA928:AF928"/>
    <mergeCell ref="U929:Z929"/>
    <mergeCell ref="AA944:AF944"/>
    <mergeCell ref="R985:AA985"/>
    <mergeCell ref="U924:Z924"/>
    <mergeCell ref="AA934:AF934"/>
    <mergeCell ref="E885:AB885"/>
    <mergeCell ref="AA917:AF917"/>
    <mergeCell ref="AB916:AE916"/>
    <mergeCell ref="AA921:AF921"/>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D1070:AK1075"/>
    <mergeCell ref="AA938:AF938"/>
    <mergeCell ref="AA919:AF919"/>
    <mergeCell ref="AA918:AF918"/>
    <mergeCell ref="AG1035:AH1035"/>
    <mergeCell ref="D1086:AK1090"/>
    <mergeCell ref="AB984:AI984"/>
    <mergeCell ref="AB985:AI985"/>
    <mergeCell ref="AB986:AI986"/>
    <mergeCell ref="F938:T938"/>
    <mergeCell ref="F939:T939"/>
    <mergeCell ref="U938:Z938"/>
    <mergeCell ref="U939:Z939"/>
    <mergeCell ref="D1076:AK1082"/>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A930:AF930"/>
    <mergeCell ref="U931:Z931"/>
    <mergeCell ref="AA931:AF931"/>
    <mergeCell ref="U919:Z919"/>
    <mergeCell ref="D1064:AK1069"/>
    <mergeCell ref="D1028:AE1028"/>
    <mergeCell ref="D1021:AE1022"/>
    <mergeCell ref="AJ991:AQ991"/>
    <mergeCell ref="D1012:AE1012"/>
    <mergeCell ref="AF992:AI992"/>
    <mergeCell ref="AG993:AH993"/>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F937:T937"/>
    <mergeCell ref="AC889:AH889"/>
    <mergeCell ref="Z898:AE898"/>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J788:N788"/>
    <mergeCell ref="J769:N772"/>
    <mergeCell ref="T787:W787"/>
    <mergeCell ref="B718:F718"/>
    <mergeCell ref="G720:J720"/>
    <mergeCell ref="B721:F721"/>
    <mergeCell ref="AH742:AJ742"/>
    <mergeCell ref="AH731:AJ731"/>
    <mergeCell ref="AK742:AO742"/>
    <mergeCell ref="X742:AB742"/>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B746:F746"/>
    <mergeCell ref="B747:F747"/>
    <mergeCell ref="B748:F748"/>
    <mergeCell ref="B749:F749"/>
    <mergeCell ref="B750:F750"/>
    <mergeCell ref="B751:F751"/>
    <mergeCell ref="B734:F734"/>
    <mergeCell ref="AC731:AG731"/>
    <mergeCell ref="AC732:AG732"/>
    <mergeCell ref="X740:AB740"/>
    <mergeCell ref="X748:AB748"/>
    <mergeCell ref="X749:AB749"/>
    <mergeCell ref="X750:AB750"/>
    <mergeCell ref="O745:S745"/>
    <mergeCell ref="AC749:AG749"/>
    <mergeCell ref="K745:N745"/>
    <mergeCell ref="K750:N750"/>
    <mergeCell ref="AC740:AG740"/>
    <mergeCell ref="AC741:AG741"/>
    <mergeCell ref="AC744:AG744"/>
    <mergeCell ref="AC745:AG745"/>
    <mergeCell ref="B741:F741"/>
    <mergeCell ref="G739:J739"/>
    <mergeCell ref="T744:W744"/>
    <mergeCell ref="G740:J740"/>
    <mergeCell ref="K738:N738"/>
    <mergeCell ref="T734:W734"/>
    <mergeCell ref="O735:S735"/>
    <mergeCell ref="AC736:AG736"/>
    <mergeCell ref="T738:W738"/>
    <mergeCell ref="B740:F740"/>
    <mergeCell ref="T735:W735"/>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T724:W724"/>
    <mergeCell ref="T720:W720"/>
    <mergeCell ref="G718:J718"/>
    <mergeCell ref="G723:J723"/>
    <mergeCell ref="AK746:AO746"/>
    <mergeCell ref="AK747:AO747"/>
    <mergeCell ref="J775:N775"/>
    <mergeCell ref="AC776:AG776"/>
    <mergeCell ref="O788:S788"/>
    <mergeCell ref="T788:W788"/>
    <mergeCell ref="T789:W789"/>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W636:Y636"/>
    <mergeCell ref="W637:Y637"/>
    <mergeCell ref="P663:R663"/>
    <mergeCell ref="G651:R651"/>
    <mergeCell ref="T719:W719"/>
    <mergeCell ref="G719:J719"/>
    <mergeCell ref="O718:S718"/>
    <mergeCell ref="AF637:AJ637"/>
    <mergeCell ref="AF638:AJ638"/>
    <mergeCell ref="AC636:AE636"/>
    <mergeCell ref="AC637:AE637"/>
    <mergeCell ref="AC638:AE638"/>
    <mergeCell ref="H688:R688"/>
    <mergeCell ref="N665:O665"/>
    <mergeCell ref="H672:R672"/>
    <mergeCell ref="B719:F719"/>
    <mergeCell ref="AK637:AN637"/>
    <mergeCell ref="G662:R662"/>
    <mergeCell ref="AE699:AI699"/>
    <mergeCell ref="AA648:AK648"/>
    <mergeCell ref="G652:R652"/>
    <mergeCell ref="G659:R659"/>
    <mergeCell ref="G668:R668"/>
    <mergeCell ref="Q562:S562"/>
    <mergeCell ref="M560:P560"/>
    <mergeCell ref="Z560:AD560"/>
    <mergeCell ref="AI563:AL563"/>
    <mergeCell ref="Z562:AD562"/>
    <mergeCell ref="H606:R606"/>
    <mergeCell ref="G605:L605"/>
    <mergeCell ref="AI572:AK572"/>
    <mergeCell ref="M561:P561"/>
    <mergeCell ref="AG599:AH599"/>
    <mergeCell ref="AI597:AK597"/>
    <mergeCell ref="G588:R588"/>
    <mergeCell ref="G653:R653"/>
    <mergeCell ref="AI687:AK687"/>
    <mergeCell ref="AC624:AE626"/>
    <mergeCell ref="AK628:AN628"/>
    <mergeCell ref="AA590:AK590"/>
    <mergeCell ref="AI589:AK589"/>
    <mergeCell ref="H598:R598"/>
    <mergeCell ref="AM564:AS564"/>
    <mergeCell ref="AM563:AS563"/>
    <mergeCell ref="Z632:AB632"/>
    <mergeCell ref="H614:R614"/>
    <mergeCell ref="M635:P635"/>
    <mergeCell ref="M636:P636"/>
    <mergeCell ref="M637:P637"/>
    <mergeCell ref="M638:P638"/>
    <mergeCell ref="AO639:AS639"/>
    <mergeCell ref="AO629:AS629"/>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E565:AH565"/>
    <mergeCell ref="AM559:AS559"/>
    <mergeCell ref="C560:L560"/>
    <mergeCell ref="AM557:AS557"/>
    <mergeCell ref="Z557:AD557"/>
    <mergeCell ref="AE562:AH562"/>
    <mergeCell ref="AM562:AS562"/>
    <mergeCell ref="AI562:AL562"/>
    <mergeCell ref="P589:R589"/>
    <mergeCell ref="AF628:AJ628"/>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H507:AK507"/>
    <mergeCell ref="Z580:AK580"/>
    <mergeCell ref="Z569:AK569"/>
    <mergeCell ref="C561:L561"/>
    <mergeCell ref="AG657:AH657"/>
    <mergeCell ref="G661:R661"/>
    <mergeCell ref="G593:R593"/>
    <mergeCell ref="G579:R579"/>
    <mergeCell ref="Z559:AD559"/>
    <mergeCell ref="G679:L679"/>
    <mergeCell ref="N649:O649"/>
    <mergeCell ref="Z610:AK610"/>
    <mergeCell ref="G663:L663"/>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G585:R585"/>
    <mergeCell ref="AG575:AH575"/>
    <mergeCell ref="Z568:AK568"/>
    <mergeCell ref="Z571:AK571"/>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AI315:AK315"/>
    <mergeCell ref="AA312:AK312"/>
    <mergeCell ref="AA329:AK329"/>
    <mergeCell ref="P331:R331"/>
    <mergeCell ref="AA324:AF324"/>
    <mergeCell ref="H328:R328"/>
    <mergeCell ref="AA328:AK328"/>
    <mergeCell ref="H329:R329"/>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AA313:AK313"/>
    <mergeCell ref="H319:R319"/>
    <mergeCell ref="AA316:AF316"/>
    <mergeCell ref="AA297:AK297"/>
    <mergeCell ref="AE556:AH556"/>
    <mergeCell ref="AH526:AK526"/>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T551:V553"/>
    <mergeCell ref="W551:Y553"/>
    <mergeCell ref="Q555:S555"/>
    <mergeCell ref="AC524:AF524"/>
    <mergeCell ref="AH516:AK516"/>
    <mergeCell ref="Q554:S554"/>
    <mergeCell ref="AH524:AK524"/>
    <mergeCell ref="AH525:AK525"/>
    <mergeCell ref="AH529:AK529"/>
    <mergeCell ref="AH534:AK534"/>
    <mergeCell ref="AC510:AF510"/>
    <mergeCell ref="AH510:AK510"/>
    <mergeCell ref="AC512:AF512"/>
    <mergeCell ref="BK600:BL600"/>
    <mergeCell ref="CC602:CG602"/>
    <mergeCell ref="CC601:CG601"/>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W556:Y556"/>
    <mergeCell ref="T558:V558"/>
    <mergeCell ref="AM551:AS553"/>
    <mergeCell ref="AE551:AH553"/>
    <mergeCell ref="AI551:AL553"/>
    <mergeCell ref="AC508:AF508"/>
    <mergeCell ref="AH537:AK537"/>
    <mergeCell ref="AC534:AF534"/>
    <mergeCell ref="AH542:AK542"/>
    <mergeCell ref="AC542:AF542"/>
    <mergeCell ref="G587:R587"/>
    <mergeCell ref="G578:R578"/>
    <mergeCell ref="N583:O583"/>
    <mergeCell ref="T562:V562"/>
    <mergeCell ref="P581:R581"/>
    <mergeCell ref="M554:P554"/>
    <mergeCell ref="G596:R596"/>
    <mergeCell ref="N591:O591"/>
    <mergeCell ref="Q557:S557"/>
    <mergeCell ref="B551:L553"/>
    <mergeCell ref="CC604:CG604"/>
    <mergeCell ref="BX604:CB604"/>
    <mergeCell ref="Z596:AK596"/>
    <mergeCell ref="BK598:BL598"/>
    <mergeCell ref="BS598:BW598"/>
    <mergeCell ref="BI601:BJ601"/>
    <mergeCell ref="BG598:BH598"/>
    <mergeCell ref="BI597:BJ597"/>
    <mergeCell ref="BK596:BL596"/>
    <mergeCell ref="BG596:BH596"/>
    <mergeCell ref="BX596:CB596"/>
    <mergeCell ref="BG601:BH601"/>
    <mergeCell ref="BE600:BF600"/>
    <mergeCell ref="BI599:BJ599"/>
    <mergeCell ref="BX603:CB603"/>
    <mergeCell ref="BK597:BL597"/>
    <mergeCell ref="BN596:BR596"/>
    <mergeCell ref="BI602:BJ602"/>
    <mergeCell ref="BI598:BJ598"/>
    <mergeCell ref="BK599:BL599"/>
    <mergeCell ref="AM554:AS554"/>
    <mergeCell ref="AE555:AH555"/>
    <mergeCell ref="BX598:CB598"/>
    <mergeCell ref="BK605:BL605"/>
    <mergeCell ref="Z577:AK577"/>
    <mergeCell ref="CH598:CL598"/>
    <mergeCell ref="AA582:AK582"/>
    <mergeCell ref="Z588:AK588"/>
    <mergeCell ref="Z578:AK578"/>
    <mergeCell ref="Z595:AK595"/>
    <mergeCell ref="Z589:AE589"/>
    <mergeCell ref="BN605:BR605"/>
    <mergeCell ref="AA598:AK598"/>
    <mergeCell ref="Z587:AK587"/>
    <mergeCell ref="CH596:CL596"/>
    <mergeCell ref="G604:R604"/>
    <mergeCell ref="C554:L554"/>
    <mergeCell ref="C555:L555"/>
    <mergeCell ref="CH597:CL597"/>
    <mergeCell ref="BS605:BW605"/>
    <mergeCell ref="BX605:CB605"/>
    <mergeCell ref="CC605:CG605"/>
    <mergeCell ref="BN599:BR599"/>
    <mergeCell ref="BS599:BW599"/>
    <mergeCell ref="CC598:CG598"/>
    <mergeCell ref="BG599:BH599"/>
    <mergeCell ref="CH599:CL599"/>
    <mergeCell ref="BX599:CB599"/>
    <mergeCell ref="CC600:CG600"/>
    <mergeCell ref="BE601:BF601"/>
    <mergeCell ref="BE598:BF598"/>
    <mergeCell ref="AI560:AL560"/>
    <mergeCell ref="AM560:AS560"/>
    <mergeCell ref="M563:P563"/>
    <mergeCell ref="BI607:BJ607"/>
    <mergeCell ref="BG604:BH604"/>
    <mergeCell ref="BG607:BH607"/>
    <mergeCell ref="BS604:BW604"/>
    <mergeCell ref="Z609:AK609"/>
    <mergeCell ref="AG583:AH583"/>
    <mergeCell ref="BE605:BF605"/>
    <mergeCell ref="AE564:AH564"/>
    <mergeCell ref="Z563:AD563"/>
    <mergeCell ref="AI564:AL564"/>
    <mergeCell ref="AG591:AH591"/>
    <mergeCell ref="BK601:BL601"/>
    <mergeCell ref="BI600:BJ600"/>
    <mergeCell ref="BN600:BR600"/>
    <mergeCell ref="BK603:BL603"/>
    <mergeCell ref="BG608:BH608"/>
    <mergeCell ref="BS608:BW608"/>
    <mergeCell ref="BN608:BR608"/>
    <mergeCell ref="BI604:BJ604"/>
    <mergeCell ref="BN602:BR602"/>
    <mergeCell ref="BS606:BW606"/>
    <mergeCell ref="BI603:BJ603"/>
    <mergeCell ref="BK609:BL609"/>
    <mergeCell ref="BN603:BR603"/>
    <mergeCell ref="BN606:BR606"/>
    <mergeCell ref="BK606:BL606"/>
    <mergeCell ref="BI605:BJ605"/>
    <mergeCell ref="BE603:BF603"/>
    <mergeCell ref="BE604:BF604"/>
    <mergeCell ref="BE597:BF597"/>
    <mergeCell ref="Z579:AK579"/>
    <mergeCell ref="BG600:BH600"/>
    <mergeCell ref="BE610:BF610"/>
    <mergeCell ref="CC606:CG606"/>
    <mergeCell ref="BE606:BF606"/>
    <mergeCell ref="BN601:BR601"/>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X610:CB610"/>
    <mergeCell ref="BI610:BJ610"/>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N623:BR623"/>
    <mergeCell ref="G597:L597"/>
    <mergeCell ref="T560:V560"/>
    <mergeCell ref="Z561:AD561"/>
    <mergeCell ref="AM561:AS561"/>
    <mergeCell ref="M555:P555"/>
    <mergeCell ref="C556:L556"/>
    <mergeCell ref="M556:P556"/>
    <mergeCell ref="Q556:S556"/>
    <mergeCell ref="M558:P558"/>
    <mergeCell ref="AI557:AL557"/>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AH535:AK535"/>
    <mergeCell ref="AH527:AK527"/>
    <mergeCell ref="AC517:AF517"/>
    <mergeCell ref="AC522:AF522"/>
    <mergeCell ref="Z551:AD553"/>
    <mergeCell ref="T554:V554"/>
    <mergeCell ref="AC539:AF539"/>
    <mergeCell ref="B517:H519"/>
    <mergeCell ref="AI554:AL554"/>
    <mergeCell ref="AC520:AF520"/>
    <mergeCell ref="AC527:AF527"/>
    <mergeCell ref="B520:H542"/>
    <mergeCell ref="AC541:AF541"/>
    <mergeCell ref="AH519:AK519"/>
    <mergeCell ref="AH528:AK528"/>
    <mergeCell ref="AH530:AK530"/>
    <mergeCell ref="AC531:AF531"/>
    <mergeCell ref="AH518:AK518"/>
    <mergeCell ref="AH514:AK514"/>
    <mergeCell ref="O523:AA523"/>
    <mergeCell ref="AC519:AF519"/>
    <mergeCell ref="AC518:AF518"/>
    <mergeCell ref="Q551:S553"/>
    <mergeCell ref="M551:P553"/>
    <mergeCell ref="AC523:AF523"/>
    <mergeCell ref="AC525:AF525"/>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Q487:AK487"/>
    <mergeCell ref="Q486:AK486"/>
    <mergeCell ref="AH502:AK502"/>
    <mergeCell ref="D444:AF444"/>
    <mergeCell ref="AG448:AJ448"/>
    <mergeCell ref="L508:AB508"/>
    <mergeCell ref="AH532:AK532"/>
    <mergeCell ref="AH512:AK512"/>
    <mergeCell ref="AH520:AK520"/>
    <mergeCell ref="AC535:AF535"/>
    <mergeCell ref="S377:T377"/>
    <mergeCell ref="D437:AF437"/>
    <mergeCell ref="D442:AF442"/>
    <mergeCell ref="AF430:AG430"/>
    <mergeCell ref="AG437:AJ437"/>
    <mergeCell ref="D441:AF441"/>
    <mergeCell ref="AA332:AF332"/>
    <mergeCell ref="AA333:AK333"/>
    <mergeCell ref="AD412:AE412"/>
    <mergeCell ref="H414:AE415"/>
    <mergeCell ref="K403:AJ403"/>
    <mergeCell ref="N371:Q371"/>
    <mergeCell ref="V382:W382"/>
    <mergeCell ref="Y364:Z364"/>
    <mergeCell ref="J387:U387"/>
    <mergeCell ref="T399:AJ399"/>
    <mergeCell ref="T398:AJ398"/>
    <mergeCell ref="AC387:AJ387"/>
    <mergeCell ref="V388:AJ388"/>
    <mergeCell ref="AG395:AJ395"/>
    <mergeCell ref="AI392:AJ392"/>
    <mergeCell ref="P349:AE349"/>
    <mergeCell ref="D406:AJ407"/>
    <mergeCell ref="R412:S412"/>
    <mergeCell ref="Q429:R429"/>
    <mergeCell ref="Z432:AA432"/>
    <mergeCell ref="D469:V469"/>
    <mergeCell ref="W469:Y469"/>
    <mergeCell ref="W474:Y474"/>
    <mergeCell ref="AH515:AK515"/>
    <mergeCell ref="AC516:AF516"/>
    <mergeCell ref="S489:AK490"/>
    <mergeCell ref="Q494:AK494"/>
    <mergeCell ref="AG441:AJ441"/>
    <mergeCell ref="AG450:AJ450"/>
    <mergeCell ref="AG447:AJ447"/>
    <mergeCell ref="W467:Y467"/>
    <mergeCell ref="B514:H516"/>
    <mergeCell ref="B503:H508"/>
    <mergeCell ref="W471:Y471"/>
    <mergeCell ref="AH506:AK506"/>
    <mergeCell ref="AH500:AK500"/>
    <mergeCell ref="AH504:AK504"/>
    <mergeCell ref="AH501:AK501"/>
    <mergeCell ref="D450:AF450"/>
    <mergeCell ref="D451:AJ452"/>
    <mergeCell ref="D449:AF449"/>
    <mergeCell ref="B501:H502"/>
    <mergeCell ref="D448:AF448"/>
    <mergeCell ref="AG445:AJ445"/>
    <mergeCell ref="AG442:AJ442"/>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AE424:AF424"/>
    <mergeCell ref="AI397:AJ397"/>
    <mergeCell ref="S401:U401"/>
    <mergeCell ref="M356:N356"/>
    <mergeCell ref="AJ355:AK355"/>
    <mergeCell ref="AG377:AH377"/>
    <mergeCell ref="E418:G418"/>
    <mergeCell ref="AD411:AE411"/>
    <mergeCell ref="F427:AH428"/>
    <mergeCell ref="V377:W377"/>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467:V467"/>
    <mergeCell ref="AC499:AK499"/>
    <mergeCell ref="W468:Y468"/>
    <mergeCell ref="AH505:AK505"/>
    <mergeCell ref="W466:Y466"/>
    <mergeCell ref="W473:Y473"/>
    <mergeCell ref="EM622:EQ622"/>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M622:CQ622"/>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C622:CG622"/>
    <mergeCell ref="CH622:CL622"/>
    <mergeCell ref="DC626:DG626"/>
    <mergeCell ref="EH622:EL622"/>
    <mergeCell ref="DM629:DQ629"/>
    <mergeCell ref="DR629:DV629"/>
    <mergeCell ref="DC629:DG629"/>
    <mergeCell ref="DH629:DL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CS626:CW626"/>
    <mergeCell ref="CX626:DB626"/>
    <mergeCell ref="EH625:EL625"/>
    <mergeCell ref="EM625:EQ625"/>
    <mergeCell ref="DR626:DV626"/>
    <mergeCell ref="DR627:DV627"/>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R622:EV622"/>
    <mergeCell ref="EW622:FA622"/>
    <mergeCell ref="ER628:EV628"/>
    <mergeCell ref="EW628:FA628"/>
    <mergeCell ref="ER625:EV625"/>
    <mergeCell ref="EW625:FA625"/>
    <mergeCell ref="DX626:EB626"/>
    <mergeCell ref="EC625:EG625"/>
    <mergeCell ref="DR625:DV625"/>
    <mergeCell ref="DC621:DG621"/>
    <mergeCell ref="DH621:DL621"/>
    <mergeCell ref="DM621:DQ621"/>
    <mergeCell ref="EW662:FA662"/>
    <mergeCell ref="DX663:EB663"/>
    <mergeCell ref="EW635:FA635"/>
    <mergeCell ref="EH643:EL643"/>
    <mergeCell ref="ER636:EV636"/>
    <mergeCell ref="EM640:EQ640"/>
    <mergeCell ref="EM629:EQ629"/>
    <mergeCell ref="ER630:EV630"/>
    <mergeCell ref="EM632:EQ632"/>
    <mergeCell ref="ER632:EV632"/>
    <mergeCell ref="EW632:FA632"/>
    <mergeCell ref="DX635:EB635"/>
    <mergeCell ref="DX638:EB638"/>
    <mergeCell ref="EC638:EG638"/>
    <mergeCell ref="EH638:EL638"/>
    <mergeCell ref="EM638:EQ638"/>
    <mergeCell ref="EH642:EL642"/>
    <mergeCell ref="EM642:EQ642"/>
    <mergeCell ref="ER642:EV642"/>
    <mergeCell ref="DX641:EB641"/>
    <mergeCell ref="EM650:EQ650"/>
    <mergeCell ref="DX654:EB654"/>
    <mergeCell ref="EC654:EG654"/>
    <mergeCell ref="EH654:EL654"/>
    <mergeCell ref="EM649:EQ649"/>
    <mergeCell ref="EW650:FA650"/>
    <mergeCell ref="EW648:FA648"/>
    <mergeCell ref="EW651:FA651"/>
    <mergeCell ref="DX645:EB645"/>
    <mergeCell ref="EW649:FA649"/>
    <mergeCell ref="EW652:FA652"/>
    <mergeCell ref="EM654:EQ654"/>
    <mergeCell ref="EW645:FA645"/>
    <mergeCell ref="EM646:EQ646"/>
    <mergeCell ref="EW642:FA642"/>
    <mergeCell ref="EW643:FA643"/>
    <mergeCell ref="ER641:EV641"/>
    <mergeCell ref="EW659:FA659"/>
    <mergeCell ref="DX660:EB660"/>
    <mergeCell ref="EC660:EG660"/>
    <mergeCell ref="EH660:EL660"/>
    <mergeCell ref="EM660:EQ660"/>
    <mergeCell ref="EH635:EL635"/>
    <mergeCell ref="EM635:EQ635"/>
    <mergeCell ref="ER635:EV635"/>
    <mergeCell ref="ER638:EV638"/>
    <mergeCell ref="EC635:EG635"/>
    <mergeCell ref="ER637:EV637"/>
    <mergeCell ref="EW637:FA637"/>
    <mergeCell ref="EH648:EL648"/>
    <mergeCell ref="EH651:EL651"/>
    <mergeCell ref="EH650:EL650"/>
    <mergeCell ref="ER654:EV654"/>
    <mergeCell ref="EM652:EQ652"/>
    <mergeCell ref="EW638:FA638"/>
    <mergeCell ref="ER648:EV648"/>
    <mergeCell ref="ER647:EV647"/>
    <mergeCell ref="EM645:EQ645"/>
    <mergeCell ref="EH653:EL653"/>
    <mergeCell ref="EM653:EQ653"/>
    <mergeCell ref="ER653:EV653"/>
    <mergeCell ref="EM648:EQ648"/>
    <mergeCell ref="EH639:EL639"/>
    <mergeCell ref="EM639:EQ639"/>
    <mergeCell ref="EW630:FA630"/>
    <mergeCell ref="DX669:EB669"/>
    <mergeCell ref="EC663:EG663"/>
    <mergeCell ref="EH663:EL663"/>
    <mergeCell ref="EC665:EG665"/>
    <mergeCell ref="EH665:EL665"/>
    <mergeCell ref="EM665:EQ665"/>
    <mergeCell ref="ER665:EV665"/>
    <mergeCell ref="EW631:FA631"/>
    <mergeCell ref="EC636:EG636"/>
    <mergeCell ref="EH636:EL636"/>
    <mergeCell ref="DX636:EB636"/>
    <mergeCell ref="EC651:EG651"/>
    <mergeCell ref="DX656:EB656"/>
    <mergeCell ref="EC656:EG656"/>
    <mergeCell ref="EM659:EQ659"/>
    <mergeCell ref="DX658:EB658"/>
    <mergeCell ref="EC658:EG658"/>
    <mergeCell ref="EH658:EL658"/>
    <mergeCell ref="EM658:EQ658"/>
    <mergeCell ref="ER659:EV659"/>
    <mergeCell ref="EC649:EG649"/>
    <mergeCell ref="EC639:EG639"/>
    <mergeCell ref="EW661:FA661"/>
    <mergeCell ref="EM662:EQ662"/>
    <mergeCell ref="ER662:EV662"/>
    <mergeCell ref="ER646:EV646"/>
    <mergeCell ref="EW646:FA646"/>
    <mergeCell ref="EW654:FA654"/>
    <mergeCell ref="ER661:EV661"/>
    <mergeCell ref="EM636:EQ636"/>
    <mergeCell ref="EW644:FA644"/>
    <mergeCell ref="K728:N728"/>
    <mergeCell ref="AK731:AO731"/>
    <mergeCell ref="K733:N733"/>
    <mergeCell ref="B730:F730"/>
    <mergeCell ref="AH741:AJ741"/>
    <mergeCell ref="T723:W723"/>
    <mergeCell ref="K721:N721"/>
    <mergeCell ref="K723:N723"/>
    <mergeCell ref="K739:N739"/>
    <mergeCell ref="AC734:AG734"/>
    <mergeCell ref="AC735:AG735"/>
    <mergeCell ref="K734:N734"/>
    <mergeCell ref="AC733:AG733"/>
    <mergeCell ref="G736:J736"/>
    <mergeCell ref="AH733:AJ733"/>
    <mergeCell ref="T737:W737"/>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AK732:AO732"/>
    <mergeCell ref="AK733:AO733"/>
    <mergeCell ref="AK734:AO734"/>
    <mergeCell ref="AK739:AO739"/>
    <mergeCell ref="EW657:FA657"/>
    <mergeCell ref="EH641:EL641"/>
    <mergeCell ref="EM641:EQ641"/>
    <mergeCell ref="EH655:EL655"/>
    <mergeCell ref="EM655:EQ655"/>
    <mergeCell ref="EH647:EL647"/>
    <mergeCell ref="EM647:EQ647"/>
    <mergeCell ref="AC737:AG737"/>
    <mergeCell ref="O723:S723"/>
    <mergeCell ref="O724:S724"/>
    <mergeCell ref="AK735:AO735"/>
    <mergeCell ref="ER658:EV658"/>
    <mergeCell ref="EW658:FA658"/>
    <mergeCell ref="EW655:FA655"/>
    <mergeCell ref="AK638:AN638"/>
    <mergeCell ref="T714:W717"/>
    <mergeCell ref="O719:S719"/>
    <mergeCell ref="Z677:AK677"/>
    <mergeCell ref="EM657:EQ657"/>
    <mergeCell ref="ER657:EV657"/>
    <mergeCell ref="EM668:EQ668"/>
    <mergeCell ref="ER670:EV670"/>
    <mergeCell ref="EH670:EL670"/>
    <mergeCell ref="EH669:EL669"/>
    <mergeCell ref="T725:W725"/>
    <mergeCell ref="EW665:FA665"/>
    <mergeCell ref="EM663:EQ663"/>
    <mergeCell ref="ER663:EV663"/>
    <mergeCell ref="EW663:FA663"/>
    <mergeCell ref="EC659:EG659"/>
    <mergeCell ref="EH659:EL659"/>
    <mergeCell ref="ER645:EV64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1" workbookViewId="0">
      <selection activeCell="G93" sqref="G93"/>
    </sheetView>
  </sheetViews>
  <sheetFormatPr defaultColWidth="0" defaultRowHeight="11.4" zeroHeight="1"/>
  <cols>
    <col min="1" max="1" width="35.6640625" style="135" customWidth="1"/>
    <col min="2" max="12" width="12.33203125" style="113" customWidth="1"/>
    <col min="13" max="17" width="11.33203125" style="113" customWidth="1"/>
    <col min="18" max="18" width="12.6640625" style="113" customWidth="1"/>
    <col min="19" max="20" width="12.33203125" style="113" customWidth="1"/>
    <col min="21" max="21" width="0.33203125" style="115" customWidth="1"/>
    <col min="22" max="16383" width="8.6640625" style="113" hidden="1"/>
    <col min="16384" max="16384" width="0.33203125" style="113" customWidth="1"/>
  </cols>
  <sheetData>
    <row r="1" spans="1:21" s="79" customFormat="1" ht="13.8">
      <c r="A1" s="118" t="s">
        <v>1805</v>
      </c>
      <c r="B1" s="92"/>
      <c r="C1" s="92"/>
      <c r="D1" s="92"/>
      <c r="E1" s="93"/>
      <c r="F1" s="1797" t="s">
        <v>1806</v>
      </c>
      <c r="G1" s="1798"/>
      <c r="H1" s="1798"/>
      <c r="I1" s="1798"/>
      <c r="J1" s="1798"/>
      <c r="K1" s="1798"/>
      <c r="L1" s="1798"/>
      <c r="M1" s="1798"/>
      <c r="N1" s="1798"/>
      <c r="O1" s="1798"/>
      <c r="P1" s="1798"/>
      <c r="Q1" s="1798"/>
      <c r="R1" s="1799"/>
      <c r="S1" s="81"/>
      <c r="T1" s="80"/>
      <c r="U1" s="82"/>
    </row>
    <row r="2" spans="1:21" s="102" customFormat="1" ht="71.25" customHeight="1">
      <c r="A2" s="101"/>
      <c r="B2" s="102" t="s">
        <v>1807</v>
      </c>
      <c r="C2" s="102" t="s">
        <v>1808</v>
      </c>
      <c r="D2" s="102" t="s">
        <v>1809</v>
      </c>
      <c r="E2" s="102" t="s">
        <v>1810</v>
      </c>
      <c r="F2" s="103" t="str">
        <f>Application!B627&amp;Application!C627</f>
        <v>1)Citibank</v>
      </c>
      <c r="G2" s="103" t="str">
        <f>Application!B628&amp;Application!C628</f>
        <v>2)VA Capital Contribution</v>
      </c>
      <c r="H2" s="103" t="str">
        <f>Application!B629&amp;Application!C629</f>
        <v>3)Philanthropic Funds (WLAVC)</v>
      </c>
      <c r="I2" s="103" t="str">
        <f>Application!B630&amp;Application!C630</f>
        <v>4)Deferred Developer Fee</v>
      </c>
      <c r="J2" s="103" t="str">
        <f>Application!B631&amp;Application!C631</f>
        <v>5)</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1811</v>
      </c>
      <c r="S2" s="102" t="s">
        <v>1812</v>
      </c>
      <c r="T2" s="102" t="s">
        <v>1813</v>
      </c>
      <c r="U2" s="104"/>
    </row>
    <row r="3" spans="1:21" s="106" customFormat="1">
      <c r="A3" s="105" t="s">
        <v>1814</v>
      </c>
      <c r="B3" s="1201"/>
      <c r="C3" s="1201"/>
      <c r="D3" s="1201"/>
      <c r="E3" s="1201"/>
      <c r="F3" s="1201"/>
      <c r="G3" s="1201"/>
      <c r="H3" s="1201"/>
      <c r="I3" s="1201"/>
      <c r="J3" s="1201"/>
      <c r="K3" s="1201"/>
      <c r="L3" s="1201"/>
      <c r="M3" s="1201"/>
      <c r="N3" s="1201"/>
      <c r="O3" s="1201"/>
      <c r="P3" s="1201"/>
      <c r="Q3" s="1201"/>
      <c r="R3" s="1201"/>
      <c r="S3" s="1201"/>
      <c r="T3" s="1201"/>
      <c r="U3" s="1202"/>
    </row>
    <row r="4" spans="1:21" s="106" customFormat="1">
      <c r="A4" s="207" t="s">
        <v>1815</v>
      </c>
      <c r="B4" s="263">
        <f>SUM(C4+D4)</f>
        <v>1</v>
      </c>
      <c r="C4" s="898">
        <v>1</v>
      </c>
      <c r="D4" s="898"/>
      <c r="E4" s="898">
        <v>1</v>
      </c>
      <c r="F4" s="898"/>
      <c r="G4" s="898"/>
      <c r="H4" s="898"/>
      <c r="I4" s="898"/>
      <c r="J4" s="898"/>
      <c r="K4" s="898"/>
      <c r="L4" s="898"/>
      <c r="M4" s="898"/>
      <c r="N4" s="898"/>
      <c r="O4" s="898"/>
      <c r="P4" s="898"/>
      <c r="Q4" s="898"/>
      <c r="R4" s="440">
        <f>SUM(E4:Q4)</f>
        <v>1</v>
      </c>
      <c r="S4" s="1203"/>
      <c r="T4" s="1203"/>
      <c r="U4" s="1202"/>
    </row>
    <row r="5" spans="1:21" s="106" customFormat="1">
      <c r="A5" s="207" t="s">
        <v>1816</v>
      </c>
      <c r="B5" s="263">
        <f>SUM(C5+D5)</f>
        <v>325000</v>
      </c>
      <c r="C5" s="898">
        <v>325000</v>
      </c>
      <c r="D5" s="898"/>
      <c r="E5" s="898">
        <f>B5</f>
        <v>325000</v>
      </c>
      <c r="F5" s="898"/>
      <c r="G5" s="898"/>
      <c r="H5" s="898"/>
      <c r="I5" s="898"/>
      <c r="J5" s="898"/>
      <c r="K5" s="898"/>
      <c r="L5" s="898"/>
      <c r="M5" s="898"/>
      <c r="N5" s="898"/>
      <c r="O5" s="898"/>
      <c r="P5" s="898"/>
      <c r="Q5" s="898"/>
      <c r="R5" s="440">
        <f>SUM(E5:Q5)</f>
        <v>325000</v>
      </c>
      <c r="S5" s="1203"/>
      <c r="T5" s="1203"/>
      <c r="U5" s="1202"/>
    </row>
    <row r="6" spans="1:21" s="106" customFormat="1">
      <c r="A6" s="207" t="s">
        <v>1817</v>
      </c>
      <c r="B6" s="263">
        <f>SUM(C6+D6)</f>
        <v>0</v>
      </c>
      <c r="C6" s="898"/>
      <c r="D6" s="898"/>
      <c r="E6" s="898"/>
      <c r="F6" s="898"/>
      <c r="G6" s="898"/>
      <c r="H6" s="898"/>
      <c r="I6" s="898"/>
      <c r="J6" s="898"/>
      <c r="K6" s="898"/>
      <c r="L6" s="898"/>
      <c r="M6" s="898"/>
      <c r="N6" s="898"/>
      <c r="O6" s="898"/>
      <c r="P6" s="898"/>
      <c r="Q6" s="898"/>
      <c r="R6" s="440">
        <f>SUM(E6:Q6)</f>
        <v>0</v>
      </c>
      <c r="S6" s="1203"/>
      <c r="T6" s="1203"/>
      <c r="U6" s="1202"/>
    </row>
    <row r="7" spans="1:21" s="106" customFormat="1">
      <c r="A7" s="207" t="s">
        <v>1818</v>
      </c>
      <c r="B7" s="263">
        <f>SUM(C7+D7)</f>
        <v>0</v>
      </c>
      <c r="C7" s="898"/>
      <c r="D7" s="898"/>
      <c r="E7" s="898"/>
      <c r="F7" s="898"/>
      <c r="G7" s="898"/>
      <c r="H7" s="898"/>
      <c r="I7" s="898"/>
      <c r="J7" s="898"/>
      <c r="K7" s="898"/>
      <c r="L7" s="898"/>
      <c r="M7" s="898"/>
      <c r="N7" s="898"/>
      <c r="O7" s="898"/>
      <c r="P7" s="898"/>
      <c r="Q7" s="898"/>
      <c r="R7" s="440">
        <f>SUM(E7:Q7)</f>
        <v>0</v>
      </c>
      <c r="S7" s="1203"/>
      <c r="T7" s="1203"/>
      <c r="U7" s="1202"/>
    </row>
    <row r="8" spans="1:21" s="106" customFormat="1" ht="12">
      <c r="A8" s="107" t="s">
        <v>1819</v>
      </c>
      <c r="B8" s="263">
        <f>SUM(C8:D8)</f>
        <v>325001</v>
      </c>
      <c r="C8" s="263">
        <f t="shared" ref="C8:Q8" si="0">SUM(C4:C7)</f>
        <v>325001</v>
      </c>
      <c r="D8" s="263">
        <f t="shared" si="0"/>
        <v>0</v>
      </c>
      <c r="E8" s="263">
        <f t="shared" si="0"/>
        <v>325001</v>
      </c>
      <c r="F8" s="263">
        <f t="shared" si="0"/>
        <v>0</v>
      </c>
      <c r="G8" s="263">
        <f t="shared" si="0"/>
        <v>0</v>
      </c>
      <c r="H8" s="263">
        <f t="shared" si="0"/>
        <v>0</v>
      </c>
      <c r="I8" s="263">
        <f t="shared" si="0"/>
        <v>0</v>
      </c>
      <c r="J8" s="263">
        <f t="shared" si="0"/>
        <v>0</v>
      </c>
      <c r="K8" s="263">
        <f t="shared" si="0"/>
        <v>0</v>
      </c>
      <c r="L8" s="263">
        <f t="shared" si="0"/>
        <v>0</v>
      </c>
      <c r="M8" s="263">
        <f t="shared" si="0"/>
        <v>0</v>
      </c>
      <c r="N8" s="263">
        <f t="shared" si="0"/>
        <v>0</v>
      </c>
      <c r="O8" s="263">
        <f t="shared" si="0"/>
        <v>0</v>
      </c>
      <c r="P8" s="263"/>
      <c r="Q8" s="263">
        <f t="shared" si="0"/>
        <v>0</v>
      </c>
      <c r="R8" s="263">
        <f>SUM(R4:R7)</f>
        <v>325001</v>
      </c>
      <c r="S8" s="1203"/>
      <c r="T8" s="1203"/>
      <c r="U8" s="1202"/>
    </row>
    <row r="9" spans="1:21" s="106" customFormat="1">
      <c r="A9" s="207" t="s">
        <v>1820</v>
      </c>
      <c r="B9" s="263">
        <f>SUM(C9+D9)</f>
        <v>0</v>
      </c>
      <c r="C9" s="898"/>
      <c r="D9" s="898"/>
      <c r="E9" s="898"/>
      <c r="F9" s="898"/>
      <c r="G9" s="898"/>
      <c r="H9" s="898"/>
      <c r="I9" s="898"/>
      <c r="J9" s="898"/>
      <c r="K9" s="898"/>
      <c r="L9" s="898"/>
      <c r="M9" s="898"/>
      <c r="N9" s="898"/>
      <c r="O9" s="898"/>
      <c r="P9" s="898"/>
      <c r="Q9" s="898"/>
      <c r="R9" s="440">
        <f>SUM(E9:Q9)</f>
        <v>0</v>
      </c>
      <c r="S9" s="1203"/>
      <c r="T9" s="898"/>
      <c r="U9" s="1202"/>
    </row>
    <row r="10" spans="1:21" s="106" customFormat="1">
      <c r="A10" s="207" t="s">
        <v>1821</v>
      </c>
      <c r="B10" s="263">
        <f>SUM(C10+D10)</f>
        <v>0</v>
      </c>
      <c r="C10" s="898"/>
      <c r="D10" s="898"/>
      <c r="E10" s="898"/>
      <c r="F10" s="898"/>
      <c r="G10" s="898"/>
      <c r="H10" s="898"/>
      <c r="I10" s="898"/>
      <c r="J10" s="898"/>
      <c r="K10" s="898"/>
      <c r="L10" s="898"/>
      <c r="M10" s="898"/>
      <c r="N10" s="898"/>
      <c r="O10" s="898"/>
      <c r="P10" s="898"/>
      <c r="Q10" s="898"/>
      <c r="R10" s="440">
        <f>SUM(E10:Q10)</f>
        <v>0</v>
      </c>
      <c r="S10" s="898"/>
      <c r="T10" s="898"/>
      <c r="U10" s="1202"/>
    </row>
    <row r="11" spans="1:21" s="106" customFormat="1" ht="12">
      <c r="A11" s="107" t="s">
        <v>1822</v>
      </c>
      <c r="B11" s="263">
        <f>SUM(C11:D11)</f>
        <v>0</v>
      </c>
      <c r="C11" s="263">
        <f t="shared" ref="C11:Q11" si="1">SUM(C9:C10)</f>
        <v>0</v>
      </c>
      <c r="D11" s="263">
        <f t="shared" si="1"/>
        <v>0</v>
      </c>
      <c r="E11" s="263">
        <f t="shared" si="1"/>
        <v>0</v>
      </c>
      <c r="F11" s="263">
        <f t="shared" si="1"/>
        <v>0</v>
      </c>
      <c r="G11" s="263">
        <f t="shared" si="1"/>
        <v>0</v>
      </c>
      <c r="H11" s="263">
        <f t="shared" si="1"/>
        <v>0</v>
      </c>
      <c r="I11" s="263">
        <f t="shared" si="1"/>
        <v>0</v>
      </c>
      <c r="J11" s="263">
        <f t="shared" si="1"/>
        <v>0</v>
      </c>
      <c r="K11" s="263">
        <f t="shared" si="1"/>
        <v>0</v>
      </c>
      <c r="L11" s="263">
        <f t="shared" si="1"/>
        <v>0</v>
      </c>
      <c r="M11" s="263">
        <f t="shared" si="1"/>
        <v>0</v>
      </c>
      <c r="N11" s="263">
        <f t="shared" si="1"/>
        <v>0</v>
      </c>
      <c r="O11" s="263">
        <f t="shared" si="1"/>
        <v>0</v>
      </c>
      <c r="P11" s="263"/>
      <c r="Q11" s="263">
        <f t="shared" si="1"/>
        <v>0</v>
      </c>
      <c r="R11" s="263">
        <f>SUM(R9:R10)</f>
        <v>0</v>
      </c>
      <c r="S11" s="1203"/>
      <c r="T11" s="108">
        <f>SUM(T9:T10)</f>
        <v>0</v>
      </c>
      <c r="U11" s="1202"/>
    </row>
    <row r="12" spans="1:21" s="106" customFormat="1" ht="12">
      <c r="A12" s="107" t="s">
        <v>1823</v>
      </c>
      <c r="B12" s="263">
        <f t="shared" ref="B12:Q12" si="2">SUM(B8+B11)</f>
        <v>325001</v>
      </c>
      <c r="C12" s="263">
        <f t="shared" si="2"/>
        <v>325001</v>
      </c>
      <c r="D12" s="263">
        <f t="shared" si="2"/>
        <v>0</v>
      </c>
      <c r="E12" s="263">
        <f t="shared" si="2"/>
        <v>325001</v>
      </c>
      <c r="F12" s="263">
        <f t="shared" si="2"/>
        <v>0</v>
      </c>
      <c r="G12" s="263">
        <f t="shared" si="2"/>
        <v>0</v>
      </c>
      <c r="H12" s="263">
        <f t="shared" si="2"/>
        <v>0</v>
      </c>
      <c r="I12" s="263">
        <f t="shared" si="2"/>
        <v>0</v>
      </c>
      <c r="J12" s="263">
        <f t="shared" si="2"/>
        <v>0</v>
      </c>
      <c r="K12" s="263">
        <f t="shared" si="2"/>
        <v>0</v>
      </c>
      <c r="L12" s="263">
        <f t="shared" si="2"/>
        <v>0</v>
      </c>
      <c r="M12" s="263">
        <f t="shared" si="2"/>
        <v>0</v>
      </c>
      <c r="N12" s="263">
        <f t="shared" si="2"/>
        <v>0</v>
      </c>
      <c r="O12" s="263">
        <f t="shared" si="2"/>
        <v>0</v>
      </c>
      <c r="P12" s="263"/>
      <c r="Q12" s="263">
        <f t="shared" si="2"/>
        <v>0</v>
      </c>
      <c r="R12" s="263">
        <f>SUM(R8+R11)</f>
        <v>325001</v>
      </c>
      <c r="S12" s="1203"/>
      <c r="T12" s="1203"/>
      <c r="U12" s="1202"/>
    </row>
    <row r="13" spans="1:21" s="106" customFormat="1">
      <c r="A13" s="210" t="s">
        <v>1824</v>
      </c>
      <c r="B13" s="263">
        <f>SUM(C13+D13)</f>
        <v>0</v>
      </c>
      <c r="C13" s="898"/>
      <c r="D13" s="898"/>
      <c r="E13" s="898"/>
      <c r="F13" s="898"/>
      <c r="G13" s="898"/>
      <c r="H13" s="898"/>
      <c r="I13" s="898"/>
      <c r="J13" s="898"/>
      <c r="K13" s="898"/>
      <c r="L13" s="898"/>
      <c r="M13" s="898"/>
      <c r="N13" s="898"/>
      <c r="O13" s="898"/>
      <c r="P13" s="898"/>
      <c r="Q13" s="898"/>
      <c r="R13" s="440">
        <f>SUM(E13:Q13)</f>
        <v>0</v>
      </c>
      <c r="S13" s="898"/>
      <c r="T13" s="898"/>
      <c r="U13" s="1202"/>
    </row>
    <row r="14" spans="1:21" s="106" customFormat="1" ht="22.8">
      <c r="A14" s="211" t="s">
        <v>1825</v>
      </c>
      <c r="B14" s="263">
        <f>SUM(C14+D14)</f>
        <v>0</v>
      </c>
      <c r="C14" s="898"/>
      <c r="D14" s="898"/>
      <c r="E14" s="898"/>
      <c r="F14" s="898"/>
      <c r="G14" s="898"/>
      <c r="H14" s="898"/>
      <c r="I14" s="898"/>
      <c r="J14" s="898"/>
      <c r="K14" s="898"/>
      <c r="L14" s="898"/>
      <c r="M14" s="898"/>
      <c r="N14" s="898"/>
      <c r="O14" s="898"/>
      <c r="P14" s="898"/>
      <c r="Q14" s="898"/>
      <c r="R14" s="440">
        <f>SUM(E14:Q14)</f>
        <v>0</v>
      </c>
      <c r="S14" s="898"/>
      <c r="T14" s="898"/>
      <c r="U14" s="1202"/>
    </row>
    <row r="15" spans="1:21" s="106" customFormat="1">
      <c r="A15" s="211" t="s">
        <v>1826</v>
      </c>
      <c r="B15" s="263">
        <f>SUM(C15+D15)</f>
        <v>0</v>
      </c>
      <c r="C15" s="898"/>
      <c r="D15" s="898"/>
      <c r="E15" s="898"/>
      <c r="F15" s="898"/>
      <c r="G15" s="898"/>
      <c r="H15" s="898"/>
      <c r="I15" s="898"/>
      <c r="J15" s="898"/>
      <c r="K15" s="898"/>
      <c r="L15" s="898"/>
      <c r="M15" s="898"/>
      <c r="N15" s="898"/>
      <c r="O15" s="898"/>
      <c r="P15" s="898"/>
      <c r="Q15" s="898"/>
      <c r="R15" s="440">
        <f>SUM(E15:Q15)</f>
        <v>0</v>
      </c>
      <c r="S15" s="1203"/>
      <c r="T15" s="1203"/>
      <c r="U15" s="1202"/>
    </row>
    <row r="16" spans="1:21" s="106" customFormat="1">
      <c r="A16" s="105" t="s">
        <v>1827</v>
      </c>
      <c r="B16" s="1201"/>
      <c r="C16" s="1201"/>
      <c r="D16" s="1201"/>
      <c r="E16" s="264"/>
      <c r="F16" s="264"/>
      <c r="G16" s="264"/>
      <c r="H16" s="264"/>
      <c r="I16" s="264"/>
      <c r="J16" s="264"/>
      <c r="K16" s="264"/>
      <c r="L16" s="264"/>
      <c r="M16" s="264"/>
      <c r="N16" s="264"/>
      <c r="O16" s="264"/>
      <c r="P16" s="264"/>
      <c r="Q16" s="264"/>
      <c r="R16" s="264"/>
      <c r="S16" s="1201"/>
      <c r="T16" s="1201"/>
      <c r="U16" s="1202"/>
    </row>
    <row r="17" spans="1:21" s="106" customFormat="1">
      <c r="A17" s="207" t="s">
        <v>1828</v>
      </c>
      <c r="B17" s="263">
        <f t="shared" ref="B17:B26" si="3">SUM(C17+D17)</f>
        <v>0</v>
      </c>
      <c r="C17" s="898"/>
      <c r="D17" s="898"/>
      <c r="E17" s="898"/>
      <c r="F17" s="898"/>
      <c r="G17" s="898"/>
      <c r="H17" s="898"/>
      <c r="I17" s="898"/>
      <c r="J17" s="898"/>
      <c r="K17" s="898"/>
      <c r="L17" s="898"/>
      <c r="M17" s="898"/>
      <c r="N17" s="898"/>
      <c r="O17" s="898"/>
      <c r="P17" s="898"/>
      <c r="Q17" s="898"/>
      <c r="R17" s="440">
        <f>SUM(E17:Q17)</f>
        <v>0</v>
      </c>
      <c r="S17" s="898"/>
      <c r="T17" s="898"/>
      <c r="U17" s="1202"/>
    </row>
    <row r="18" spans="1:21" s="106" customFormat="1">
      <c r="A18" s="207" t="s">
        <v>1829</v>
      </c>
      <c r="B18" s="263">
        <f t="shared" si="3"/>
        <v>0</v>
      </c>
      <c r="C18" s="898"/>
      <c r="D18" s="898"/>
      <c r="E18" s="898"/>
      <c r="F18" s="898"/>
      <c r="G18" s="898"/>
      <c r="H18" s="898"/>
      <c r="I18" s="898"/>
      <c r="J18" s="898"/>
      <c r="K18" s="898"/>
      <c r="L18" s="898"/>
      <c r="M18" s="898"/>
      <c r="N18" s="898"/>
      <c r="O18" s="898"/>
      <c r="P18" s="898"/>
      <c r="Q18" s="898"/>
      <c r="R18" s="440">
        <f>SUM(E18:Q18)</f>
        <v>0</v>
      </c>
      <c r="S18" s="898"/>
      <c r="T18" s="898"/>
      <c r="U18" s="1202"/>
    </row>
    <row r="19" spans="1:21" s="106" customFormat="1">
      <c r="A19" s="207" t="s">
        <v>1830</v>
      </c>
      <c r="B19" s="263">
        <f t="shared" si="3"/>
        <v>0</v>
      </c>
      <c r="C19" s="898"/>
      <c r="D19" s="898"/>
      <c r="E19" s="898"/>
      <c r="F19" s="898"/>
      <c r="G19" s="898"/>
      <c r="H19" s="898"/>
      <c r="I19" s="898"/>
      <c r="J19" s="898"/>
      <c r="K19" s="898"/>
      <c r="L19" s="898"/>
      <c r="M19" s="898"/>
      <c r="N19" s="898"/>
      <c r="O19" s="898"/>
      <c r="P19" s="898"/>
      <c r="Q19" s="898"/>
      <c r="R19" s="440">
        <f>SUM(E19:Q19)</f>
        <v>0</v>
      </c>
      <c r="S19" s="898"/>
      <c r="T19" s="898"/>
      <c r="U19" s="1202"/>
    </row>
    <row r="20" spans="1:21" s="106" customFormat="1">
      <c r="A20" s="207" t="s">
        <v>1831</v>
      </c>
      <c r="B20" s="263">
        <f t="shared" si="3"/>
        <v>0</v>
      </c>
      <c r="C20" s="898"/>
      <c r="D20" s="898"/>
      <c r="E20" s="898"/>
      <c r="F20" s="898"/>
      <c r="G20" s="898"/>
      <c r="H20" s="898"/>
      <c r="I20" s="898"/>
      <c r="J20" s="898"/>
      <c r="K20" s="898"/>
      <c r="L20" s="898"/>
      <c r="M20" s="898"/>
      <c r="N20" s="898"/>
      <c r="O20" s="898"/>
      <c r="P20" s="898"/>
      <c r="Q20" s="898"/>
      <c r="R20" s="440">
        <f t="shared" ref="R20:R27" si="4">SUM(E20:Q20)</f>
        <v>0</v>
      </c>
      <c r="S20" s="898"/>
      <c r="T20" s="898"/>
      <c r="U20" s="1202"/>
    </row>
    <row r="21" spans="1:21" s="106" customFormat="1">
      <c r="A21" s="207" t="s">
        <v>1832</v>
      </c>
      <c r="B21" s="263">
        <f t="shared" si="3"/>
        <v>0</v>
      </c>
      <c r="C21" s="898"/>
      <c r="D21" s="898"/>
      <c r="E21" s="898"/>
      <c r="F21" s="898"/>
      <c r="G21" s="898"/>
      <c r="H21" s="898"/>
      <c r="I21" s="898"/>
      <c r="J21" s="898"/>
      <c r="K21" s="898"/>
      <c r="L21" s="898"/>
      <c r="M21" s="898"/>
      <c r="N21" s="898"/>
      <c r="O21" s="898"/>
      <c r="P21" s="898"/>
      <c r="Q21" s="898"/>
      <c r="R21" s="440">
        <f t="shared" si="4"/>
        <v>0</v>
      </c>
      <c r="S21" s="898"/>
      <c r="T21" s="898"/>
      <c r="U21" s="1202"/>
    </row>
    <row r="22" spans="1:21" s="106" customFormat="1">
      <c r="A22" s="207" t="s">
        <v>1833</v>
      </c>
      <c r="B22" s="263">
        <f t="shared" si="3"/>
        <v>0</v>
      </c>
      <c r="C22" s="898"/>
      <c r="D22" s="898"/>
      <c r="E22" s="898"/>
      <c r="F22" s="898"/>
      <c r="G22" s="898"/>
      <c r="H22" s="898"/>
      <c r="I22" s="898"/>
      <c r="J22" s="898"/>
      <c r="K22" s="898"/>
      <c r="L22" s="898"/>
      <c r="M22" s="898"/>
      <c r="N22" s="898"/>
      <c r="O22" s="898"/>
      <c r="P22" s="898"/>
      <c r="Q22" s="898"/>
      <c r="R22" s="440">
        <f t="shared" si="4"/>
        <v>0</v>
      </c>
      <c r="S22" s="898"/>
      <c r="T22" s="898"/>
      <c r="U22" s="1202"/>
    </row>
    <row r="23" spans="1:21" s="106" customFormat="1">
      <c r="A23" s="207" t="s">
        <v>1834</v>
      </c>
      <c r="B23" s="263">
        <f t="shared" si="3"/>
        <v>0</v>
      </c>
      <c r="C23" s="898"/>
      <c r="D23" s="898"/>
      <c r="E23" s="898"/>
      <c r="F23" s="898"/>
      <c r="G23" s="898"/>
      <c r="H23" s="898"/>
      <c r="I23" s="898"/>
      <c r="J23" s="898"/>
      <c r="K23" s="898"/>
      <c r="L23" s="898"/>
      <c r="M23" s="898"/>
      <c r="N23" s="898"/>
      <c r="O23" s="898"/>
      <c r="P23" s="898"/>
      <c r="Q23" s="898"/>
      <c r="R23" s="440">
        <f t="shared" si="4"/>
        <v>0</v>
      </c>
      <c r="S23" s="898"/>
      <c r="T23" s="898"/>
      <c r="U23" s="1202"/>
    </row>
    <row r="24" spans="1:21" s="106" customFormat="1">
      <c r="A24" s="433" t="s">
        <v>1835</v>
      </c>
      <c r="B24" s="263">
        <f t="shared" si="3"/>
        <v>0</v>
      </c>
      <c r="C24" s="898"/>
      <c r="D24" s="898"/>
      <c r="E24" s="898"/>
      <c r="F24" s="898"/>
      <c r="G24" s="898"/>
      <c r="H24" s="898"/>
      <c r="I24" s="898"/>
      <c r="J24" s="898"/>
      <c r="K24" s="898"/>
      <c r="L24" s="898"/>
      <c r="M24" s="898"/>
      <c r="N24" s="898"/>
      <c r="O24" s="898"/>
      <c r="P24" s="898"/>
      <c r="Q24" s="898"/>
      <c r="R24" s="440">
        <f t="shared" si="4"/>
        <v>0</v>
      </c>
      <c r="S24" s="898"/>
      <c r="T24" s="898"/>
      <c r="U24" s="1202"/>
    </row>
    <row r="25" spans="1:21" s="106" customFormat="1">
      <c r="A25" s="1072" t="s">
        <v>1836</v>
      </c>
      <c r="B25" s="263">
        <f t="shared" si="3"/>
        <v>0</v>
      </c>
      <c r="C25" s="898"/>
      <c r="D25" s="898"/>
      <c r="E25" s="898"/>
      <c r="F25" s="898"/>
      <c r="G25" s="898"/>
      <c r="H25" s="898"/>
      <c r="I25" s="898"/>
      <c r="J25" s="898"/>
      <c r="K25" s="898"/>
      <c r="L25" s="898"/>
      <c r="M25" s="898"/>
      <c r="N25" s="898"/>
      <c r="O25" s="898"/>
      <c r="P25" s="898"/>
      <c r="Q25" s="898"/>
      <c r="R25" s="440">
        <f t="shared" si="4"/>
        <v>0</v>
      </c>
      <c r="S25" s="898"/>
      <c r="T25" s="898"/>
      <c r="U25" s="1202"/>
    </row>
    <row r="26" spans="1:21" s="106" customFormat="1" ht="12">
      <c r="A26" s="107" t="s">
        <v>1837</v>
      </c>
      <c r="B26" s="263">
        <f t="shared" si="3"/>
        <v>0</v>
      </c>
      <c r="C26" s="263">
        <f>SUM(C17:C25)</f>
        <v>0</v>
      </c>
      <c r="D26" s="263">
        <f t="shared" ref="D26:Q26" si="5">SUM(D17:D25)</f>
        <v>0</v>
      </c>
      <c r="E26" s="263">
        <f t="shared" si="5"/>
        <v>0</v>
      </c>
      <c r="F26" s="263">
        <f t="shared" si="5"/>
        <v>0</v>
      </c>
      <c r="G26" s="263">
        <f t="shared" si="5"/>
        <v>0</v>
      </c>
      <c r="H26" s="263">
        <f t="shared" si="5"/>
        <v>0</v>
      </c>
      <c r="I26" s="263">
        <f t="shared" si="5"/>
        <v>0</v>
      </c>
      <c r="J26" s="263">
        <f t="shared" si="5"/>
        <v>0</v>
      </c>
      <c r="K26" s="263">
        <f t="shared" si="5"/>
        <v>0</v>
      </c>
      <c r="L26" s="263">
        <f t="shared" si="5"/>
        <v>0</v>
      </c>
      <c r="M26" s="263">
        <f t="shared" si="5"/>
        <v>0</v>
      </c>
      <c r="N26" s="263">
        <f t="shared" si="5"/>
        <v>0</v>
      </c>
      <c r="O26" s="263">
        <f t="shared" si="5"/>
        <v>0</v>
      </c>
      <c r="P26" s="263">
        <f t="shared" si="5"/>
        <v>0</v>
      </c>
      <c r="Q26" s="263">
        <f t="shared" si="5"/>
        <v>0</v>
      </c>
      <c r="R26" s="263">
        <f>SUM(R17:R25)</f>
        <v>0</v>
      </c>
      <c r="S26" s="108">
        <f>SUM(S17:S25)</f>
        <v>0</v>
      </c>
      <c r="T26" s="108">
        <f>SUM(T17:T25)</f>
        <v>0</v>
      </c>
      <c r="U26" s="1202"/>
    </row>
    <row r="27" spans="1:21" s="106" customFormat="1" ht="12">
      <c r="A27" s="107" t="s">
        <v>1838</v>
      </c>
      <c r="B27" s="263">
        <f>SUM(C27:D27)</f>
        <v>0</v>
      </c>
      <c r="C27" s="898"/>
      <c r="D27" s="898"/>
      <c r="E27" s="898"/>
      <c r="F27" s="898"/>
      <c r="G27" s="898"/>
      <c r="H27" s="898"/>
      <c r="I27" s="898"/>
      <c r="J27" s="898"/>
      <c r="K27" s="898"/>
      <c r="L27" s="898"/>
      <c r="M27" s="898"/>
      <c r="N27" s="898"/>
      <c r="O27" s="898"/>
      <c r="P27" s="898"/>
      <c r="Q27" s="898"/>
      <c r="R27" s="440">
        <f t="shared" si="4"/>
        <v>0</v>
      </c>
      <c r="S27" s="898"/>
      <c r="T27" s="898"/>
      <c r="U27" s="1202"/>
    </row>
    <row r="28" spans="1:21" s="106" customFormat="1">
      <c r="A28" s="105" t="s">
        <v>1839</v>
      </c>
      <c r="B28" s="1201"/>
      <c r="C28" s="1201"/>
      <c r="D28" s="1201"/>
      <c r="E28" s="264"/>
      <c r="F28" s="264"/>
      <c r="G28" s="264"/>
      <c r="H28" s="264"/>
      <c r="I28" s="264"/>
      <c r="J28" s="264"/>
      <c r="K28" s="264"/>
      <c r="L28" s="264"/>
      <c r="M28" s="264"/>
      <c r="N28" s="264"/>
      <c r="O28" s="264"/>
      <c r="P28" s="264"/>
      <c r="Q28" s="264"/>
      <c r="R28" s="264"/>
      <c r="S28" s="1201"/>
      <c r="T28" s="1201"/>
      <c r="U28" s="1202"/>
    </row>
    <row r="29" spans="1:21" s="106" customFormat="1">
      <c r="A29" s="207" t="s">
        <v>1828</v>
      </c>
      <c r="B29" s="263">
        <f t="shared" ref="B29:B38" si="6">SUM(C29+D29)</f>
        <v>3350461</v>
      </c>
      <c r="C29" s="898">
        <v>3350461</v>
      </c>
      <c r="D29" s="898"/>
      <c r="E29" s="898">
        <f>B29</f>
        <v>3350461</v>
      </c>
      <c r="F29" s="898"/>
      <c r="G29" s="898"/>
      <c r="H29" s="898"/>
      <c r="I29" s="898"/>
      <c r="J29" s="898"/>
      <c r="K29" s="898"/>
      <c r="L29" s="898"/>
      <c r="M29" s="898"/>
      <c r="N29" s="898"/>
      <c r="O29" s="898"/>
      <c r="P29" s="898"/>
      <c r="Q29" s="898"/>
      <c r="R29" s="440">
        <f t="shared" ref="R29:R37" si="7">SUM(E29:Q29)</f>
        <v>3350461</v>
      </c>
      <c r="S29" s="898">
        <v>3303700</v>
      </c>
      <c r="T29" s="898"/>
      <c r="U29" s="1202"/>
    </row>
    <row r="30" spans="1:21" s="106" customFormat="1">
      <c r="A30" s="207" t="s">
        <v>1829</v>
      </c>
      <c r="B30" s="263">
        <f t="shared" si="6"/>
        <v>36197204</v>
      </c>
      <c r="C30" s="898">
        <f>36197204-D30</f>
        <v>36197204</v>
      </c>
      <c r="D30" s="898"/>
      <c r="E30" s="898">
        <f>B30-SUM(F30:H30)</f>
        <v>10909554</v>
      </c>
      <c r="F30" s="898">
        <f>F108</f>
        <v>14037650</v>
      </c>
      <c r="G30" s="898">
        <f>G108</f>
        <v>3600000</v>
      </c>
      <c r="H30" s="898">
        <f>H108</f>
        <v>7650000</v>
      </c>
      <c r="I30" s="898"/>
      <c r="J30" s="898"/>
      <c r="K30" s="898"/>
      <c r="L30" s="898"/>
      <c r="M30" s="898"/>
      <c r="N30" s="898"/>
      <c r="O30" s="898"/>
      <c r="P30" s="898"/>
      <c r="Q30" s="898"/>
      <c r="R30" s="440">
        <f t="shared" si="7"/>
        <v>36197204</v>
      </c>
      <c r="S30" s="898">
        <v>35462684</v>
      </c>
      <c r="T30" s="898"/>
      <c r="U30" s="1202"/>
    </row>
    <row r="31" spans="1:21" s="106" customFormat="1">
      <c r="A31" s="207" t="s">
        <v>1830</v>
      </c>
      <c r="B31" s="263">
        <f t="shared" si="6"/>
        <v>1630262</v>
      </c>
      <c r="C31" s="898">
        <f>1630262-D31</f>
        <v>1630262</v>
      </c>
      <c r="D31" s="898"/>
      <c r="E31" s="898">
        <f>B31</f>
        <v>1630262</v>
      </c>
      <c r="F31" s="898"/>
      <c r="G31" s="898"/>
      <c r="H31" s="898"/>
      <c r="I31" s="898"/>
      <c r="J31" s="898"/>
      <c r="K31" s="898"/>
      <c r="L31" s="898"/>
      <c r="M31" s="898"/>
      <c r="N31" s="898"/>
      <c r="O31" s="898"/>
      <c r="P31" s="898"/>
      <c r="Q31" s="898"/>
      <c r="R31" s="440">
        <f t="shared" si="7"/>
        <v>1630262</v>
      </c>
      <c r="S31" s="898">
        <v>1630262</v>
      </c>
      <c r="T31" s="898"/>
      <c r="U31" s="1202"/>
    </row>
    <row r="32" spans="1:21" s="106" customFormat="1">
      <c r="A32" s="207" t="s">
        <v>1831</v>
      </c>
      <c r="B32" s="263">
        <f t="shared" si="6"/>
        <v>812795.5</v>
      </c>
      <c r="C32" s="898">
        <f>(1625591/2)-D32</f>
        <v>812795.5</v>
      </c>
      <c r="D32" s="898"/>
      <c r="E32" s="898">
        <f t="shared" ref="E32:E35" si="8">B32</f>
        <v>812795.5</v>
      </c>
      <c r="F32" s="898"/>
      <c r="G32" s="898"/>
      <c r="H32" s="898"/>
      <c r="I32" s="898"/>
      <c r="J32" s="898"/>
      <c r="K32" s="898"/>
      <c r="L32" s="898"/>
      <c r="M32" s="898"/>
      <c r="N32" s="898"/>
      <c r="O32" s="898"/>
      <c r="P32" s="898"/>
      <c r="Q32" s="898"/>
      <c r="R32" s="440">
        <f t="shared" si="7"/>
        <v>812795.5</v>
      </c>
      <c r="S32" s="898">
        <v>797323</v>
      </c>
      <c r="T32" s="898"/>
      <c r="U32" s="1202"/>
    </row>
    <row r="33" spans="1:21" s="106" customFormat="1">
      <c r="A33" s="207" t="s">
        <v>1832</v>
      </c>
      <c r="B33" s="263">
        <f t="shared" si="6"/>
        <v>812795.5</v>
      </c>
      <c r="C33" s="898">
        <f>(1625591/2)-D33</f>
        <v>812795.5</v>
      </c>
      <c r="D33" s="898"/>
      <c r="E33" s="898">
        <f t="shared" si="8"/>
        <v>812795.5</v>
      </c>
      <c r="F33" s="898"/>
      <c r="G33" s="898"/>
      <c r="H33" s="898"/>
      <c r="I33" s="898"/>
      <c r="J33" s="898"/>
      <c r="K33" s="898"/>
      <c r="L33" s="898"/>
      <c r="M33" s="898"/>
      <c r="N33" s="898"/>
      <c r="O33" s="898"/>
      <c r="P33" s="898"/>
      <c r="Q33" s="898"/>
      <c r="R33" s="440">
        <f t="shared" si="7"/>
        <v>812795.5</v>
      </c>
      <c r="S33" s="898">
        <v>797323</v>
      </c>
      <c r="T33" s="898"/>
      <c r="U33" s="1202"/>
    </row>
    <row r="34" spans="1:21" s="106" customFormat="1">
      <c r="A34" s="207" t="s">
        <v>1833</v>
      </c>
      <c r="B34" s="263">
        <f t="shared" si="6"/>
        <v>0</v>
      </c>
      <c r="C34" s="898"/>
      <c r="D34" s="898"/>
      <c r="E34" s="898"/>
      <c r="F34" s="898"/>
      <c r="G34" s="898"/>
      <c r="H34" s="898"/>
      <c r="I34" s="898"/>
      <c r="J34" s="898"/>
      <c r="K34" s="898"/>
      <c r="L34" s="898"/>
      <c r="M34" s="898"/>
      <c r="N34" s="898"/>
      <c r="O34" s="898"/>
      <c r="P34" s="898"/>
      <c r="Q34" s="898"/>
      <c r="R34" s="440">
        <f t="shared" si="7"/>
        <v>0</v>
      </c>
      <c r="S34" s="898">
        <v>0</v>
      </c>
      <c r="T34" s="898"/>
      <c r="U34" s="1202"/>
    </row>
    <row r="35" spans="1:21" s="106" customFormat="1">
      <c r="A35" s="207" t="s">
        <v>1834</v>
      </c>
      <c r="B35" s="263">
        <f t="shared" si="6"/>
        <v>469569</v>
      </c>
      <c r="C35" s="898">
        <f>469569-D35</f>
        <v>469569</v>
      </c>
      <c r="D35" s="898"/>
      <c r="E35" s="898">
        <f t="shared" si="8"/>
        <v>469569</v>
      </c>
      <c r="F35" s="898"/>
      <c r="G35" s="898"/>
      <c r="H35" s="898"/>
      <c r="I35" s="898"/>
      <c r="J35" s="898"/>
      <c r="K35" s="898"/>
      <c r="L35" s="898"/>
      <c r="M35" s="898"/>
      <c r="N35" s="898"/>
      <c r="O35" s="898"/>
      <c r="P35" s="898"/>
      <c r="Q35" s="898"/>
      <c r="R35" s="440">
        <f t="shared" si="7"/>
        <v>469569</v>
      </c>
      <c r="S35" s="898">
        <v>461489.28</v>
      </c>
      <c r="T35" s="898"/>
      <c r="U35" s="1202"/>
    </row>
    <row r="36" spans="1:21" s="106" customFormat="1">
      <c r="A36" s="207" t="s">
        <v>1835</v>
      </c>
      <c r="B36" s="263">
        <f t="shared" si="6"/>
        <v>360000</v>
      </c>
      <c r="C36" s="898">
        <v>360000</v>
      </c>
      <c r="D36" s="898"/>
      <c r="E36" s="898">
        <f>B36</f>
        <v>360000</v>
      </c>
      <c r="F36" s="898"/>
      <c r="G36" s="898"/>
      <c r="H36" s="898"/>
      <c r="I36" s="898"/>
      <c r="J36" s="898"/>
      <c r="K36" s="898"/>
      <c r="L36" s="898"/>
      <c r="M36" s="898"/>
      <c r="N36" s="898"/>
      <c r="O36" s="898"/>
      <c r="P36" s="898"/>
      <c r="Q36" s="898"/>
      <c r="R36" s="440">
        <f t="shared" si="7"/>
        <v>360000</v>
      </c>
      <c r="S36" s="898">
        <v>356616</v>
      </c>
      <c r="T36" s="898"/>
      <c r="U36" s="1202"/>
    </row>
    <row r="37" spans="1:21" s="106" customFormat="1">
      <c r="A37" s="1072" t="s">
        <v>1840</v>
      </c>
      <c r="B37" s="263">
        <f t="shared" si="6"/>
        <v>65000</v>
      </c>
      <c r="C37" s="898">
        <v>65000</v>
      </c>
      <c r="D37" s="898"/>
      <c r="E37" s="898">
        <f>B37</f>
        <v>65000</v>
      </c>
      <c r="F37" s="898"/>
      <c r="G37" s="898"/>
      <c r="H37" s="898"/>
      <c r="I37" s="898"/>
      <c r="J37" s="898"/>
      <c r="K37" s="898"/>
      <c r="L37" s="898"/>
      <c r="M37" s="898"/>
      <c r="N37" s="898"/>
      <c r="O37" s="898"/>
      <c r="P37" s="898"/>
      <c r="Q37" s="898"/>
      <c r="R37" s="440">
        <f t="shared" si="7"/>
        <v>65000</v>
      </c>
      <c r="S37" s="898">
        <v>63778</v>
      </c>
      <c r="T37" s="898"/>
      <c r="U37" s="1202"/>
    </row>
    <row r="38" spans="1:21" s="106" customFormat="1" ht="12">
      <c r="A38" s="107" t="s">
        <v>1841</v>
      </c>
      <c r="B38" s="263">
        <f t="shared" si="6"/>
        <v>43698087</v>
      </c>
      <c r="C38" s="263">
        <f>SUM(C29:C37)</f>
        <v>43698087</v>
      </c>
      <c r="D38" s="263">
        <f t="shared" ref="D38:Q38" si="9">SUM(D29:D37)</f>
        <v>0</v>
      </c>
      <c r="E38" s="263">
        <f t="shared" si="9"/>
        <v>18410437</v>
      </c>
      <c r="F38" s="263">
        <f t="shared" si="9"/>
        <v>14037650</v>
      </c>
      <c r="G38" s="263">
        <f t="shared" si="9"/>
        <v>3600000</v>
      </c>
      <c r="H38" s="263">
        <f t="shared" si="9"/>
        <v>7650000</v>
      </c>
      <c r="I38" s="263">
        <f t="shared" si="9"/>
        <v>0</v>
      </c>
      <c r="J38" s="263">
        <f t="shared" si="9"/>
        <v>0</v>
      </c>
      <c r="K38" s="263">
        <f t="shared" si="9"/>
        <v>0</v>
      </c>
      <c r="L38" s="263">
        <f t="shared" si="9"/>
        <v>0</v>
      </c>
      <c r="M38" s="263">
        <f t="shared" si="9"/>
        <v>0</v>
      </c>
      <c r="N38" s="263">
        <f t="shared" si="9"/>
        <v>0</v>
      </c>
      <c r="O38" s="263">
        <f t="shared" si="9"/>
        <v>0</v>
      </c>
      <c r="P38" s="263">
        <f t="shared" si="9"/>
        <v>0</v>
      </c>
      <c r="Q38" s="263">
        <f t="shared" si="9"/>
        <v>0</v>
      </c>
      <c r="R38" s="263">
        <f>SUM(R29:R37)</f>
        <v>43698087</v>
      </c>
      <c r="S38" s="108">
        <f>SUM(S29:S37)</f>
        <v>42873175.280000001</v>
      </c>
      <c r="T38" s="108">
        <f>SUM(T29:T37)</f>
        <v>0</v>
      </c>
      <c r="U38" s="1202"/>
    </row>
    <row r="39" spans="1:21" s="106" customFormat="1">
      <c r="A39" s="105" t="s">
        <v>1842</v>
      </c>
      <c r="B39" s="1201"/>
      <c r="C39" s="1201"/>
      <c r="D39" s="1201"/>
      <c r="E39" s="264"/>
      <c r="F39" s="264"/>
      <c r="G39" s="264"/>
      <c r="H39" s="264"/>
      <c r="I39" s="264"/>
      <c r="J39" s="264"/>
      <c r="K39" s="264"/>
      <c r="L39" s="264"/>
      <c r="M39" s="264"/>
      <c r="N39" s="264"/>
      <c r="O39" s="264"/>
      <c r="P39" s="264"/>
      <c r="Q39" s="264"/>
      <c r="R39" s="264"/>
      <c r="S39" s="1201"/>
      <c r="T39" s="1201"/>
      <c r="U39" s="1202"/>
    </row>
    <row r="40" spans="1:21" s="106" customFormat="1">
      <c r="A40" s="207" t="s">
        <v>1843</v>
      </c>
      <c r="B40" s="263">
        <f>SUM(C40+D40)</f>
        <v>749000</v>
      </c>
      <c r="C40" s="898">
        <f>1109000-C41</f>
        <v>749000</v>
      </c>
      <c r="D40" s="898"/>
      <c r="E40" s="898">
        <f>B40</f>
        <v>749000</v>
      </c>
      <c r="F40" s="898"/>
      <c r="G40" s="898"/>
      <c r="H40" s="898"/>
      <c r="I40" s="898"/>
      <c r="J40" s="898"/>
      <c r="K40" s="898"/>
      <c r="L40" s="898"/>
      <c r="M40" s="898"/>
      <c r="N40" s="898"/>
      <c r="O40" s="898"/>
      <c r="P40" s="898"/>
      <c r="Q40" s="898"/>
      <c r="R40" s="440">
        <f>SUM(E40:Q40)</f>
        <v>749000</v>
      </c>
      <c r="S40" s="898">
        <f>703764+35300</f>
        <v>739064</v>
      </c>
      <c r="T40" s="898"/>
      <c r="U40" s="1202"/>
    </row>
    <row r="41" spans="1:21" s="106" customFormat="1">
      <c r="A41" s="207" t="s">
        <v>1844</v>
      </c>
      <c r="B41" s="263">
        <f>SUM(C41+D41)</f>
        <v>360000</v>
      </c>
      <c r="C41" s="898">
        <v>360000</v>
      </c>
      <c r="D41" s="898"/>
      <c r="E41" s="898">
        <f>B41</f>
        <v>360000</v>
      </c>
      <c r="F41" s="898"/>
      <c r="G41" s="898"/>
      <c r="H41" s="898"/>
      <c r="I41" s="898"/>
      <c r="J41" s="898"/>
      <c r="K41" s="898"/>
      <c r="L41" s="898"/>
      <c r="M41" s="898"/>
      <c r="N41" s="898"/>
      <c r="O41" s="898"/>
      <c r="P41" s="898"/>
      <c r="Q41" s="898"/>
      <c r="R41" s="440">
        <f>SUM(E41:Q41)</f>
        <v>360000</v>
      </c>
      <c r="S41" s="898">
        <v>356616</v>
      </c>
      <c r="T41" s="898"/>
      <c r="U41" s="1202"/>
    </row>
    <row r="42" spans="1:21" s="106" customFormat="1" ht="12">
      <c r="A42" s="107" t="s">
        <v>1845</v>
      </c>
      <c r="B42" s="263">
        <f>SUM(C42:D42)</f>
        <v>1109000</v>
      </c>
      <c r="C42" s="263">
        <f>SUM(C39:C41)</f>
        <v>1109000</v>
      </c>
      <c r="D42" s="263">
        <f>SUM(D39:D41)</f>
        <v>0</v>
      </c>
      <c r="E42" s="263">
        <f t="shared" ref="E42:T42" si="10">SUM(E40:E41)</f>
        <v>1109000</v>
      </c>
      <c r="F42" s="263">
        <f t="shared" si="10"/>
        <v>0</v>
      </c>
      <c r="G42" s="263">
        <f t="shared" si="10"/>
        <v>0</v>
      </c>
      <c r="H42" s="263">
        <f t="shared" si="10"/>
        <v>0</v>
      </c>
      <c r="I42" s="263">
        <f t="shared" si="10"/>
        <v>0</v>
      </c>
      <c r="J42" s="263">
        <f t="shared" si="10"/>
        <v>0</v>
      </c>
      <c r="K42" s="263">
        <f t="shared" si="10"/>
        <v>0</v>
      </c>
      <c r="L42" s="263">
        <f t="shared" si="10"/>
        <v>0</v>
      </c>
      <c r="M42" s="263">
        <f t="shared" si="10"/>
        <v>0</v>
      </c>
      <c r="N42" s="263">
        <f t="shared" si="10"/>
        <v>0</v>
      </c>
      <c r="O42" s="263">
        <f t="shared" si="10"/>
        <v>0</v>
      </c>
      <c r="P42" s="263">
        <f t="shared" si="10"/>
        <v>0</v>
      </c>
      <c r="Q42" s="263">
        <f t="shared" si="10"/>
        <v>0</v>
      </c>
      <c r="R42" s="263">
        <f>SUM(R40:R41)</f>
        <v>1109000</v>
      </c>
      <c r="S42" s="108">
        <f t="shared" si="10"/>
        <v>1095680</v>
      </c>
      <c r="T42" s="108">
        <f t="shared" si="10"/>
        <v>0</v>
      </c>
      <c r="U42" s="1202"/>
    </row>
    <row r="43" spans="1:21" s="106" customFormat="1" ht="12">
      <c r="A43" s="107" t="s">
        <v>1846</v>
      </c>
      <c r="B43" s="263">
        <f>SUM(C43:D43)</f>
        <v>806500</v>
      </c>
      <c r="C43" s="898">
        <v>806500</v>
      </c>
      <c r="D43" s="898"/>
      <c r="E43" s="898">
        <f>B43</f>
        <v>806500</v>
      </c>
      <c r="F43" s="898"/>
      <c r="G43" s="898"/>
      <c r="H43" s="898"/>
      <c r="I43" s="898"/>
      <c r="J43" s="898"/>
      <c r="K43" s="898"/>
      <c r="L43" s="898"/>
      <c r="M43" s="898"/>
      <c r="N43" s="898"/>
      <c r="O43" s="898"/>
      <c r="P43" s="898"/>
      <c r="Q43" s="898"/>
      <c r="R43" s="440">
        <f>SUM(E43:Q43)</f>
        <v>806500</v>
      </c>
      <c r="S43" s="898">
        <v>798702.7</v>
      </c>
      <c r="T43" s="898"/>
      <c r="U43" s="1202"/>
    </row>
    <row r="44" spans="1:21" s="106" customFormat="1">
      <c r="A44" s="105" t="s">
        <v>1847</v>
      </c>
      <c r="B44" s="1201"/>
      <c r="C44" s="1201"/>
      <c r="D44" s="1201"/>
      <c r="E44" s="264"/>
      <c r="F44" s="264"/>
      <c r="G44" s="264"/>
      <c r="H44" s="264"/>
      <c r="I44" s="264"/>
      <c r="J44" s="264"/>
      <c r="K44" s="264"/>
      <c r="L44" s="264"/>
      <c r="M44" s="264"/>
      <c r="N44" s="264"/>
      <c r="O44" s="264"/>
      <c r="P44" s="264"/>
      <c r="Q44" s="264"/>
      <c r="R44" s="264"/>
      <c r="S44" s="1201"/>
      <c r="T44" s="1201"/>
      <c r="U44" s="1202"/>
    </row>
    <row r="45" spans="1:21" s="106" customFormat="1">
      <c r="A45" s="207" t="s">
        <v>1848</v>
      </c>
      <c r="B45" s="263">
        <f t="shared" ref="B45:B53" si="11">SUM(C45+D45)</f>
        <v>7450000</v>
      </c>
      <c r="C45" s="898">
        <v>7450000</v>
      </c>
      <c r="D45" s="898"/>
      <c r="E45" s="898">
        <f>B45</f>
        <v>7450000</v>
      </c>
      <c r="F45" s="898"/>
      <c r="G45" s="898"/>
      <c r="H45" s="898"/>
      <c r="I45" s="898"/>
      <c r="J45" s="898"/>
      <c r="K45" s="898"/>
      <c r="L45" s="898"/>
      <c r="M45" s="898"/>
      <c r="N45" s="898"/>
      <c r="O45" s="898"/>
      <c r="P45" s="898"/>
      <c r="Q45" s="898"/>
      <c r="R45" s="440">
        <f t="shared" ref="R45:R53" si="12">SUM(E45:Q45)</f>
        <v>7450000</v>
      </c>
      <c r="S45" s="898">
        <v>4902304.38</v>
      </c>
      <c r="T45" s="898"/>
      <c r="U45" s="1202"/>
    </row>
    <row r="46" spans="1:21" s="106" customFormat="1">
      <c r="A46" s="207" t="s">
        <v>1849</v>
      </c>
      <c r="B46" s="263">
        <f t="shared" si="11"/>
        <v>350000</v>
      </c>
      <c r="C46" s="898">
        <v>350000</v>
      </c>
      <c r="D46" s="898"/>
      <c r="E46" s="898">
        <f t="shared" ref="E46:E52" si="13">B46</f>
        <v>350000</v>
      </c>
      <c r="F46" s="898"/>
      <c r="G46" s="898"/>
      <c r="H46" s="898"/>
      <c r="I46" s="898"/>
      <c r="J46" s="898"/>
      <c r="K46" s="898"/>
      <c r="L46" s="898"/>
      <c r="M46" s="898"/>
      <c r="N46" s="898"/>
      <c r="O46" s="898"/>
      <c r="P46" s="898"/>
      <c r="Q46" s="898"/>
      <c r="R46" s="440">
        <f t="shared" si="12"/>
        <v>350000</v>
      </c>
      <c r="S46" s="898">
        <v>265642</v>
      </c>
      <c r="T46" s="898"/>
      <c r="U46" s="1202"/>
    </row>
    <row r="47" spans="1:21" s="106" customFormat="1">
      <c r="A47" s="1204" t="s">
        <v>1850</v>
      </c>
      <c r="B47" s="263">
        <f t="shared" si="11"/>
        <v>0</v>
      </c>
      <c r="C47" s="898">
        <v>0</v>
      </c>
      <c r="D47" s="898"/>
      <c r="E47" s="898"/>
      <c r="F47" s="898"/>
      <c r="G47" s="898"/>
      <c r="H47" s="898"/>
      <c r="I47" s="898"/>
      <c r="J47" s="898"/>
      <c r="K47" s="898"/>
      <c r="L47" s="898"/>
      <c r="M47" s="898"/>
      <c r="N47" s="898"/>
      <c r="O47" s="898"/>
      <c r="P47" s="898"/>
      <c r="Q47" s="898"/>
      <c r="R47" s="440">
        <f t="shared" si="12"/>
        <v>0</v>
      </c>
      <c r="S47" s="898">
        <v>0</v>
      </c>
      <c r="T47" s="898"/>
      <c r="U47" s="1202"/>
    </row>
    <row r="48" spans="1:21" s="106" customFormat="1">
      <c r="A48" s="207" t="s">
        <v>1851</v>
      </c>
      <c r="B48" s="263">
        <f t="shared" si="11"/>
        <v>422654</v>
      </c>
      <c r="C48" s="898">
        <v>422654</v>
      </c>
      <c r="D48" s="898"/>
      <c r="E48" s="898">
        <f t="shared" si="13"/>
        <v>422654</v>
      </c>
      <c r="F48" s="898"/>
      <c r="G48" s="898"/>
      <c r="H48" s="898"/>
      <c r="I48" s="898"/>
      <c r="J48" s="898"/>
      <c r="K48" s="898"/>
      <c r="L48" s="898"/>
      <c r="M48" s="898"/>
      <c r="N48" s="898"/>
      <c r="O48" s="898"/>
      <c r="P48" s="898"/>
      <c r="Q48" s="898"/>
      <c r="R48" s="440">
        <f t="shared" si="12"/>
        <v>422654</v>
      </c>
      <c r="S48" s="898">
        <v>415228</v>
      </c>
      <c r="T48" s="898"/>
      <c r="U48" s="1202"/>
    </row>
    <row r="49" spans="1:21" s="106" customFormat="1">
      <c r="A49" s="207" t="s">
        <v>1852</v>
      </c>
      <c r="B49" s="263">
        <f t="shared" si="11"/>
        <v>246680</v>
      </c>
      <c r="C49" s="898">
        <v>246680</v>
      </c>
      <c r="D49" s="898"/>
      <c r="E49" s="898">
        <v>246680</v>
      </c>
      <c r="F49" s="898"/>
      <c r="G49" s="898"/>
      <c r="H49" s="898"/>
      <c r="I49" s="898"/>
      <c r="J49" s="898"/>
      <c r="K49" s="898"/>
      <c r="L49" s="898"/>
      <c r="M49" s="898"/>
      <c r="N49" s="898"/>
      <c r="O49" s="898"/>
      <c r="P49" s="898"/>
      <c r="Q49" s="898"/>
      <c r="R49" s="440">
        <f t="shared" si="12"/>
        <v>246680</v>
      </c>
      <c r="S49" s="898">
        <v>191862</v>
      </c>
      <c r="T49" s="898"/>
      <c r="U49" s="1202"/>
    </row>
    <row r="50" spans="1:21" s="106" customFormat="1">
      <c r="A50" s="207" t="s">
        <v>1853</v>
      </c>
      <c r="B50" s="263">
        <f t="shared" si="11"/>
        <v>185000</v>
      </c>
      <c r="C50" s="898">
        <v>185000</v>
      </c>
      <c r="D50" s="898"/>
      <c r="E50" s="898">
        <f t="shared" si="13"/>
        <v>185000</v>
      </c>
      <c r="F50" s="898"/>
      <c r="G50" s="898"/>
      <c r="H50" s="898"/>
      <c r="I50" s="898"/>
      <c r="J50" s="898"/>
      <c r="K50" s="898"/>
      <c r="L50" s="898"/>
      <c r="M50" s="898"/>
      <c r="N50" s="898"/>
      <c r="O50" s="898"/>
      <c r="P50" s="898"/>
      <c r="Q50" s="898"/>
      <c r="R50" s="440">
        <f t="shared" si="12"/>
        <v>185000</v>
      </c>
      <c r="S50" s="898">
        <v>181522</v>
      </c>
      <c r="T50" s="898"/>
      <c r="U50" s="1202"/>
    </row>
    <row r="51" spans="1:21" s="106" customFormat="1">
      <c r="A51" s="207" t="s">
        <v>1854</v>
      </c>
      <c r="B51" s="263">
        <f t="shared" si="11"/>
        <v>10000</v>
      </c>
      <c r="C51" s="898">
        <v>10000</v>
      </c>
      <c r="D51" s="898"/>
      <c r="E51" s="898">
        <f t="shared" si="13"/>
        <v>10000</v>
      </c>
      <c r="F51" s="898"/>
      <c r="G51" s="898"/>
      <c r="H51" s="898"/>
      <c r="I51" s="898"/>
      <c r="J51" s="898"/>
      <c r="K51" s="898"/>
      <c r="L51" s="898"/>
      <c r="M51" s="898"/>
      <c r="N51" s="898"/>
      <c r="O51" s="898"/>
      <c r="P51" s="898"/>
      <c r="Q51" s="898"/>
      <c r="R51" s="440">
        <f t="shared" si="12"/>
        <v>10000</v>
      </c>
      <c r="S51" s="898">
        <v>9812</v>
      </c>
      <c r="T51" s="898"/>
      <c r="U51" s="1202"/>
    </row>
    <row r="52" spans="1:21" s="106" customFormat="1">
      <c r="A52" s="207" t="s">
        <v>1855</v>
      </c>
      <c r="B52" s="263">
        <f t="shared" si="11"/>
        <v>1100000</v>
      </c>
      <c r="C52" s="898">
        <v>1100000</v>
      </c>
      <c r="D52" s="898"/>
      <c r="E52" s="898">
        <f t="shared" si="13"/>
        <v>1100000</v>
      </c>
      <c r="F52" s="898"/>
      <c r="G52" s="898"/>
      <c r="H52" s="898"/>
      <c r="I52" s="898"/>
      <c r="J52" s="898"/>
      <c r="K52" s="898"/>
      <c r="L52" s="898"/>
      <c r="M52" s="898"/>
      <c r="N52" s="898"/>
      <c r="O52" s="898"/>
      <c r="P52" s="898"/>
      <c r="Q52" s="898"/>
      <c r="R52" s="440">
        <f t="shared" si="12"/>
        <v>1100000</v>
      </c>
      <c r="S52" s="898">
        <v>1079320</v>
      </c>
      <c r="T52" s="898"/>
      <c r="U52" s="1202"/>
    </row>
    <row r="53" spans="1:21" s="106" customFormat="1">
      <c r="A53" s="1072" t="s">
        <v>1836</v>
      </c>
      <c r="B53" s="263">
        <f t="shared" si="11"/>
        <v>0</v>
      </c>
      <c r="C53" s="898">
        <v>0</v>
      </c>
      <c r="D53" s="898"/>
      <c r="E53" s="898"/>
      <c r="F53" s="898"/>
      <c r="G53" s="898"/>
      <c r="H53" s="898"/>
      <c r="I53" s="898"/>
      <c r="J53" s="898"/>
      <c r="K53" s="898"/>
      <c r="L53" s="898"/>
      <c r="M53" s="898"/>
      <c r="N53" s="898"/>
      <c r="O53" s="898"/>
      <c r="P53" s="898"/>
      <c r="Q53" s="898"/>
      <c r="R53" s="440">
        <f t="shared" si="12"/>
        <v>0</v>
      </c>
      <c r="S53" s="898"/>
      <c r="T53" s="898"/>
      <c r="U53" s="1202"/>
    </row>
    <row r="54" spans="1:21" s="110" customFormat="1" ht="12">
      <c r="A54" s="107" t="s">
        <v>1856</v>
      </c>
      <c r="B54" s="108">
        <f>SUM(C54:D54)</f>
        <v>9764334</v>
      </c>
      <c r="C54" s="108">
        <f t="shared" ref="C54:T54" si="14">SUM(C45:C53)</f>
        <v>9764334</v>
      </c>
      <c r="D54" s="108">
        <f t="shared" si="14"/>
        <v>0</v>
      </c>
      <c r="E54" s="108">
        <f t="shared" si="14"/>
        <v>9764334</v>
      </c>
      <c r="F54" s="108">
        <f t="shared" si="14"/>
        <v>0</v>
      </c>
      <c r="G54" s="108">
        <f t="shared" si="14"/>
        <v>0</v>
      </c>
      <c r="H54" s="108">
        <f t="shared" si="14"/>
        <v>0</v>
      </c>
      <c r="I54" s="108">
        <f t="shared" si="14"/>
        <v>0</v>
      </c>
      <c r="J54" s="108">
        <f t="shared" si="14"/>
        <v>0</v>
      </c>
      <c r="K54" s="108">
        <f t="shared" si="14"/>
        <v>0</v>
      </c>
      <c r="L54" s="108">
        <f t="shared" si="14"/>
        <v>0</v>
      </c>
      <c r="M54" s="108">
        <f t="shared" si="14"/>
        <v>0</v>
      </c>
      <c r="N54" s="108">
        <f t="shared" si="14"/>
        <v>0</v>
      </c>
      <c r="O54" s="108">
        <f t="shared" si="14"/>
        <v>0</v>
      </c>
      <c r="P54" s="108">
        <f t="shared" si="14"/>
        <v>0</v>
      </c>
      <c r="Q54" s="108">
        <f t="shared" si="14"/>
        <v>0</v>
      </c>
      <c r="R54" s="263">
        <f t="shared" si="14"/>
        <v>9764334</v>
      </c>
      <c r="S54" s="108">
        <f t="shared" si="14"/>
        <v>7045690.3799999999</v>
      </c>
      <c r="T54" s="108">
        <f t="shared" si="14"/>
        <v>0</v>
      </c>
      <c r="U54" s="109"/>
    </row>
    <row r="55" spans="1:21" s="106" customFormat="1">
      <c r="A55" s="105" t="s">
        <v>1419</v>
      </c>
      <c r="B55" s="1201"/>
      <c r="C55" s="1201"/>
      <c r="D55" s="1201"/>
      <c r="E55" s="264"/>
      <c r="F55" s="264"/>
      <c r="G55" s="264"/>
      <c r="H55" s="264"/>
      <c r="I55" s="264"/>
      <c r="J55" s="264"/>
      <c r="K55" s="264"/>
      <c r="L55" s="264"/>
      <c r="M55" s="264"/>
      <c r="N55" s="264"/>
      <c r="O55" s="264"/>
      <c r="P55" s="264"/>
      <c r="Q55" s="264"/>
      <c r="R55" s="264"/>
      <c r="S55" s="1201"/>
      <c r="T55" s="1201"/>
      <c r="U55" s="1202"/>
    </row>
    <row r="56" spans="1:21" s="106" customFormat="1">
      <c r="A56" s="207" t="s">
        <v>1857</v>
      </c>
      <c r="B56" s="263">
        <f t="shared" ref="B56:B61" si="15">SUM(C56+D56)</f>
        <v>150000</v>
      </c>
      <c r="C56" s="898">
        <v>150000</v>
      </c>
      <c r="D56" s="898"/>
      <c r="E56" s="898">
        <f>C56</f>
        <v>150000</v>
      </c>
      <c r="F56" s="898"/>
      <c r="G56" s="898"/>
      <c r="H56" s="898"/>
      <c r="I56" s="898"/>
      <c r="J56" s="898"/>
      <c r="K56" s="898"/>
      <c r="L56" s="898"/>
      <c r="M56" s="898"/>
      <c r="N56" s="898"/>
      <c r="O56" s="898"/>
      <c r="P56" s="898"/>
      <c r="Q56" s="898"/>
      <c r="R56" s="440">
        <f t="shared" ref="R56:R61" si="16">SUM(E56:Q56)</f>
        <v>150000</v>
      </c>
      <c r="S56" s="1203"/>
      <c r="T56" s="1203"/>
      <c r="U56" s="1202"/>
    </row>
    <row r="57" spans="1:21" s="137" customFormat="1">
      <c r="A57" s="1204" t="s">
        <v>1850</v>
      </c>
      <c r="B57" s="1205">
        <f t="shared" si="15"/>
        <v>0</v>
      </c>
      <c r="C57" s="1206"/>
      <c r="D57" s="1206"/>
      <c r="E57" s="1206"/>
      <c r="F57" s="1206"/>
      <c r="G57" s="1206"/>
      <c r="H57" s="1206"/>
      <c r="I57" s="1206"/>
      <c r="J57" s="1206"/>
      <c r="K57" s="1206"/>
      <c r="L57" s="1206"/>
      <c r="M57" s="1206"/>
      <c r="N57" s="1206"/>
      <c r="O57" s="1206"/>
      <c r="P57" s="1206"/>
      <c r="Q57" s="1206"/>
      <c r="R57" s="440">
        <f t="shared" si="16"/>
        <v>0</v>
      </c>
      <c r="S57" s="1207"/>
      <c r="T57" s="1207"/>
      <c r="U57" s="1208"/>
    </row>
    <row r="58" spans="1:21" s="106" customFormat="1">
      <c r="A58" s="207" t="s">
        <v>1853</v>
      </c>
      <c r="B58" s="263">
        <f t="shared" si="15"/>
        <v>23000</v>
      </c>
      <c r="C58" s="898">
        <v>23000</v>
      </c>
      <c r="D58" s="898"/>
      <c r="E58" s="898">
        <f>C58</f>
        <v>23000</v>
      </c>
      <c r="F58" s="898"/>
      <c r="G58" s="898"/>
      <c r="H58" s="898"/>
      <c r="I58" s="898"/>
      <c r="J58" s="898"/>
      <c r="K58" s="898"/>
      <c r="L58" s="898"/>
      <c r="M58" s="898"/>
      <c r="N58" s="898"/>
      <c r="O58" s="898"/>
      <c r="P58" s="898"/>
      <c r="Q58" s="898"/>
      <c r="R58" s="440">
        <f t="shared" si="16"/>
        <v>23000</v>
      </c>
      <c r="S58" s="1203"/>
      <c r="T58" s="1203"/>
      <c r="U58" s="1202"/>
    </row>
    <row r="59" spans="1:21" s="106" customFormat="1">
      <c r="A59" s="207" t="s">
        <v>1854</v>
      </c>
      <c r="B59" s="263">
        <f t="shared" si="15"/>
        <v>0</v>
      </c>
      <c r="C59" s="898"/>
      <c r="D59" s="898"/>
      <c r="E59" s="898"/>
      <c r="F59" s="898"/>
      <c r="G59" s="898"/>
      <c r="H59" s="898"/>
      <c r="I59" s="898"/>
      <c r="J59" s="898"/>
      <c r="K59" s="898"/>
      <c r="L59" s="898"/>
      <c r="M59" s="898"/>
      <c r="N59" s="898"/>
      <c r="O59" s="898"/>
      <c r="P59" s="898"/>
      <c r="Q59" s="898"/>
      <c r="R59" s="440">
        <f t="shared" si="16"/>
        <v>0</v>
      </c>
      <c r="S59" s="1203"/>
      <c r="T59" s="1203"/>
      <c r="U59" s="1202"/>
    </row>
    <row r="60" spans="1:21" s="106" customFormat="1">
      <c r="A60" s="207" t="s">
        <v>1855</v>
      </c>
      <c r="B60" s="263">
        <f t="shared" si="15"/>
        <v>0</v>
      </c>
      <c r="C60" s="898"/>
      <c r="D60" s="898"/>
      <c r="E60" s="898"/>
      <c r="F60" s="898"/>
      <c r="G60" s="898"/>
      <c r="H60" s="898"/>
      <c r="I60" s="898"/>
      <c r="J60" s="898"/>
      <c r="K60" s="898"/>
      <c r="L60" s="898"/>
      <c r="M60" s="898"/>
      <c r="N60" s="898"/>
      <c r="O60" s="898"/>
      <c r="P60" s="898"/>
      <c r="Q60" s="898"/>
      <c r="R60" s="440">
        <f t="shared" si="16"/>
        <v>0</v>
      </c>
      <c r="S60" s="1203"/>
      <c r="T60" s="1203"/>
      <c r="U60" s="1202"/>
    </row>
    <row r="61" spans="1:21" s="106" customFormat="1">
      <c r="A61" s="1072" t="s">
        <v>1836</v>
      </c>
      <c r="B61" s="263">
        <f t="shared" si="15"/>
        <v>0</v>
      </c>
      <c r="C61" s="898"/>
      <c r="D61" s="898"/>
      <c r="E61" s="898"/>
      <c r="F61" s="898"/>
      <c r="G61" s="898"/>
      <c r="H61" s="898"/>
      <c r="I61" s="898"/>
      <c r="J61" s="898"/>
      <c r="K61" s="898"/>
      <c r="L61" s="898"/>
      <c r="M61" s="898"/>
      <c r="N61" s="898"/>
      <c r="O61" s="898"/>
      <c r="P61" s="898"/>
      <c r="Q61" s="898"/>
      <c r="R61" s="440">
        <f t="shared" si="16"/>
        <v>0</v>
      </c>
      <c r="S61" s="1203"/>
      <c r="T61" s="1203"/>
      <c r="U61" s="1202"/>
    </row>
    <row r="62" spans="1:21" s="106" customFormat="1" ht="13.95" customHeight="1">
      <c r="A62" s="107" t="s">
        <v>1858</v>
      </c>
      <c r="B62" s="263">
        <f>SUM(C62:D62)</f>
        <v>173000</v>
      </c>
      <c r="C62" s="263">
        <f t="shared" ref="C62:R62" si="17">SUM(C56:C61)</f>
        <v>173000</v>
      </c>
      <c r="D62" s="263">
        <f t="shared" si="17"/>
        <v>0</v>
      </c>
      <c r="E62" s="263">
        <f t="shared" si="17"/>
        <v>173000</v>
      </c>
      <c r="F62" s="263">
        <f t="shared" si="17"/>
        <v>0</v>
      </c>
      <c r="G62" s="263">
        <f t="shared" si="17"/>
        <v>0</v>
      </c>
      <c r="H62" s="263">
        <f t="shared" si="17"/>
        <v>0</v>
      </c>
      <c r="I62" s="263">
        <f t="shared" si="17"/>
        <v>0</v>
      </c>
      <c r="J62" s="263">
        <f t="shared" si="17"/>
        <v>0</v>
      </c>
      <c r="K62" s="263">
        <f t="shared" si="17"/>
        <v>0</v>
      </c>
      <c r="L62" s="263">
        <f t="shared" si="17"/>
        <v>0</v>
      </c>
      <c r="M62" s="263">
        <f t="shared" si="17"/>
        <v>0</v>
      </c>
      <c r="N62" s="263">
        <f t="shared" si="17"/>
        <v>0</v>
      </c>
      <c r="O62" s="263">
        <f t="shared" si="17"/>
        <v>0</v>
      </c>
      <c r="P62" s="263">
        <f t="shared" si="17"/>
        <v>0</v>
      </c>
      <c r="Q62" s="263">
        <f t="shared" si="17"/>
        <v>0</v>
      </c>
      <c r="R62" s="263">
        <f t="shared" si="17"/>
        <v>173000</v>
      </c>
      <c r="S62" s="1203"/>
      <c r="T62" s="1203"/>
      <c r="U62" s="1202"/>
    </row>
    <row r="63" spans="1:21" s="106" customFormat="1">
      <c r="A63" s="111" t="s">
        <v>1859</v>
      </c>
      <c r="B63" s="263">
        <f t="shared" ref="B63:R63" si="18">SUM(B8+B11+B13+B14+B15+B26+B27+B38+B42+B43+B54+B62)</f>
        <v>55875922</v>
      </c>
      <c r="C63" s="263">
        <f t="shared" si="18"/>
        <v>55875922</v>
      </c>
      <c r="D63" s="263">
        <f t="shared" si="18"/>
        <v>0</v>
      </c>
      <c r="E63" s="263">
        <f t="shared" si="18"/>
        <v>30588272</v>
      </c>
      <c r="F63" s="263">
        <f t="shared" si="18"/>
        <v>14037650</v>
      </c>
      <c r="G63" s="263">
        <f t="shared" si="18"/>
        <v>3600000</v>
      </c>
      <c r="H63" s="263">
        <f t="shared" si="18"/>
        <v>7650000</v>
      </c>
      <c r="I63" s="263">
        <f t="shared" si="18"/>
        <v>0</v>
      </c>
      <c r="J63" s="263">
        <f t="shared" si="18"/>
        <v>0</v>
      </c>
      <c r="K63" s="263">
        <f t="shared" si="18"/>
        <v>0</v>
      </c>
      <c r="L63" s="263">
        <f t="shared" si="18"/>
        <v>0</v>
      </c>
      <c r="M63" s="263">
        <f t="shared" si="18"/>
        <v>0</v>
      </c>
      <c r="N63" s="263">
        <f t="shared" si="18"/>
        <v>0</v>
      </c>
      <c r="O63" s="263">
        <f t="shared" si="18"/>
        <v>0</v>
      </c>
      <c r="P63" s="263">
        <f t="shared" si="18"/>
        <v>0</v>
      </c>
      <c r="Q63" s="263">
        <f t="shared" si="18"/>
        <v>0</v>
      </c>
      <c r="R63" s="263">
        <f t="shared" si="18"/>
        <v>55875922</v>
      </c>
      <c r="S63" s="263">
        <f>SUM(S10+S13+S14+S15+S26+S27+S38+S42+S43+S54)</f>
        <v>51813248.360000007</v>
      </c>
      <c r="T63" s="263">
        <f>SUM(T11+T13+T14+T15+T26+T27+T38+T42+T43+T54)</f>
        <v>0</v>
      </c>
      <c r="U63" s="1202"/>
    </row>
    <row r="64" spans="1:21" s="106" customFormat="1" ht="22.8">
      <c r="A64" s="105" t="s">
        <v>1860</v>
      </c>
      <c r="B64" s="1201"/>
      <c r="C64" s="1201"/>
      <c r="D64" s="1201"/>
      <c r="E64" s="264"/>
      <c r="F64" s="264"/>
      <c r="G64" s="264"/>
      <c r="H64" s="264"/>
      <c r="I64" s="264"/>
      <c r="J64" s="264"/>
      <c r="K64" s="264"/>
      <c r="L64" s="264"/>
      <c r="M64" s="264"/>
      <c r="N64" s="264"/>
      <c r="O64" s="264"/>
      <c r="P64" s="264"/>
      <c r="Q64" s="264"/>
      <c r="R64" s="264"/>
      <c r="S64" s="1201"/>
      <c r="T64" s="1201"/>
      <c r="U64" s="1202"/>
    </row>
    <row r="65" spans="1:21" s="106" customFormat="1">
      <c r="A65" s="207" t="s">
        <v>1861</v>
      </c>
      <c r="B65" s="263">
        <f>SUM(C65+D65)</f>
        <v>180000</v>
      </c>
      <c r="C65" s="898">
        <v>180000</v>
      </c>
      <c r="D65" s="898"/>
      <c r="E65" s="898">
        <f>B65</f>
        <v>180000</v>
      </c>
      <c r="F65" s="898"/>
      <c r="G65" s="898"/>
      <c r="H65" s="898"/>
      <c r="I65" s="898"/>
      <c r="J65" s="898"/>
      <c r="K65" s="898"/>
      <c r="L65" s="898"/>
      <c r="M65" s="898"/>
      <c r="N65" s="898"/>
      <c r="O65" s="898"/>
      <c r="P65" s="898"/>
      <c r="Q65" s="898"/>
      <c r="R65" s="440">
        <f>SUM(E65:Q65)</f>
        <v>180000</v>
      </c>
      <c r="S65" s="898">
        <v>98120</v>
      </c>
      <c r="T65" s="898"/>
      <c r="U65" s="1202"/>
    </row>
    <row r="66" spans="1:21" s="106" customFormat="1" ht="24" customHeight="1">
      <c r="A66" s="207" t="s">
        <v>1862</v>
      </c>
      <c r="B66" s="263">
        <f>SUM(C66+D66)</f>
        <v>210000</v>
      </c>
      <c r="C66" s="898">
        <v>210000</v>
      </c>
      <c r="D66" s="898"/>
      <c r="E66" s="898">
        <f t="shared" ref="E66:E67" si="19">B66</f>
        <v>210000</v>
      </c>
      <c r="F66" s="898"/>
      <c r="G66" s="898"/>
      <c r="H66" s="898"/>
      <c r="I66" s="898"/>
      <c r="J66" s="898"/>
      <c r="K66" s="898"/>
      <c r="L66" s="898"/>
      <c r="M66" s="898"/>
      <c r="N66" s="898"/>
      <c r="O66" s="898"/>
      <c r="P66" s="898"/>
      <c r="Q66" s="898"/>
      <c r="R66" s="440">
        <f>SUM(E66:Q66)</f>
        <v>210000</v>
      </c>
      <c r="S66" s="898">
        <v>0</v>
      </c>
      <c r="T66" s="898"/>
      <c r="U66" s="1202"/>
    </row>
    <row r="67" spans="1:21" s="106" customFormat="1" ht="24" customHeight="1">
      <c r="A67" s="207" t="s">
        <v>1863</v>
      </c>
      <c r="B67" s="263">
        <f>SUM(C67+D67)</f>
        <v>50000</v>
      </c>
      <c r="C67" s="898">
        <f>20000+30000</f>
        <v>50000</v>
      </c>
      <c r="D67" s="898"/>
      <c r="E67" s="898">
        <f t="shared" si="19"/>
        <v>50000</v>
      </c>
      <c r="F67" s="898"/>
      <c r="G67" s="898"/>
      <c r="H67" s="898"/>
      <c r="I67" s="898"/>
      <c r="J67" s="898"/>
      <c r="K67" s="898"/>
      <c r="L67" s="898"/>
      <c r="M67" s="898"/>
      <c r="N67" s="898"/>
      <c r="O67" s="898"/>
      <c r="P67" s="898"/>
      <c r="Q67" s="898"/>
      <c r="R67" s="440">
        <f>SUM(E67:Q67)</f>
        <v>50000</v>
      </c>
      <c r="S67" s="898">
        <v>49248</v>
      </c>
      <c r="T67" s="898"/>
      <c r="U67" s="1202"/>
    </row>
    <row r="68" spans="1:21" s="106" customFormat="1" ht="12" customHeight="1">
      <c r="A68" s="207" t="s">
        <v>1864</v>
      </c>
      <c r="B68" s="263">
        <f>SUM(C68+D68)</f>
        <v>0</v>
      </c>
      <c r="C68" s="898"/>
      <c r="D68" s="898"/>
      <c r="E68" s="898"/>
      <c r="F68" s="898"/>
      <c r="G68" s="898"/>
      <c r="H68" s="898"/>
      <c r="I68" s="898"/>
      <c r="J68" s="898"/>
      <c r="K68" s="898"/>
      <c r="L68" s="898"/>
      <c r="M68" s="898"/>
      <c r="N68" s="898"/>
      <c r="O68" s="898"/>
      <c r="P68" s="898"/>
      <c r="Q68" s="898"/>
      <c r="R68" s="440">
        <f>SUM(E68:Q68)</f>
        <v>0</v>
      </c>
      <c r="S68" s="898">
        <v>0</v>
      </c>
      <c r="T68" s="898"/>
      <c r="U68" s="1202"/>
    </row>
    <row r="69" spans="1:21" s="106" customFormat="1">
      <c r="A69" s="1072" t="s">
        <v>1865</v>
      </c>
      <c r="B69" s="263">
        <f>SUM(C69+D69)</f>
        <v>120000</v>
      </c>
      <c r="C69" s="898">
        <v>120000</v>
      </c>
      <c r="D69" s="898"/>
      <c r="E69" s="898">
        <v>120000</v>
      </c>
      <c r="F69" s="898"/>
      <c r="G69" s="898"/>
      <c r="H69" s="898"/>
      <c r="I69" s="898"/>
      <c r="J69" s="898"/>
      <c r="K69" s="898"/>
      <c r="L69" s="898"/>
      <c r="M69" s="898"/>
      <c r="N69" s="898"/>
      <c r="O69" s="898"/>
      <c r="P69" s="898"/>
      <c r="Q69" s="898"/>
      <c r="R69" s="440">
        <f>SUM(E69:Q69)</f>
        <v>120000</v>
      </c>
      <c r="S69" s="898">
        <v>112838</v>
      </c>
      <c r="T69" s="898"/>
      <c r="U69" s="1202"/>
    </row>
    <row r="70" spans="1:21" s="106" customFormat="1" ht="12">
      <c r="A70" s="107" t="s">
        <v>1866</v>
      </c>
      <c r="B70" s="263">
        <f>SUM(C70:D70)</f>
        <v>560000</v>
      </c>
      <c r="C70" s="263">
        <f>SUM(C65:C69)</f>
        <v>560000</v>
      </c>
      <c r="D70" s="263">
        <f>SUM(D65:D69)</f>
        <v>0</v>
      </c>
      <c r="E70" s="263">
        <f t="shared" ref="E70:T70" si="20">SUM(E65:E69)</f>
        <v>560000</v>
      </c>
      <c r="F70" s="263">
        <f t="shared" si="20"/>
        <v>0</v>
      </c>
      <c r="G70" s="263">
        <f t="shared" si="20"/>
        <v>0</v>
      </c>
      <c r="H70" s="263">
        <f t="shared" si="20"/>
        <v>0</v>
      </c>
      <c r="I70" s="263">
        <f t="shared" si="20"/>
        <v>0</v>
      </c>
      <c r="J70" s="263">
        <f t="shared" si="20"/>
        <v>0</v>
      </c>
      <c r="K70" s="263">
        <f t="shared" si="20"/>
        <v>0</v>
      </c>
      <c r="L70" s="263">
        <f t="shared" si="20"/>
        <v>0</v>
      </c>
      <c r="M70" s="263">
        <f t="shared" si="20"/>
        <v>0</v>
      </c>
      <c r="N70" s="263">
        <f t="shared" si="20"/>
        <v>0</v>
      </c>
      <c r="O70" s="263">
        <f t="shared" si="20"/>
        <v>0</v>
      </c>
      <c r="P70" s="263">
        <f t="shared" si="20"/>
        <v>0</v>
      </c>
      <c r="Q70" s="263">
        <f t="shared" si="20"/>
        <v>0</v>
      </c>
      <c r="R70" s="263">
        <f t="shared" si="20"/>
        <v>560000</v>
      </c>
      <c r="S70" s="108">
        <f t="shared" si="20"/>
        <v>260206</v>
      </c>
      <c r="T70" s="108">
        <f t="shared" si="20"/>
        <v>0</v>
      </c>
      <c r="U70" s="1202"/>
    </row>
    <row r="71" spans="1:21" s="106" customFormat="1">
      <c r="A71" s="105" t="s">
        <v>1867</v>
      </c>
      <c r="B71" s="264"/>
      <c r="C71" s="264"/>
      <c r="D71" s="264"/>
      <c r="E71" s="264"/>
      <c r="F71" s="264"/>
      <c r="G71" s="264"/>
      <c r="H71" s="264"/>
      <c r="I71" s="264"/>
      <c r="J71" s="264"/>
      <c r="K71" s="264"/>
      <c r="L71" s="264"/>
      <c r="M71" s="264"/>
      <c r="N71" s="264"/>
      <c r="O71" s="264"/>
      <c r="P71" s="264"/>
      <c r="Q71" s="264"/>
      <c r="R71" s="264"/>
      <c r="S71" s="264"/>
      <c r="T71" s="264"/>
      <c r="U71" s="1202"/>
    </row>
    <row r="72" spans="1:21" s="106" customFormat="1">
      <c r="A72" s="207" t="s">
        <v>1868</v>
      </c>
      <c r="B72" s="263">
        <f>SUM(C72+D72)</f>
        <v>0</v>
      </c>
      <c r="C72" s="898"/>
      <c r="D72" s="898"/>
      <c r="E72" s="898"/>
      <c r="F72" s="898"/>
      <c r="G72" s="898"/>
      <c r="H72" s="898"/>
      <c r="I72" s="898"/>
      <c r="J72" s="898"/>
      <c r="K72" s="898"/>
      <c r="L72" s="898"/>
      <c r="M72" s="898"/>
      <c r="N72" s="898"/>
      <c r="O72" s="898"/>
      <c r="P72" s="898"/>
      <c r="Q72" s="898"/>
      <c r="R72" s="440">
        <f>SUM(E72:Q72)</f>
        <v>0</v>
      </c>
      <c r="S72" s="1203"/>
      <c r="T72" s="1203"/>
      <c r="U72" s="1202"/>
    </row>
    <row r="73" spans="1:21" s="106" customFormat="1">
      <c r="A73" s="207" t="s">
        <v>1869</v>
      </c>
      <c r="B73" s="263">
        <f>SUM(C73+D73)</f>
        <v>0</v>
      </c>
      <c r="C73" s="898"/>
      <c r="D73" s="898"/>
      <c r="E73" s="898"/>
      <c r="F73" s="898"/>
      <c r="G73" s="898"/>
      <c r="H73" s="898"/>
      <c r="I73" s="898"/>
      <c r="J73" s="898"/>
      <c r="K73" s="898"/>
      <c r="L73" s="898"/>
      <c r="M73" s="898"/>
      <c r="N73" s="898"/>
      <c r="O73" s="898"/>
      <c r="P73" s="898"/>
      <c r="Q73" s="898"/>
      <c r="R73" s="440">
        <f>SUM(E73:Q73)</f>
        <v>0</v>
      </c>
      <c r="S73" s="1203"/>
      <c r="T73" s="1203"/>
      <c r="U73" s="1202"/>
    </row>
    <row r="74" spans="1:21" s="106" customFormat="1">
      <c r="A74" s="376" t="s">
        <v>1870</v>
      </c>
      <c r="B74" s="263">
        <f>SUM(C74+D74)</f>
        <v>0</v>
      </c>
      <c r="C74" s="898"/>
      <c r="D74" s="898"/>
      <c r="E74" s="898"/>
      <c r="F74" s="898"/>
      <c r="G74" s="898"/>
      <c r="H74" s="898"/>
      <c r="I74" s="898"/>
      <c r="J74" s="898"/>
      <c r="K74" s="898"/>
      <c r="L74" s="898"/>
      <c r="M74" s="898"/>
      <c r="N74" s="898"/>
      <c r="O74" s="898"/>
      <c r="P74" s="898"/>
      <c r="Q74" s="898"/>
      <c r="R74" s="440">
        <f>SUM(E74:Q74)</f>
        <v>0</v>
      </c>
      <c r="S74" s="1203"/>
      <c r="T74" s="1203"/>
      <c r="U74" s="1202"/>
    </row>
    <row r="75" spans="1:21" s="106" customFormat="1">
      <c r="A75" s="207" t="s">
        <v>1871</v>
      </c>
      <c r="B75" s="263">
        <f>SUM(C75+D75)</f>
        <v>521676</v>
      </c>
      <c r="C75" s="898">
        <v>521676</v>
      </c>
      <c r="D75" s="898"/>
      <c r="E75" s="898">
        <f>B75</f>
        <v>521676</v>
      </c>
      <c r="F75" s="898"/>
      <c r="G75" s="898"/>
      <c r="H75" s="898"/>
      <c r="I75" s="898"/>
      <c r="J75" s="898"/>
      <c r="K75" s="898"/>
      <c r="L75" s="898"/>
      <c r="M75" s="898"/>
      <c r="N75" s="898"/>
      <c r="O75" s="898"/>
      <c r="P75" s="898"/>
      <c r="Q75" s="898"/>
      <c r="R75" s="440">
        <f>SUM(E75:Q75)</f>
        <v>521676</v>
      </c>
      <c r="S75" s="1203"/>
      <c r="T75" s="1203"/>
      <c r="U75" s="1202"/>
    </row>
    <row r="76" spans="1:21" s="106" customFormat="1">
      <c r="A76" s="1072" t="s">
        <v>1836</v>
      </c>
      <c r="B76" s="263">
        <f>SUM(C76+D76)</f>
        <v>0</v>
      </c>
      <c r="C76" s="898"/>
      <c r="D76" s="898"/>
      <c r="E76" s="898"/>
      <c r="F76" s="898"/>
      <c r="G76" s="898"/>
      <c r="H76" s="898"/>
      <c r="I76" s="898"/>
      <c r="J76" s="898"/>
      <c r="K76" s="898"/>
      <c r="L76" s="898"/>
      <c r="M76" s="898"/>
      <c r="N76" s="898"/>
      <c r="O76" s="898"/>
      <c r="P76" s="898"/>
      <c r="Q76" s="898"/>
      <c r="R76" s="440">
        <f>SUM(E76:Q76)</f>
        <v>0</v>
      </c>
      <c r="S76" s="1203"/>
      <c r="T76" s="1203"/>
      <c r="U76" s="1202"/>
    </row>
    <row r="77" spans="1:21" s="106" customFormat="1" ht="12">
      <c r="A77" s="107" t="s">
        <v>1872</v>
      </c>
      <c r="B77" s="263">
        <f>SUM(C77:D77)</f>
        <v>521676</v>
      </c>
      <c r="C77" s="263">
        <f>SUM(C72:C76)</f>
        <v>521676</v>
      </c>
      <c r="D77" s="263">
        <f>SUM(D72:D76)</f>
        <v>0</v>
      </c>
      <c r="E77" s="263">
        <f t="shared" ref="E77:Q77" si="21">SUM(E72:E76)</f>
        <v>521676</v>
      </c>
      <c r="F77" s="263">
        <f t="shared" si="21"/>
        <v>0</v>
      </c>
      <c r="G77" s="263">
        <f t="shared" si="21"/>
        <v>0</v>
      </c>
      <c r="H77" s="263">
        <f t="shared" si="21"/>
        <v>0</v>
      </c>
      <c r="I77" s="263">
        <f t="shared" si="21"/>
        <v>0</v>
      </c>
      <c r="J77" s="263">
        <f t="shared" si="21"/>
        <v>0</v>
      </c>
      <c r="K77" s="263">
        <f t="shared" si="21"/>
        <v>0</v>
      </c>
      <c r="L77" s="263">
        <f t="shared" si="21"/>
        <v>0</v>
      </c>
      <c r="M77" s="263">
        <f t="shared" si="21"/>
        <v>0</v>
      </c>
      <c r="N77" s="263">
        <f t="shared" si="21"/>
        <v>0</v>
      </c>
      <c r="O77" s="263">
        <f t="shared" si="21"/>
        <v>0</v>
      </c>
      <c r="P77" s="263">
        <f t="shared" si="21"/>
        <v>0</v>
      </c>
      <c r="Q77" s="263">
        <f t="shared" si="21"/>
        <v>0</v>
      </c>
      <c r="R77" s="263">
        <f>SUM(R72:R76)</f>
        <v>521676</v>
      </c>
      <c r="S77" s="1203"/>
      <c r="T77" s="1203"/>
      <c r="U77" s="1202"/>
    </row>
    <row r="78" spans="1:21" s="106" customFormat="1">
      <c r="A78" s="105" t="s">
        <v>1873</v>
      </c>
      <c r="B78" s="264"/>
      <c r="C78" s="264"/>
      <c r="D78" s="264"/>
      <c r="E78" s="264"/>
      <c r="F78" s="264"/>
      <c r="G78" s="264"/>
      <c r="H78" s="264"/>
      <c r="I78" s="264"/>
      <c r="J78" s="264"/>
      <c r="K78" s="264"/>
      <c r="L78" s="264"/>
      <c r="M78" s="264"/>
      <c r="N78" s="264"/>
      <c r="O78" s="264"/>
      <c r="P78" s="264"/>
      <c r="Q78" s="264"/>
      <c r="R78" s="264"/>
      <c r="S78" s="264"/>
      <c r="T78" s="264"/>
      <c r="U78" s="1202"/>
    </row>
    <row r="79" spans="1:21" s="106" customFormat="1">
      <c r="A79" s="207" t="s">
        <v>1874</v>
      </c>
      <c r="B79" s="263">
        <f>SUM(C79:D79)</f>
        <v>4315759</v>
      </c>
      <c r="C79" s="898">
        <v>4315759</v>
      </c>
      <c r="D79" s="898"/>
      <c r="E79" s="898">
        <f>B79</f>
        <v>4315759</v>
      </c>
      <c r="F79" s="898"/>
      <c r="G79" s="898"/>
      <c r="H79" s="898"/>
      <c r="I79" s="898"/>
      <c r="J79" s="898"/>
      <c r="K79" s="898"/>
      <c r="L79" s="898"/>
      <c r="M79" s="898"/>
      <c r="N79" s="898"/>
      <c r="O79" s="898"/>
      <c r="P79" s="898"/>
      <c r="Q79" s="898"/>
      <c r="R79" s="440">
        <f>SUM(E79:Q79)</f>
        <v>4315759</v>
      </c>
      <c r="S79" s="898">
        <v>4234622.7308</v>
      </c>
      <c r="T79" s="898"/>
      <c r="U79" s="1202"/>
    </row>
    <row r="80" spans="1:21" s="106" customFormat="1">
      <c r="A80" s="207" t="s">
        <v>1875</v>
      </c>
      <c r="B80" s="263">
        <f>SUM(C80:D80)</f>
        <v>1042722</v>
      </c>
      <c r="C80" s="898">
        <v>1042722</v>
      </c>
      <c r="D80" s="898"/>
      <c r="E80" s="898">
        <f>B80</f>
        <v>1042722</v>
      </c>
      <c r="F80" s="898"/>
      <c r="G80" s="898"/>
      <c r="H80" s="898"/>
      <c r="I80" s="898"/>
      <c r="J80" s="898"/>
      <c r="K80" s="898"/>
      <c r="L80" s="898"/>
      <c r="M80" s="898"/>
      <c r="N80" s="898"/>
      <c r="O80" s="898"/>
      <c r="P80" s="898"/>
      <c r="Q80" s="898"/>
      <c r="R80" s="440">
        <f>SUM(E80:Q80)</f>
        <v>1042722</v>
      </c>
      <c r="S80" s="898">
        <v>742722</v>
      </c>
      <c r="T80" s="898"/>
      <c r="U80" s="1202"/>
    </row>
    <row r="81" spans="1:21" s="106" customFormat="1" ht="12">
      <c r="A81" s="107" t="s">
        <v>1876</v>
      </c>
      <c r="B81" s="263">
        <f>SUM(C81:D81)</f>
        <v>5358481</v>
      </c>
      <c r="C81" s="1209">
        <f>SUM(C79:C80)</f>
        <v>5358481</v>
      </c>
      <c r="D81" s="1209">
        <f t="shared" ref="D81:T81" si="22">SUM(D79:D80)</f>
        <v>0</v>
      </c>
      <c r="E81" s="1209">
        <f t="shared" si="22"/>
        <v>5358481</v>
      </c>
      <c r="F81" s="1209">
        <f t="shared" si="22"/>
        <v>0</v>
      </c>
      <c r="G81" s="1209">
        <f t="shared" si="22"/>
        <v>0</v>
      </c>
      <c r="H81" s="1209">
        <f t="shared" si="22"/>
        <v>0</v>
      </c>
      <c r="I81" s="1209">
        <f t="shared" si="22"/>
        <v>0</v>
      </c>
      <c r="J81" s="1209">
        <f t="shared" si="22"/>
        <v>0</v>
      </c>
      <c r="K81" s="1209">
        <f t="shared" si="22"/>
        <v>0</v>
      </c>
      <c r="L81" s="1209">
        <f t="shared" si="22"/>
        <v>0</v>
      </c>
      <c r="M81" s="1209">
        <f t="shared" si="22"/>
        <v>0</v>
      </c>
      <c r="N81" s="1209">
        <f t="shared" si="22"/>
        <v>0</v>
      </c>
      <c r="O81" s="1209">
        <f t="shared" si="22"/>
        <v>0</v>
      </c>
      <c r="P81" s="1209">
        <f t="shared" si="22"/>
        <v>0</v>
      </c>
      <c r="Q81" s="1209">
        <f t="shared" si="22"/>
        <v>0</v>
      </c>
      <c r="R81" s="1209">
        <f t="shared" si="22"/>
        <v>5358481</v>
      </c>
      <c r="S81" s="1209">
        <f t="shared" si="22"/>
        <v>4977344.7308</v>
      </c>
      <c r="T81" s="1209">
        <f t="shared" si="22"/>
        <v>0</v>
      </c>
      <c r="U81" s="1202"/>
    </row>
    <row r="82" spans="1:21" s="106" customFormat="1">
      <c r="A82" s="105" t="s">
        <v>1877</v>
      </c>
      <c r="B82" s="264"/>
      <c r="C82" s="264"/>
      <c r="D82" s="264"/>
      <c r="E82" s="264"/>
      <c r="F82" s="264"/>
      <c r="G82" s="264"/>
      <c r="H82" s="264"/>
      <c r="I82" s="264"/>
      <c r="J82" s="264"/>
      <c r="K82" s="264"/>
      <c r="L82" s="264"/>
      <c r="M82" s="264"/>
      <c r="N82" s="264"/>
      <c r="O82" s="264"/>
      <c r="P82" s="264"/>
      <c r="Q82" s="264"/>
      <c r="R82" s="264"/>
      <c r="S82" s="264"/>
      <c r="T82" s="264"/>
      <c r="U82" s="1202"/>
    </row>
    <row r="83" spans="1:21" s="106" customFormat="1" ht="13.95" customHeight="1">
      <c r="A83" s="207" t="s">
        <v>1878</v>
      </c>
      <c r="B83" s="263">
        <f t="shared" ref="B83:B95" si="23">SUM(C83+D83)</f>
        <v>185000</v>
      </c>
      <c r="C83" s="898">
        <v>185000</v>
      </c>
      <c r="D83" s="898"/>
      <c r="E83" s="898">
        <f>B83</f>
        <v>185000</v>
      </c>
      <c r="F83" s="898"/>
      <c r="G83" s="898"/>
      <c r="H83" s="898"/>
      <c r="I83" s="898"/>
      <c r="J83" s="898"/>
      <c r="K83" s="898"/>
      <c r="L83" s="898"/>
      <c r="M83" s="898"/>
      <c r="N83" s="898"/>
      <c r="O83" s="898"/>
      <c r="P83" s="898"/>
      <c r="Q83" s="898"/>
      <c r="R83" s="440">
        <f t="shared" ref="R83:R95" si="24">SUM(E83:Q83)</f>
        <v>185000</v>
      </c>
      <c r="S83" s="1203"/>
      <c r="T83" s="1203"/>
      <c r="U83" s="1202"/>
    </row>
    <row r="84" spans="1:21" s="106" customFormat="1">
      <c r="A84" s="207" t="s">
        <v>1879</v>
      </c>
      <c r="B84" s="263">
        <f t="shared" si="23"/>
        <v>95000</v>
      </c>
      <c r="C84" s="898">
        <v>95000</v>
      </c>
      <c r="D84" s="898"/>
      <c r="E84" s="898">
        <f t="shared" ref="E84:E93" si="25">B84</f>
        <v>95000</v>
      </c>
      <c r="F84" s="898"/>
      <c r="G84" s="898"/>
      <c r="H84" s="898"/>
      <c r="I84" s="898"/>
      <c r="J84" s="898"/>
      <c r="K84" s="898"/>
      <c r="L84" s="898"/>
      <c r="M84" s="898"/>
      <c r="N84" s="898"/>
      <c r="O84" s="898"/>
      <c r="P84" s="898"/>
      <c r="Q84" s="898"/>
      <c r="R84" s="440">
        <f t="shared" si="24"/>
        <v>95000</v>
      </c>
      <c r="S84" s="898">
        <v>93214</v>
      </c>
      <c r="T84" s="898"/>
      <c r="U84" s="1202"/>
    </row>
    <row r="85" spans="1:21" s="106" customFormat="1">
      <c r="A85" s="207" t="s">
        <v>1880</v>
      </c>
      <c r="B85" s="263">
        <f t="shared" si="23"/>
        <v>360859.99999999994</v>
      </c>
      <c r="C85" s="898">
        <v>360859.99999999994</v>
      </c>
      <c r="D85" s="898"/>
      <c r="E85" s="898">
        <f t="shared" si="25"/>
        <v>360859.99999999994</v>
      </c>
      <c r="F85" s="898"/>
      <c r="G85" s="898"/>
      <c r="H85" s="898"/>
      <c r="I85" s="898"/>
      <c r="J85" s="898"/>
      <c r="K85" s="898"/>
      <c r="L85" s="898"/>
      <c r="M85" s="898"/>
      <c r="N85" s="898"/>
      <c r="O85" s="898"/>
      <c r="P85" s="898"/>
      <c r="Q85" s="898"/>
      <c r="R85" s="440">
        <f t="shared" si="24"/>
        <v>360859.99999999994</v>
      </c>
      <c r="S85" s="898">
        <v>360859.99999999994</v>
      </c>
      <c r="T85" s="898"/>
      <c r="U85" s="1202"/>
    </row>
    <row r="86" spans="1:21" s="106" customFormat="1">
      <c r="A86" s="207" t="s">
        <v>1881</v>
      </c>
      <c r="B86" s="263">
        <f t="shared" si="23"/>
        <v>50000</v>
      </c>
      <c r="C86" s="898">
        <v>50000</v>
      </c>
      <c r="D86" s="898"/>
      <c r="E86" s="898">
        <f t="shared" si="25"/>
        <v>50000</v>
      </c>
      <c r="F86" s="898"/>
      <c r="G86" s="898"/>
      <c r="H86" s="898"/>
      <c r="I86" s="898"/>
      <c r="J86" s="898"/>
      <c r="K86" s="898"/>
      <c r="L86" s="898"/>
      <c r="M86" s="898"/>
      <c r="N86" s="898"/>
      <c r="O86" s="898"/>
      <c r="P86" s="898"/>
      <c r="Q86" s="898"/>
      <c r="R86" s="440">
        <f t="shared" si="24"/>
        <v>50000</v>
      </c>
      <c r="S86" s="898">
        <v>49530</v>
      </c>
      <c r="T86" s="898"/>
      <c r="U86" s="1202"/>
    </row>
    <row r="87" spans="1:21" s="106" customFormat="1">
      <c r="A87" s="207" t="s">
        <v>1882</v>
      </c>
      <c r="B87" s="263">
        <f t="shared" si="23"/>
        <v>0</v>
      </c>
      <c r="C87" s="898">
        <v>0</v>
      </c>
      <c r="D87" s="898"/>
      <c r="E87" s="898"/>
      <c r="F87" s="898"/>
      <c r="G87" s="898"/>
      <c r="H87" s="898"/>
      <c r="I87" s="898"/>
      <c r="J87" s="898"/>
      <c r="K87" s="898"/>
      <c r="L87" s="898"/>
      <c r="M87" s="898"/>
      <c r="N87" s="898"/>
      <c r="O87" s="898"/>
      <c r="P87" s="898"/>
      <c r="Q87" s="898"/>
      <c r="R87" s="440">
        <f t="shared" si="24"/>
        <v>0</v>
      </c>
      <c r="S87" s="898"/>
      <c r="T87" s="898"/>
      <c r="U87" s="1202"/>
    </row>
    <row r="88" spans="1:21" s="106" customFormat="1">
      <c r="A88" s="207" t="s">
        <v>1883</v>
      </c>
      <c r="B88" s="263">
        <f t="shared" si="23"/>
        <v>100000</v>
      </c>
      <c r="C88" s="898">
        <v>100000</v>
      </c>
      <c r="D88" s="898"/>
      <c r="E88" s="898">
        <f t="shared" si="25"/>
        <v>100000</v>
      </c>
      <c r="F88" s="898"/>
      <c r="G88" s="898"/>
      <c r="H88" s="898"/>
      <c r="I88" s="898"/>
      <c r="J88" s="898"/>
      <c r="K88" s="898"/>
      <c r="L88" s="898"/>
      <c r="M88" s="898"/>
      <c r="N88" s="898"/>
      <c r="O88" s="898"/>
      <c r="P88" s="898"/>
      <c r="Q88" s="898"/>
      <c r="R88" s="440">
        <f t="shared" si="24"/>
        <v>100000</v>
      </c>
      <c r="S88" s="1203"/>
      <c r="T88" s="1203"/>
      <c r="U88" s="1202"/>
    </row>
    <row r="89" spans="1:21" s="106" customFormat="1">
      <c r="A89" s="207" t="s">
        <v>1884</v>
      </c>
      <c r="B89" s="263">
        <f t="shared" si="23"/>
        <v>553500</v>
      </c>
      <c r="C89" s="898">
        <v>553500</v>
      </c>
      <c r="D89" s="898"/>
      <c r="E89" s="898">
        <f t="shared" si="25"/>
        <v>553500</v>
      </c>
      <c r="F89" s="898"/>
      <c r="G89" s="898"/>
      <c r="H89" s="898"/>
      <c r="I89" s="898"/>
      <c r="J89" s="898"/>
      <c r="K89" s="898"/>
      <c r="L89" s="898"/>
      <c r="M89" s="898"/>
      <c r="N89" s="898"/>
      <c r="O89" s="898"/>
      <c r="P89" s="898"/>
      <c r="Q89" s="898"/>
      <c r="R89" s="440">
        <f t="shared" si="24"/>
        <v>553500</v>
      </c>
      <c r="S89" s="898">
        <v>553500</v>
      </c>
      <c r="T89" s="898"/>
      <c r="U89" s="1202"/>
    </row>
    <row r="90" spans="1:21" s="106" customFormat="1">
      <c r="A90" s="207" t="s">
        <v>1885</v>
      </c>
      <c r="B90" s="263">
        <f t="shared" si="23"/>
        <v>13200</v>
      </c>
      <c r="C90" s="898">
        <v>13200</v>
      </c>
      <c r="D90" s="898"/>
      <c r="E90" s="898">
        <f t="shared" si="25"/>
        <v>13200</v>
      </c>
      <c r="F90" s="898"/>
      <c r="G90" s="898"/>
      <c r="H90" s="898"/>
      <c r="I90" s="898"/>
      <c r="J90" s="898"/>
      <c r="K90" s="898"/>
      <c r="L90" s="898"/>
      <c r="M90" s="898"/>
      <c r="N90" s="898"/>
      <c r="O90" s="898"/>
      <c r="P90" s="898"/>
      <c r="Q90" s="898"/>
      <c r="R90" s="440">
        <f t="shared" si="24"/>
        <v>13200</v>
      </c>
      <c r="S90" s="898">
        <v>13200</v>
      </c>
      <c r="T90" s="898"/>
      <c r="U90" s="1202"/>
    </row>
    <row r="91" spans="1:21" s="106" customFormat="1">
      <c r="A91" s="207" t="s">
        <v>1886</v>
      </c>
      <c r="B91" s="263">
        <f t="shared" si="23"/>
        <v>130000</v>
      </c>
      <c r="C91" s="898">
        <v>130000</v>
      </c>
      <c r="D91" s="898"/>
      <c r="E91" s="898">
        <f t="shared" si="25"/>
        <v>130000</v>
      </c>
      <c r="F91" s="898"/>
      <c r="G91" s="898"/>
      <c r="H91" s="898"/>
      <c r="I91" s="898"/>
      <c r="J91" s="898"/>
      <c r="K91" s="898"/>
      <c r="L91" s="898"/>
      <c r="M91" s="898"/>
      <c r="N91" s="898"/>
      <c r="O91" s="898"/>
      <c r="P91" s="898"/>
      <c r="Q91" s="898"/>
      <c r="R91" s="440">
        <f t="shared" si="24"/>
        <v>130000</v>
      </c>
      <c r="S91" s="898">
        <v>127556</v>
      </c>
      <c r="T91" s="898"/>
      <c r="U91" s="1202"/>
    </row>
    <row r="92" spans="1:21" s="106" customFormat="1">
      <c r="A92" s="207" t="s">
        <v>1887</v>
      </c>
      <c r="B92" s="263">
        <f t="shared" si="23"/>
        <v>25000</v>
      </c>
      <c r="C92" s="898">
        <v>25000</v>
      </c>
      <c r="D92" s="898"/>
      <c r="E92" s="898">
        <f t="shared" si="25"/>
        <v>25000</v>
      </c>
      <c r="F92" s="898"/>
      <c r="G92" s="898"/>
      <c r="H92" s="898"/>
      <c r="I92" s="898"/>
      <c r="J92" s="898"/>
      <c r="K92" s="898"/>
      <c r="L92" s="898"/>
      <c r="M92" s="898"/>
      <c r="N92" s="898"/>
      <c r="O92" s="898"/>
      <c r="P92" s="898"/>
      <c r="Q92" s="898"/>
      <c r="R92" s="440">
        <f t="shared" si="24"/>
        <v>25000</v>
      </c>
      <c r="S92" s="898">
        <v>25000</v>
      </c>
      <c r="T92" s="898"/>
      <c r="U92" s="1202"/>
    </row>
    <row r="93" spans="1:21" s="106" customFormat="1">
      <c r="A93" s="1072" t="s">
        <v>1888</v>
      </c>
      <c r="B93" s="263">
        <f t="shared" si="23"/>
        <v>153722</v>
      </c>
      <c r="C93" s="898">
        <v>153722</v>
      </c>
      <c r="D93" s="898"/>
      <c r="E93" s="898">
        <f t="shared" si="25"/>
        <v>153722</v>
      </c>
      <c r="F93" s="898"/>
      <c r="G93" s="898"/>
      <c r="H93" s="898"/>
      <c r="I93" s="898"/>
      <c r="J93" s="898"/>
      <c r="K93" s="898"/>
      <c r="L93" s="898"/>
      <c r="M93" s="898"/>
      <c r="N93" s="898"/>
      <c r="O93" s="898"/>
      <c r="P93" s="898"/>
      <c r="Q93" s="898"/>
      <c r="R93" s="440">
        <f t="shared" si="24"/>
        <v>153722</v>
      </c>
      <c r="S93" s="898">
        <v>0</v>
      </c>
      <c r="T93" s="898"/>
      <c r="U93" s="1202"/>
    </row>
    <row r="94" spans="1:21" s="106" customFormat="1">
      <c r="A94" s="1072" t="s">
        <v>1889</v>
      </c>
      <c r="B94" s="263">
        <f t="shared" si="23"/>
        <v>200000</v>
      </c>
      <c r="C94" s="898">
        <v>200000</v>
      </c>
      <c r="D94" s="898"/>
      <c r="E94" s="898">
        <v>200000</v>
      </c>
      <c r="F94" s="898"/>
      <c r="G94" s="898"/>
      <c r="H94" s="898"/>
      <c r="I94" s="898"/>
      <c r="J94" s="898"/>
      <c r="K94" s="898"/>
      <c r="L94" s="898"/>
      <c r="M94" s="898"/>
      <c r="N94" s="898"/>
      <c r="O94" s="898"/>
      <c r="P94" s="898"/>
      <c r="Q94" s="898"/>
      <c r="R94" s="440">
        <f t="shared" si="24"/>
        <v>200000</v>
      </c>
      <c r="S94" s="898">
        <v>197180</v>
      </c>
      <c r="T94" s="898"/>
      <c r="U94" s="1202"/>
    </row>
    <row r="95" spans="1:21" s="106" customFormat="1">
      <c r="A95" s="1072" t="s">
        <v>1890</v>
      </c>
      <c r="B95" s="263">
        <f t="shared" si="23"/>
        <v>290000</v>
      </c>
      <c r="C95" s="898">
        <v>290000</v>
      </c>
      <c r="D95" s="898"/>
      <c r="E95" s="898">
        <v>290000</v>
      </c>
      <c r="F95" s="898"/>
      <c r="G95" s="898"/>
      <c r="H95" s="898"/>
      <c r="I95" s="898"/>
      <c r="J95" s="898"/>
      <c r="K95" s="898"/>
      <c r="L95" s="898"/>
      <c r="M95" s="898"/>
      <c r="N95" s="898"/>
      <c r="O95" s="898"/>
      <c r="P95" s="898"/>
      <c r="Q95" s="898"/>
      <c r="R95" s="440">
        <f t="shared" si="24"/>
        <v>290000</v>
      </c>
      <c r="S95" s="898">
        <v>287650</v>
      </c>
      <c r="T95" s="898"/>
      <c r="U95" s="1202"/>
    </row>
    <row r="96" spans="1:21" s="106" customFormat="1" ht="12">
      <c r="A96" s="107" t="s">
        <v>1891</v>
      </c>
      <c r="B96" s="263">
        <f>SUM(C96:D96)</f>
        <v>2156282</v>
      </c>
      <c r="C96" s="263">
        <f t="shared" ref="C96:R96" si="26">SUM(C83:C95)</f>
        <v>2156282</v>
      </c>
      <c r="D96" s="263">
        <f t="shared" si="26"/>
        <v>0</v>
      </c>
      <c r="E96" s="263">
        <f t="shared" si="26"/>
        <v>2156282</v>
      </c>
      <c r="F96" s="263">
        <f t="shared" si="26"/>
        <v>0</v>
      </c>
      <c r="G96" s="263">
        <f t="shared" si="26"/>
        <v>0</v>
      </c>
      <c r="H96" s="263">
        <f t="shared" si="26"/>
        <v>0</v>
      </c>
      <c r="I96" s="263">
        <f t="shared" si="26"/>
        <v>0</v>
      </c>
      <c r="J96" s="263">
        <f t="shared" si="26"/>
        <v>0</v>
      </c>
      <c r="K96" s="263">
        <f t="shared" si="26"/>
        <v>0</v>
      </c>
      <c r="L96" s="263">
        <f t="shared" si="26"/>
        <v>0</v>
      </c>
      <c r="M96" s="263">
        <f t="shared" si="26"/>
        <v>0</v>
      </c>
      <c r="N96" s="263">
        <f t="shared" si="26"/>
        <v>0</v>
      </c>
      <c r="O96" s="263">
        <f t="shared" si="26"/>
        <v>0</v>
      </c>
      <c r="P96" s="263">
        <f t="shared" si="26"/>
        <v>0</v>
      </c>
      <c r="Q96" s="263">
        <f t="shared" si="26"/>
        <v>0</v>
      </c>
      <c r="R96" s="263">
        <f t="shared" si="26"/>
        <v>2156282</v>
      </c>
      <c r="S96" s="108">
        <f>SUM(S84:S87,S89:S95)</f>
        <v>1707690</v>
      </c>
      <c r="T96" s="263">
        <f>SUM(T84:T87,T89:T95)</f>
        <v>0</v>
      </c>
      <c r="U96" s="1202"/>
    </row>
    <row r="97" spans="1:21" s="106" customFormat="1" ht="12">
      <c r="A97" s="107" t="s">
        <v>1892</v>
      </c>
      <c r="B97" s="263">
        <f>SUM(C97:D97)</f>
        <v>64472361</v>
      </c>
      <c r="C97" s="263">
        <f t="shared" ref="C97:R97" si="27">SUM(C63+C70+C77+C81+C96)</f>
        <v>64472361</v>
      </c>
      <c r="D97" s="263">
        <f t="shared" si="27"/>
        <v>0</v>
      </c>
      <c r="E97" s="263">
        <f t="shared" si="27"/>
        <v>39184711</v>
      </c>
      <c r="F97" s="263">
        <f t="shared" si="27"/>
        <v>14037650</v>
      </c>
      <c r="G97" s="263">
        <f t="shared" si="27"/>
        <v>3600000</v>
      </c>
      <c r="H97" s="263">
        <f t="shared" si="27"/>
        <v>7650000</v>
      </c>
      <c r="I97" s="263">
        <f t="shared" si="27"/>
        <v>0</v>
      </c>
      <c r="J97" s="263">
        <f t="shared" si="27"/>
        <v>0</v>
      </c>
      <c r="K97" s="263">
        <f t="shared" si="27"/>
        <v>0</v>
      </c>
      <c r="L97" s="263">
        <f t="shared" si="27"/>
        <v>0</v>
      </c>
      <c r="M97" s="263">
        <f t="shared" si="27"/>
        <v>0</v>
      </c>
      <c r="N97" s="263">
        <f t="shared" si="27"/>
        <v>0</v>
      </c>
      <c r="O97" s="263">
        <f t="shared" si="27"/>
        <v>0</v>
      </c>
      <c r="P97" s="263">
        <f t="shared" si="27"/>
        <v>0</v>
      </c>
      <c r="Q97" s="263">
        <f t="shared" si="27"/>
        <v>0</v>
      </c>
      <c r="R97" s="263">
        <f t="shared" si="27"/>
        <v>64472361</v>
      </c>
      <c r="S97" s="263">
        <f>SUM(S63+S70+S81+S96)</f>
        <v>58758489.09080001</v>
      </c>
      <c r="T97" s="263">
        <f>SUM(T63+T70+T81+T96)</f>
        <v>0</v>
      </c>
      <c r="U97" s="1202"/>
    </row>
    <row r="98" spans="1:21" s="106" customFormat="1">
      <c r="A98" s="105" t="s">
        <v>1893</v>
      </c>
      <c r="B98" s="264"/>
      <c r="C98" s="264"/>
      <c r="D98" s="264"/>
      <c r="E98" s="264"/>
      <c r="F98" s="264"/>
      <c r="G98" s="264"/>
      <c r="H98" s="264"/>
      <c r="I98" s="264"/>
      <c r="J98" s="264"/>
      <c r="K98" s="264"/>
      <c r="L98" s="264"/>
      <c r="M98" s="264"/>
      <c r="N98" s="264"/>
      <c r="O98" s="264"/>
      <c r="P98" s="264"/>
      <c r="Q98" s="264"/>
      <c r="R98" s="264"/>
      <c r="S98" s="264"/>
      <c r="T98" s="264"/>
      <c r="U98" s="1202"/>
    </row>
    <row r="99" spans="1:21" s="106" customFormat="1">
      <c r="A99" s="207" t="s">
        <v>1894</v>
      </c>
      <c r="B99" s="263">
        <f>SUM(C99+D99)</f>
        <v>8813773</v>
      </c>
      <c r="C99" s="898">
        <v>8813773</v>
      </c>
      <c r="D99" s="898"/>
      <c r="E99" s="898">
        <f>B99-I99</f>
        <v>4646427</v>
      </c>
      <c r="F99" s="898"/>
      <c r="G99" s="898"/>
      <c r="H99" s="898"/>
      <c r="I99" s="898">
        <f>I108</f>
        <v>4167346</v>
      </c>
      <c r="J99" s="898"/>
      <c r="K99" s="898"/>
      <c r="L99" s="898"/>
      <c r="M99" s="898"/>
      <c r="N99" s="898"/>
      <c r="O99" s="898"/>
      <c r="P99" s="898"/>
      <c r="Q99" s="898"/>
      <c r="R99" s="440">
        <f>SUM(E99:Q99)</f>
        <v>8813773</v>
      </c>
      <c r="S99" s="898">
        <f>C99</f>
        <v>8813773</v>
      </c>
      <c r="T99" s="898"/>
      <c r="U99" s="1202"/>
    </row>
    <row r="100" spans="1:21" s="106" customFormat="1">
      <c r="A100" s="207" t="s">
        <v>1895</v>
      </c>
      <c r="B100" s="263">
        <f>SUM(C100+D100)</f>
        <v>0</v>
      </c>
      <c r="C100" s="898"/>
      <c r="D100" s="898"/>
      <c r="E100" s="898"/>
      <c r="F100" s="898"/>
      <c r="G100" s="898"/>
      <c r="H100" s="898"/>
      <c r="I100" s="898"/>
      <c r="J100" s="898"/>
      <c r="K100" s="898"/>
      <c r="L100" s="898"/>
      <c r="M100" s="898"/>
      <c r="N100" s="898"/>
      <c r="O100" s="898"/>
      <c r="P100" s="898"/>
      <c r="Q100" s="898"/>
      <c r="R100" s="440">
        <f>SUM(E100:Q100)</f>
        <v>0</v>
      </c>
      <c r="S100" s="898"/>
      <c r="T100" s="898"/>
      <c r="U100" s="1202"/>
    </row>
    <row r="101" spans="1:21" s="106" customFormat="1" ht="12" customHeight="1">
      <c r="A101" s="207" t="s">
        <v>1896</v>
      </c>
      <c r="B101" s="263">
        <f>SUM(C101+D101)</f>
        <v>0</v>
      </c>
      <c r="C101" s="898"/>
      <c r="D101" s="898"/>
      <c r="E101" s="898"/>
      <c r="F101" s="898"/>
      <c r="G101" s="898"/>
      <c r="H101" s="898"/>
      <c r="I101" s="898"/>
      <c r="J101" s="898"/>
      <c r="K101" s="898"/>
      <c r="L101" s="898"/>
      <c r="M101" s="898"/>
      <c r="N101" s="898"/>
      <c r="O101" s="898"/>
      <c r="P101" s="898"/>
      <c r="Q101" s="898"/>
      <c r="R101" s="440">
        <f>SUM(E101:Q101)</f>
        <v>0</v>
      </c>
      <c r="S101" s="898"/>
      <c r="T101" s="898"/>
      <c r="U101" s="1202"/>
    </row>
    <row r="102" spans="1:21" s="106" customFormat="1">
      <c r="A102" s="207" t="s">
        <v>1897</v>
      </c>
      <c r="B102" s="263">
        <f>SUM(C102+D102)</f>
        <v>0</v>
      </c>
      <c r="C102" s="898"/>
      <c r="D102" s="898"/>
      <c r="E102" s="898"/>
      <c r="F102" s="898"/>
      <c r="G102" s="898"/>
      <c r="H102" s="898"/>
      <c r="I102" s="898"/>
      <c r="J102" s="898"/>
      <c r="K102" s="898"/>
      <c r="L102" s="898"/>
      <c r="M102" s="898"/>
      <c r="N102" s="898"/>
      <c r="O102" s="898"/>
      <c r="P102" s="898"/>
      <c r="Q102" s="898"/>
      <c r="R102" s="440">
        <f>SUM(E102:Q102)</f>
        <v>0</v>
      </c>
      <c r="S102" s="898"/>
      <c r="T102" s="898"/>
      <c r="U102" s="1202"/>
    </row>
    <row r="103" spans="1:21" s="106" customFormat="1">
      <c r="A103" s="1072" t="s">
        <v>1836</v>
      </c>
      <c r="B103" s="263">
        <f>SUM(C103+D103)</f>
        <v>0</v>
      </c>
      <c r="C103" s="898"/>
      <c r="D103" s="898"/>
      <c r="E103" s="898"/>
      <c r="F103" s="898"/>
      <c r="G103" s="898"/>
      <c r="H103" s="898"/>
      <c r="I103" s="898"/>
      <c r="J103" s="898"/>
      <c r="K103" s="898"/>
      <c r="L103" s="898"/>
      <c r="M103" s="898"/>
      <c r="N103" s="898"/>
      <c r="O103" s="898"/>
      <c r="P103" s="898"/>
      <c r="Q103" s="898"/>
      <c r="R103" s="440">
        <f>SUM(E103:Q103)</f>
        <v>0</v>
      </c>
      <c r="S103" s="898"/>
      <c r="T103" s="898"/>
      <c r="U103" s="1202"/>
    </row>
    <row r="104" spans="1:21" s="106" customFormat="1" ht="12">
      <c r="A104" s="107" t="s">
        <v>1898</v>
      </c>
      <c r="B104" s="263">
        <f>SUM(C104:D104)</f>
        <v>8813773</v>
      </c>
      <c r="C104" s="263">
        <f>SUM(C99:C103)</f>
        <v>8813773</v>
      </c>
      <c r="D104" s="263">
        <f t="shared" ref="D104:T104" si="28">SUM(D99:D103)</f>
        <v>0</v>
      </c>
      <c r="E104" s="263">
        <f t="shared" si="28"/>
        <v>4646427</v>
      </c>
      <c r="F104" s="263">
        <f t="shared" si="28"/>
        <v>0</v>
      </c>
      <c r="G104" s="263">
        <f t="shared" si="28"/>
        <v>0</v>
      </c>
      <c r="H104" s="263">
        <f t="shared" si="28"/>
        <v>0</v>
      </c>
      <c r="I104" s="263">
        <f t="shared" si="28"/>
        <v>4167346</v>
      </c>
      <c r="J104" s="263">
        <f t="shared" si="28"/>
        <v>0</v>
      </c>
      <c r="K104" s="263">
        <f t="shared" si="28"/>
        <v>0</v>
      </c>
      <c r="L104" s="263">
        <f t="shared" si="28"/>
        <v>0</v>
      </c>
      <c r="M104" s="263">
        <f t="shared" si="28"/>
        <v>0</v>
      </c>
      <c r="N104" s="263">
        <f t="shared" si="28"/>
        <v>0</v>
      </c>
      <c r="O104" s="263">
        <f t="shared" si="28"/>
        <v>0</v>
      </c>
      <c r="P104" s="263">
        <f t="shared" si="28"/>
        <v>0</v>
      </c>
      <c r="Q104" s="263">
        <f t="shared" si="28"/>
        <v>0</v>
      </c>
      <c r="R104" s="263">
        <f t="shared" si="28"/>
        <v>8813773</v>
      </c>
      <c r="S104" s="108">
        <f t="shared" si="28"/>
        <v>8813773</v>
      </c>
      <c r="T104" s="108">
        <f t="shared" si="28"/>
        <v>0</v>
      </c>
      <c r="U104" s="1202"/>
    </row>
    <row r="105" spans="1:21" s="106" customFormat="1" ht="12">
      <c r="A105" s="107" t="s">
        <v>1899</v>
      </c>
      <c r="B105" s="108">
        <f>SUM(C105:D105)</f>
        <v>73286134</v>
      </c>
      <c r="C105" s="108">
        <f t="shared" ref="C105:R105" si="29">SUM(C97+C104)</f>
        <v>73286134</v>
      </c>
      <c r="D105" s="108">
        <f t="shared" si="29"/>
        <v>0</v>
      </c>
      <c r="E105" s="108">
        <f t="shared" si="29"/>
        <v>43831138</v>
      </c>
      <c r="F105" s="108">
        <f t="shared" si="29"/>
        <v>14037650</v>
      </c>
      <c r="G105" s="108">
        <f t="shared" si="29"/>
        <v>3600000</v>
      </c>
      <c r="H105" s="108">
        <f t="shared" si="29"/>
        <v>7650000</v>
      </c>
      <c r="I105" s="108">
        <f t="shared" si="29"/>
        <v>4167346</v>
      </c>
      <c r="J105" s="108">
        <f t="shared" si="29"/>
        <v>0</v>
      </c>
      <c r="K105" s="108">
        <f t="shared" si="29"/>
        <v>0</v>
      </c>
      <c r="L105" s="108">
        <f t="shared" si="29"/>
        <v>0</v>
      </c>
      <c r="M105" s="108">
        <f t="shared" si="29"/>
        <v>0</v>
      </c>
      <c r="N105" s="108">
        <f t="shared" si="29"/>
        <v>0</v>
      </c>
      <c r="O105" s="108">
        <f t="shared" si="29"/>
        <v>0</v>
      </c>
      <c r="P105" s="108">
        <f t="shared" si="29"/>
        <v>0</v>
      </c>
      <c r="Q105" s="108">
        <f t="shared" si="29"/>
        <v>0</v>
      </c>
      <c r="R105" s="263">
        <f t="shared" si="29"/>
        <v>73286134</v>
      </c>
      <c r="S105" s="108">
        <f>S97+S104</f>
        <v>67572262.090800017</v>
      </c>
      <c r="T105" s="108">
        <f>T97+T104</f>
        <v>0</v>
      </c>
      <c r="U105" s="1202"/>
    </row>
    <row r="106" spans="1:21" ht="12">
      <c r="A106" s="438" t="s">
        <v>1900</v>
      </c>
      <c r="B106" s="1210"/>
      <c r="C106" s="1210"/>
      <c r="D106" s="1210"/>
      <c r="E106" s="247"/>
      <c r="F106" s="247"/>
      <c r="G106" s="247"/>
      <c r="H106" s="248" t="s">
        <v>1901</v>
      </c>
      <c r="I106" s="248"/>
      <c r="J106" s="248"/>
      <c r="K106" s="247"/>
      <c r="L106" s="247"/>
      <c r="M106" s="247"/>
      <c r="N106" s="247"/>
      <c r="O106" s="247"/>
      <c r="P106" s="247"/>
      <c r="Q106" s="247"/>
      <c r="R106" s="114" t="s">
        <v>1902</v>
      </c>
      <c r="S106" s="898"/>
      <c r="T106" s="898"/>
      <c r="U106" s="249"/>
    </row>
    <row r="107" spans="1:21" ht="12">
      <c r="A107" s="1210" t="s">
        <v>1903</v>
      </c>
      <c r="B107" s="247"/>
      <c r="C107" s="1210"/>
      <c r="D107" s="1210"/>
      <c r="E107" s="247"/>
      <c r="F107" s="247"/>
      <c r="G107" s="247"/>
      <c r="H107" s="247"/>
      <c r="I107" s="116" t="s">
        <v>1904</v>
      </c>
      <c r="J107" s="116"/>
      <c r="K107" s="247"/>
      <c r="L107" s="247"/>
      <c r="M107" s="247"/>
      <c r="N107" s="247"/>
      <c r="O107" s="247"/>
      <c r="P107" s="247"/>
      <c r="Q107" s="247"/>
      <c r="R107" s="114" t="s">
        <v>1905</v>
      </c>
      <c r="S107" s="108">
        <f>S105+S106</f>
        <v>67572262.090800017</v>
      </c>
      <c r="T107" s="108">
        <f>T105+T106</f>
        <v>0</v>
      </c>
      <c r="U107" s="249"/>
    </row>
    <row r="108" spans="1:21" s="136" customFormat="1" ht="12">
      <c r="A108" s="116" t="s">
        <v>1906</v>
      </c>
      <c r="B108" s="1210"/>
      <c r="C108" s="1210"/>
      <c r="D108" s="1210"/>
      <c r="E108" s="1211">
        <f>Application!AO640</f>
        <v>43831138</v>
      </c>
      <c r="F108" s="1211">
        <f>Application!AO627</f>
        <v>14037650</v>
      </c>
      <c r="G108" s="1211">
        <f>Application!AO628</f>
        <v>3600000</v>
      </c>
      <c r="H108" s="1211">
        <f>Application!AO629</f>
        <v>7650000</v>
      </c>
      <c r="I108" s="1211">
        <f>Application!AO630</f>
        <v>4167346</v>
      </c>
      <c r="J108" s="1211">
        <f>Application!AO631</f>
        <v>0</v>
      </c>
      <c r="K108" s="1211">
        <f>Application!AO632</f>
        <v>0</v>
      </c>
      <c r="L108" s="1211">
        <f>Application!AO633</f>
        <v>0</v>
      </c>
      <c r="M108" s="1211">
        <f>Application!AO634</f>
        <v>0</v>
      </c>
      <c r="N108" s="1211">
        <f>Application!AO635</f>
        <v>0</v>
      </c>
      <c r="O108" s="1211">
        <f>Application!AO636</f>
        <v>0</v>
      </c>
      <c r="P108" s="1211">
        <f>Application!AO637</f>
        <v>0</v>
      </c>
      <c r="Q108" s="1211">
        <f>Application!AO638</f>
        <v>0</v>
      </c>
      <c r="R108" s="247"/>
      <c r="S108" s="247"/>
      <c r="T108" s="247"/>
      <c r="U108" s="1212"/>
    </row>
    <row r="109" spans="1:21" ht="10.199999999999999" customHeight="1">
      <c r="A109" s="1210"/>
      <c r="B109" s="1210"/>
      <c r="C109" s="1210"/>
      <c r="D109" s="1210"/>
      <c r="E109" s="247"/>
      <c r="F109" s="247"/>
      <c r="G109" s="247"/>
      <c r="H109" s="247"/>
      <c r="I109" s="247"/>
      <c r="J109" s="247"/>
      <c r="K109" s="247"/>
      <c r="L109" s="247"/>
      <c r="M109" s="247"/>
      <c r="N109" s="247"/>
      <c r="O109" s="247"/>
      <c r="P109" s="247"/>
      <c r="Q109" s="247"/>
      <c r="R109" s="247"/>
      <c r="S109" s="247"/>
      <c r="T109" s="247"/>
      <c r="U109" s="249"/>
    </row>
    <row r="110" spans="1:21" ht="12">
      <c r="A110" s="116" t="s">
        <v>1907</v>
      </c>
      <c r="B110" s="1210"/>
      <c r="C110" s="1210"/>
      <c r="D110" s="1210"/>
      <c r="E110" s="247"/>
      <c r="F110" s="247"/>
      <c r="G110" s="247"/>
      <c r="H110" s="247"/>
      <c r="I110" s="247"/>
      <c r="J110" s="247"/>
      <c r="K110" s="247"/>
      <c r="L110" s="247"/>
      <c r="M110" s="247"/>
      <c r="N110" s="247"/>
      <c r="O110" s="247"/>
      <c r="P110" s="247"/>
      <c r="Q110" s="247"/>
      <c r="R110" s="247"/>
      <c r="S110" s="247"/>
      <c r="T110" s="247"/>
      <c r="U110" s="249"/>
    </row>
    <row r="111" spans="1:21" ht="12">
      <c r="A111" s="112" t="s">
        <v>1908</v>
      </c>
      <c r="B111" s="1210"/>
      <c r="C111" s="1210"/>
      <c r="D111" s="1210"/>
      <c r="E111" s="247"/>
      <c r="F111" s="247"/>
      <c r="G111" s="247"/>
      <c r="H111" s="247"/>
      <c r="I111" s="247"/>
      <c r="J111" s="247"/>
      <c r="K111" s="247"/>
      <c r="L111" s="247"/>
      <c r="M111" s="247"/>
      <c r="N111" s="247"/>
      <c r="O111" s="247"/>
      <c r="P111" s="247"/>
      <c r="Q111" s="247"/>
      <c r="R111" s="247"/>
      <c r="S111" s="247"/>
      <c r="T111" s="247"/>
      <c r="U111" s="249"/>
    </row>
    <row r="112" spans="1:21" ht="12" customHeight="1">
      <c r="A112" s="234"/>
      <c r="B112" s="1210"/>
      <c r="C112" s="1210"/>
      <c r="D112" s="1210"/>
      <c r="E112" s="247"/>
      <c r="F112" s="247"/>
      <c r="G112" s="247"/>
      <c r="H112" s="247"/>
      <c r="I112" s="247"/>
      <c r="J112" s="247"/>
      <c r="K112" s="247"/>
      <c r="L112" s="247"/>
      <c r="M112" s="247"/>
      <c r="N112" s="247"/>
      <c r="O112" s="247"/>
      <c r="P112" s="247"/>
      <c r="Q112" s="247"/>
      <c r="R112" s="247"/>
      <c r="S112" s="247"/>
      <c r="T112" s="247"/>
      <c r="U112" s="249"/>
    </row>
    <row r="113" spans="1:21" ht="12">
      <c r="A113" s="112" t="s">
        <v>1909</v>
      </c>
      <c r="B113" s="1210"/>
      <c r="C113" s="1210"/>
      <c r="D113" s="1210"/>
      <c r="E113" s="247"/>
      <c r="F113" s="247"/>
      <c r="G113" s="247"/>
      <c r="H113" s="247"/>
      <c r="I113" s="247"/>
      <c r="J113" s="247"/>
      <c r="K113" s="247"/>
      <c r="L113" s="247"/>
      <c r="M113" s="247"/>
      <c r="N113" s="247"/>
      <c r="O113" s="247"/>
      <c r="P113" s="247"/>
      <c r="Q113" s="247"/>
      <c r="R113" s="247"/>
      <c r="S113" s="247"/>
      <c r="T113" s="247"/>
      <c r="U113" s="249"/>
    </row>
    <row r="114" spans="1:21" ht="12">
      <c r="A114" s="112" t="s">
        <v>1910</v>
      </c>
      <c r="B114" s="1210"/>
      <c r="C114" s="1210"/>
      <c r="D114" s="1210"/>
      <c r="E114" s="247"/>
      <c r="F114" s="247"/>
      <c r="G114" s="247"/>
      <c r="H114" s="247"/>
      <c r="I114" s="247"/>
      <c r="J114" s="247"/>
      <c r="K114" s="247"/>
      <c r="L114" s="247"/>
      <c r="M114" s="247"/>
      <c r="N114" s="247"/>
      <c r="O114" s="247"/>
      <c r="P114" s="247"/>
      <c r="Q114" s="247"/>
      <c r="R114" s="247"/>
      <c r="S114" s="247"/>
      <c r="T114" s="247"/>
      <c r="U114" s="249"/>
    </row>
    <row r="115" spans="1:21" ht="12" customHeight="1">
      <c r="A115" s="234"/>
      <c r="B115" s="1210"/>
      <c r="C115" s="1210"/>
      <c r="D115" s="1210"/>
      <c r="E115" s="247"/>
      <c r="F115" s="247"/>
      <c r="G115" s="247"/>
      <c r="H115" s="247"/>
      <c r="I115" s="247"/>
      <c r="J115" s="247"/>
      <c r="K115" s="247"/>
      <c r="L115" s="247"/>
      <c r="M115" s="247"/>
      <c r="N115" s="247"/>
      <c r="O115" s="247"/>
      <c r="P115" s="247"/>
      <c r="Q115" s="247"/>
      <c r="R115" s="247"/>
      <c r="S115" s="247"/>
      <c r="T115" s="247"/>
      <c r="U115" s="249"/>
    </row>
    <row r="116" spans="1:21" ht="12">
      <c r="A116" s="266" t="s">
        <v>1911</v>
      </c>
      <c r="B116" s="1210"/>
      <c r="C116" s="1210"/>
      <c r="D116" s="1210"/>
      <c r="E116" s="247"/>
      <c r="F116" s="247"/>
      <c r="G116" s="247"/>
      <c r="H116" s="247"/>
      <c r="I116" s="247"/>
      <c r="J116" s="247"/>
      <c r="K116" s="247"/>
      <c r="L116" s="247"/>
      <c r="M116" s="247"/>
      <c r="N116" s="247"/>
      <c r="O116" s="247"/>
      <c r="P116" s="247"/>
      <c r="Q116" s="247"/>
      <c r="R116" s="247"/>
      <c r="S116" s="247"/>
      <c r="T116" s="247"/>
      <c r="U116" s="249"/>
    </row>
    <row r="117" spans="1:21" ht="12">
      <c r="A117" s="266" t="s">
        <v>1912</v>
      </c>
      <c r="B117" s="1210"/>
      <c r="C117" s="1210"/>
      <c r="D117" s="1210"/>
      <c r="E117" s="247"/>
      <c r="F117" s="247"/>
      <c r="G117" s="247"/>
      <c r="H117" s="247"/>
      <c r="I117" s="247"/>
      <c r="J117" s="247"/>
      <c r="K117" s="247"/>
      <c r="L117" s="247"/>
      <c r="M117" s="247"/>
      <c r="N117" s="247"/>
      <c r="O117" s="247"/>
      <c r="P117" s="247"/>
      <c r="Q117" s="247"/>
      <c r="R117" s="247"/>
      <c r="S117" s="247"/>
      <c r="T117" s="247"/>
      <c r="U117" s="249"/>
    </row>
    <row r="118" spans="1:21" ht="12">
      <c r="A118" s="266" t="s">
        <v>1913</v>
      </c>
      <c r="B118" s="1210"/>
      <c r="C118" s="1210"/>
      <c r="D118" s="1210"/>
      <c r="E118" s="247"/>
      <c r="F118" s="247"/>
      <c r="G118" s="247"/>
      <c r="H118" s="247"/>
      <c r="I118" s="247"/>
      <c r="J118" s="247"/>
      <c r="K118" s="247"/>
      <c r="L118" s="247"/>
      <c r="M118" s="247"/>
      <c r="N118" s="247"/>
      <c r="O118" s="247"/>
      <c r="P118" s="247"/>
      <c r="Q118" s="247"/>
      <c r="R118" s="247"/>
      <c r="S118" s="247"/>
      <c r="T118" s="247"/>
      <c r="U118" s="249"/>
    </row>
    <row r="119" spans="1:21" ht="12">
      <c r="A119" s="266" t="s">
        <v>1914</v>
      </c>
      <c r="B119" s="1210"/>
      <c r="C119" s="1210"/>
      <c r="D119" s="1210"/>
      <c r="E119" s="247"/>
      <c r="F119" s="247"/>
      <c r="G119" s="247"/>
      <c r="H119" s="247"/>
      <c r="I119" s="247"/>
      <c r="J119" s="247"/>
      <c r="K119" s="247"/>
      <c r="L119" s="247"/>
      <c r="M119" s="247"/>
      <c r="N119" s="247"/>
      <c r="O119" s="247"/>
      <c r="P119" s="247"/>
      <c r="Q119" s="247"/>
      <c r="R119" s="247"/>
      <c r="S119" s="247"/>
      <c r="T119" s="247"/>
      <c r="U119" s="249"/>
    </row>
    <row r="120" spans="1:21" ht="12" customHeight="1">
      <c r="A120" s="265"/>
      <c r="B120" s="1210"/>
      <c r="C120" s="1210"/>
      <c r="D120" s="1210"/>
      <c r="E120" s="247"/>
      <c r="F120" s="247"/>
      <c r="G120" s="247"/>
      <c r="H120" s="247"/>
      <c r="I120" s="247"/>
      <c r="J120" s="247"/>
      <c r="K120" s="247"/>
      <c r="L120" s="247"/>
      <c r="M120" s="247"/>
      <c r="N120" s="247"/>
      <c r="O120" s="247"/>
      <c r="P120" s="247"/>
      <c r="Q120" s="247"/>
      <c r="R120" s="247"/>
      <c r="S120" s="247"/>
      <c r="T120" s="247"/>
      <c r="U120" s="249"/>
    </row>
    <row r="121" spans="1:21" ht="15.6">
      <c r="A121" s="259" t="s">
        <v>1915</v>
      </c>
      <c r="B121" s="1210"/>
      <c r="C121" s="1210"/>
      <c r="D121" s="1210"/>
      <c r="E121" s="247"/>
      <c r="F121" s="247"/>
      <c r="G121" s="247"/>
      <c r="H121" s="247"/>
      <c r="I121" s="247"/>
      <c r="J121" s="247"/>
      <c r="K121" s="247"/>
      <c r="L121" s="247"/>
      <c r="M121" s="247"/>
      <c r="N121" s="247"/>
      <c r="O121" s="247"/>
      <c r="P121" s="247"/>
      <c r="Q121" s="247"/>
      <c r="R121" s="247"/>
      <c r="S121" s="247"/>
      <c r="T121" s="247"/>
      <c r="U121" s="249"/>
    </row>
    <row r="122" spans="1:21">
      <c r="A122" s="248" t="s">
        <v>1916</v>
      </c>
      <c r="B122" s="247"/>
      <c r="C122" s="247"/>
      <c r="D122" s="1801" t="s">
        <v>1917</v>
      </c>
      <c r="E122" s="1801"/>
      <c r="F122" s="1801"/>
      <c r="G122" s="247"/>
      <c r="H122" s="247"/>
      <c r="I122" s="247"/>
      <c r="J122" s="247"/>
      <c r="K122" s="247"/>
      <c r="L122" s="247"/>
      <c r="M122" s="247"/>
      <c r="N122" s="247"/>
      <c r="O122" s="247"/>
      <c r="P122" s="247"/>
      <c r="Q122" s="247"/>
      <c r="R122" s="247"/>
      <c r="S122" s="247"/>
      <c r="T122" s="247"/>
      <c r="U122" s="249"/>
    </row>
    <row r="123" spans="1:21">
      <c r="A123" s="247" t="s">
        <v>1918</v>
      </c>
      <c r="B123" s="256"/>
      <c r="C123" s="247"/>
      <c r="D123" s="1794" t="s">
        <v>1919</v>
      </c>
      <c r="E123" s="1495"/>
      <c r="F123" s="1495"/>
      <c r="G123" s="1495"/>
      <c r="H123" s="1495"/>
      <c r="I123" s="1495"/>
      <c r="J123" s="1495"/>
      <c r="K123" s="1495"/>
      <c r="L123" s="1495"/>
      <c r="M123" s="1495"/>
      <c r="N123" s="1495"/>
      <c r="O123" s="1495"/>
      <c r="P123" s="1495"/>
      <c r="Q123" s="1495"/>
      <c r="R123" s="1495"/>
      <c r="S123" s="1495"/>
      <c r="T123" s="247"/>
      <c r="U123" s="249"/>
    </row>
    <row r="124" spans="1:21" ht="13.2">
      <c r="A124" s="381" t="s">
        <v>1920</v>
      </c>
      <c r="B124" s="256"/>
      <c r="C124" s="381"/>
      <c r="D124" s="1495"/>
      <c r="E124" s="1495"/>
      <c r="F124" s="1495"/>
      <c r="G124" s="1495"/>
      <c r="H124" s="1495"/>
      <c r="I124" s="1495"/>
      <c r="J124" s="1495"/>
      <c r="K124" s="1495"/>
      <c r="L124" s="1495"/>
      <c r="M124" s="1495"/>
      <c r="N124" s="1495"/>
      <c r="O124" s="1495"/>
      <c r="P124" s="1495"/>
      <c r="Q124" s="1495"/>
      <c r="R124" s="1495"/>
      <c r="S124" s="1495"/>
      <c r="T124" s="247"/>
      <c r="U124" s="249"/>
    </row>
    <row r="125" spans="1:21" ht="13.2">
      <c r="A125" s="381" t="s">
        <v>1921</v>
      </c>
      <c r="B125" s="256"/>
      <c r="C125" s="381"/>
      <c r="D125" s="1495"/>
      <c r="E125" s="1495"/>
      <c r="F125" s="1495"/>
      <c r="G125" s="1495"/>
      <c r="H125" s="1495"/>
      <c r="I125" s="1495"/>
      <c r="J125" s="1495"/>
      <c r="K125" s="1495"/>
      <c r="L125" s="1495"/>
      <c r="M125" s="1495"/>
      <c r="N125" s="1495"/>
      <c r="O125" s="1495"/>
      <c r="P125" s="1495"/>
      <c r="Q125" s="1495"/>
      <c r="R125" s="1495"/>
      <c r="S125" s="1495"/>
      <c r="T125" s="247"/>
      <c r="U125" s="249"/>
    </row>
    <row r="126" spans="1:21" ht="13.2">
      <c r="A126" s="381" t="s">
        <v>1922</v>
      </c>
      <c r="B126" s="256"/>
      <c r="C126" s="381"/>
      <c r="D126" s="86"/>
      <c r="E126" s="86"/>
      <c r="F126" s="86"/>
      <c r="G126" s="86"/>
      <c r="H126" s="86"/>
      <c r="I126" s="86"/>
      <c r="J126" s="86"/>
      <c r="K126" s="86"/>
      <c r="L126" s="86"/>
      <c r="M126" s="86"/>
      <c r="N126" s="86"/>
      <c r="O126" s="381"/>
      <c r="P126" s="381"/>
      <c r="Q126" s="381"/>
      <c r="R126" s="381"/>
      <c r="S126" s="381"/>
      <c r="T126" s="247"/>
      <c r="U126" s="249"/>
    </row>
    <row r="127" spans="1:21" ht="13.2">
      <c r="A127" s="381" t="s">
        <v>1923</v>
      </c>
      <c r="B127" s="256"/>
      <c r="C127" s="381"/>
      <c r="D127" s="86"/>
      <c r="E127" s="86"/>
      <c r="F127" s="86"/>
      <c r="G127" s="86"/>
      <c r="H127" s="86"/>
      <c r="I127" s="86"/>
      <c r="J127" s="86"/>
      <c r="K127" s="86"/>
      <c r="L127" s="86"/>
      <c r="M127" s="86"/>
      <c r="N127" s="86"/>
      <c r="O127" s="381"/>
      <c r="P127" s="381"/>
      <c r="Q127" s="381"/>
      <c r="R127" s="381"/>
      <c r="S127" s="381"/>
      <c r="T127" s="247"/>
      <c r="U127" s="249"/>
    </row>
    <row r="128" spans="1:21" ht="13.2">
      <c r="A128" s="381" t="s">
        <v>1924</v>
      </c>
      <c r="B128" s="256"/>
      <c r="C128" s="381"/>
      <c r="D128" s="1796"/>
      <c r="E128" s="1796"/>
      <c r="F128" s="1796"/>
      <c r="G128" s="1796"/>
      <c r="H128" s="1796"/>
      <c r="I128" s="381"/>
      <c r="J128" s="1793"/>
      <c r="K128" s="1793"/>
      <c r="L128" s="381"/>
      <c r="M128" s="381"/>
      <c r="N128" s="381"/>
      <c r="O128" s="381"/>
      <c r="P128" s="381"/>
      <c r="Q128" s="381"/>
      <c r="R128" s="381"/>
      <c r="S128" s="381"/>
      <c r="T128" s="247"/>
      <c r="U128" s="249"/>
    </row>
    <row r="129" spans="1:21" ht="13.2">
      <c r="A129" s="381" t="s">
        <v>1099</v>
      </c>
      <c r="B129" s="256"/>
      <c r="C129" s="381"/>
      <c r="D129" s="1800" t="s">
        <v>1925</v>
      </c>
      <c r="E129" s="1800"/>
      <c r="F129" s="1800"/>
      <c r="G129" s="1800"/>
      <c r="H129" s="1800"/>
      <c r="I129" s="381"/>
      <c r="J129" s="381" t="s">
        <v>1926</v>
      </c>
      <c r="K129" s="381"/>
      <c r="L129" s="381"/>
      <c r="M129" s="381"/>
      <c r="N129" s="381"/>
      <c r="O129" s="381"/>
      <c r="P129" s="381"/>
      <c r="Q129" s="381"/>
      <c r="R129" s="381"/>
      <c r="S129" s="381"/>
      <c r="T129" s="247"/>
      <c r="U129" s="249"/>
    </row>
    <row r="130" spans="1:21" ht="12" customHeight="1">
      <c r="A130" s="381"/>
      <c r="B130" s="255"/>
      <c r="C130" s="381"/>
      <c r="D130" s="381"/>
      <c r="E130" s="381"/>
      <c r="F130" s="381"/>
      <c r="G130" s="381"/>
      <c r="H130" s="381"/>
      <c r="I130" s="381"/>
      <c r="J130" s="381"/>
      <c r="K130" s="381"/>
      <c r="L130" s="381"/>
      <c r="M130" s="381"/>
      <c r="N130" s="381"/>
      <c r="O130" s="381"/>
      <c r="P130" s="381"/>
      <c r="Q130" s="381"/>
      <c r="R130" s="381"/>
      <c r="S130" s="381"/>
      <c r="T130" s="247"/>
      <c r="U130" s="249"/>
    </row>
    <row r="131" spans="1:21" ht="13.2">
      <c r="A131" s="258" t="s">
        <v>1927</v>
      </c>
      <c r="B131" s="257">
        <f>SUM(B123:B129)</f>
        <v>0</v>
      </c>
      <c r="C131" s="381"/>
      <c r="D131" s="1380"/>
      <c r="E131" s="1380"/>
      <c r="F131" s="1380"/>
      <c r="G131" s="1380"/>
      <c r="H131" s="1380"/>
      <c r="I131" s="381"/>
      <c r="J131" s="1380"/>
      <c r="K131" s="1380"/>
      <c r="L131" s="1380"/>
      <c r="M131" s="1380"/>
      <c r="N131" s="381"/>
      <c r="O131" s="381"/>
      <c r="P131" s="381"/>
      <c r="Q131" s="381"/>
      <c r="R131" s="381"/>
      <c r="S131" s="381"/>
      <c r="T131" s="247"/>
      <c r="U131" s="249"/>
    </row>
    <row r="132" spans="1:21" ht="12" customHeight="1">
      <c r="A132" s="1213"/>
      <c r="B132" s="381"/>
      <c r="C132" s="381"/>
      <c r="D132" s="1304" t="s">
        <v>1928</v>
      </c>
      <c r="E132" s="1304"/>
      <c r="F132" s="1304"/>
      <c r="G132" s="1304"/>
      <c r="H132" s="1304"/>
      <c r="I132" s="381"/>
      <c r="J132" s="1304" t="s">
        <v>1929</v>
      </c>
      <c r="K132" s="1304"/>
      <c r="L132" s="1304"/>
      <c r="M132" s="1304"/>
      <c r="N132" s="381"/>
      <c r="O132" s="381"/>
      <c r="P132" s="381"/>
      <c r="Q132" s="381"/>
      <c r="R132" s="381"/>
      <c r="S132" s="381"/>
      <c r="T132" s="247"/>
      <c r="U132" s="249"/>
    </row>
    <row r="133" spans="1:21" ht="12" customHeight="1">
      <c r="A133" s="1213"/>
      <c r="B133" s="381"/>
      <c r="C133" s="381"/>
      <c r="D133" s="381"/>
      <c r="E133" s="381"/>
      <c r="F133" s="381"/>
      <c r="G133" s="381"/>
      <c r="H133" s="381"/>
      <c r="I133" s="381"/>
      <c r="J133" s="381"/>
      <c r="K133" s="381"/>
      <c r="L133" s="381"/>
      <c r="M133" s="381"/>
      <c r="N133" s="381"/>
      <c r="O133" s="381"/>
      <c r="P133" s="381"/>
      <c r="Q133" s="381"/>
      <c r="R133" s="381"/>
      <c r="S133" s="381"/>
      <c r="T133" s="247"/>
      <c r="U133" s="249"/>
    </row>
    <row r="134" spans="1:21" ht="13.2">
      <c r="A134" s="443" t="s">
        <v>1930</v>
      </c>
      <c r="B134" s="381"/>
      <c r="C134" s="381"/>
      <c r="D134" s="381"/>
      <c r="E134" s="381"/>
      <c r="F134" s="381"/>
      <c r="G134" s="381"/>
      <c r="H134" s="381"/>
      <c r="I134" s="381"/>
      <c r="J134" s="381"/>
      <c r="K134" s="381"/>
      <c r="L134" s="381"/>
      <c r="M134" s="381"/>
      <c r="N134" s="381"/>
      <c r="O134" s="381"/>
      <c r="P134" s="381"/>
      <c r="Q134" s="381"/>
      <c r="R134" s="381"/>
      <c r="S134" s="381"/>
      <c r="T134" s="247"/>
      <c r="U134" s="249"/>
    </row>
    <row r="135" spans="1:21" ht="13.2">
      <c r="A135" s="234" t="s">
        <v>1931</v>
      </c>
      <c r="B135" s="381"/>
      <c r="C135" s="381"/>
      <c r="D135" s="381"/>
      <c r="E135" s="381"/>
      <c r="F135" s="381"/>
      <c r="G135" s="381"/>
      <c r="H135" s="381"/>
      <c r="I135" s="381"/>
      <c r="J135" s="381"/>
      <c r="K135" s="381"/>
      <c r="L135" s="381"/>
      <c r="M135" s="381"/>
      <c r="N135" s="1214"/>
      <c r="O135" s="381"/>
      <c r="P135" s="381"/>
      <c r="Q135" s="381"/>
      <c r="R135" s="381"/>
      <c r="S135" s="381"/>
      <c r="T135" s="247"/>
      <c r="U135" s="249"/>
    </row>
    <row r="136" spans="1:21" ht="12" customHeight="1">
      <c r="A136" s="1213"/>
      <c r="B136" s="381"/>
      <c r="C136" s="381"/>
      <c r="D136" s="381"/>
      <c r="E136" s="381"/>
      <c r="F136" s="381"/>
      <c r="G136" s="381"/>
      <c r="H136" s="381"/>
      <c r="I136" s="381"/>
      <c r="J136" s="381"/>
      <c r="K136" s="381"/>
      <c r="L136" s="381"/>
      <c r="M136" s="381"/>
      <c r="N136" s="381"/>
      <c r="O136" s="381"/>
      <c r="P136" s="381"/>
      <c r="Q136" s="381"/>
      <c r="R136" s="381"/>
      <c r="S136" s="381"/>
      <c r="T136" s="253"/>
      <c r="U136" s="254"/>
    </row>
    <row r="137" spans="1:21" ht="13.2">
      <c r="A137" s="1213"/>
      <c r="B137" s="381"/>
      <c r="C137" s="381"/>
      <c r="D137" s="381"/>
      <c r="E137" s="381"/>
      <c r="F137" s="381"/>
      <c r="G137" s="381"/>
      <c r="H137" s="381"/>
      <c r="I137" s="381"/>
      <c r="J137" s="381"/>
      <c r="K137" s="381"/>
      <c r="L137" s="381"/>
      <c r="M137" s="381"/>
      <c r="N137" s="381"/>
      <c r="O137" s="381"/>
      <c r="P137" s="381"/>
      <c r="Q137" s="381"/>
      <c r="R137" s="381"/>
      <c r="S137" s="381"/>
      <c r="T137" s="253"/>
      <c r="U137" s="254"/>
    </row>
    <row r="138" spans="1:21" ht="12" customHeight="1">
      <c r="A138" s="1795"/>
      <c r="B138" s="1796"/>
      <c r="C138" s="1796"/>
      <c r="D138" s="251"/>
      <c r="E138" s="1793"/>
      <c r="F138" s="1793"/>
      <c r="G138" s="381"/>
      <c r="H138" s="381"/>
      <c r="I138" s="381"/>
      <c r="J138" s="381"/>
      <c r="K138" s="381"/>
      <c r="L138" s="381"/>
      <c r="M138" s="381"/>
      <c r="N138" s="381"/>
      <c r="O138" s="381"/>
      <c r="P138" s="381"/>
      <c r="Q138" s="381"/>
      <c r="R138" s="381"/>
      <c r="S138" s="381"/>
      <c r="T138" s="253"/>
      <c r="U138" s="254"/>
    </row>
    <row r="139" spans="1:21" ht="13.2">
      <c r="A139" s="1792" t="s">
        <v>1932</v>
      </c>
      <c r="B139" s="1792"/>
      <c r="C139" s="1792"/>
      <c r="D139" s="251"/>
      <c r="E139" s="381" t="s">
        <v>1926</v>
      </c>
      <c r="F139" s="381"/>
      <c r="G139" s="381"/>
      <c r="H139" s="381"/>
      <c r="I139" s="381"/>
      <c r="J139" s="381"/>
      <c r="K139" s="381"/>
      <c r="L139" s="381"/>
      <c r="M139" s="381"/>
      <c r="N139" s="381"/>
      <c r="O139" s="381"/>
      <c r="P139" s="381"/>
      <c r="Q139" s="381"/>
      <c r="R139" s="381"/>
      <c r="S139" s="381"/>
      <c r="T139" s="253"/>
      <c r="U139" s="254"/>
    </row>
    <row r="140" spans="1:21" ht="13.2">
      <c r="A140" s="1213"/>
      <c r="B140" s="381"/>
      <c r="C140" s="381"/>
      <c r="D140" s="251"/>
      <c r="E140" s="381"/>
      <c r="F140" s="381"/>
      <c r="G140" s="381"/>
      <c r="H140" s="381"/>
      <c r="I140" s="381"/>
      <c r="J140" s="381"/>
      <c r="K140" s="381"/>
      <c r="L140" s="381"/>
      <c r="M140" s="381"/>
      <c r="N140" s="381"/>
      <c r="O140" s="381"/>
      <c r="P140" s="381"/>
      <c r="Q140" s="381"/>
      <c r="R140" s="381"/>
      <c r="S140" s="381"/>
      <c r="T140" s="250"/>
      <c r="U140" s="252"/>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G19" sqref="G19"/>
    </sheetView>
  </sheetViews>
  <sheetFormatPr defaultColWidth="0" defaultRowHeight="12" zeroHeight="1"/>
  <cols>
    <col min="1" max="1" width="32.6640625" style="321" customWidth="1"/>
    <col min="2" max="3" width="12.33203125" style="317" customWidth="1"/>
    <col min="4" max="6" width="12.6640625" style="317" customWidth="1"/>
    <col min="7" max="9" width="12.33203125" style="317" customWidth="1"/>
    <col min="10" max="10" width="12.33203125" style="318" customWidth="1"/>
    <col min="11" max="11" width="8.6640625" style="319" hidden="1" customWidth="1"/>
    <col min="12" max="21" width="8.6640625" style="317" hidden="1" customWidth="1"/>
    <col min="22" max="23" width="0" style="317" hidden="1"/>
    <col min="24" max="256" width="8.6640625" style="317" hidden="1"/>
    <col min="257" max="257" width="32.6640625" style="317" hidden="1" customWidth="1"/>
    <col min="258" max="259" width="12.33203125" style="317" hidden="1" customWidth="1"/>
    <col min="260" max="260" width="12.6640625" style="317" hidden="1" customWidth="1"/>
    <col min="261" max="266" width="12.33203125" style="317" hidden="1" customWidth="1"/>
    <col min="267" max="277" width="8.6640625" style="317" hidden="1" customWidth="1"/>
    <col min="278" max="512" width="8.6640625" style="317" hidden="1"/>
    <col min="513" max="513" width="32.6640625" style="317" hidden="1" customWidth="1"/>
    <col min="514" max="515" width="12.33203125" style="317" hidden="1" customWidth="1"/>
    <col min="516" max="516" width="12.6640625" style="317" hidden="1" customWidth="1"/>
    <col min="517" max="522" width="12.33203125" style="317" hidden="1" customWidth="1"/>
    <col min="523" max="533" width="8.6640625" style="317" hidden="1" customWidth="1"/>
    <col min="534" max="768" width="8.6640625" style="317" hidden="1"/>
    <col min="769" max="769" width="32.6640625" style="317" hidden="1" customWidth="1"/>
    <col min="770" max="771" width="12.33203125" style="317" hidden="1" customWidth="1"/>
    <col min="772" max="772" width="12.6640625" style="317" hidden="1" customWidth="1"/>
    <col min="773" max="778" width="12.33203125" style="317" hidden="1" customWidth="1"/>
    <col min="779" max="789" width="8.6640625" style="317" hidden="1" customWidth="1"/>
    <col min="790" max="1024" width="8.6640625" style="317" hidden="1"/>
    <col min="1025" max="1025" width="32.6640625" style="317" hidden="1" customWidth="1"/>
    <col min="1026" max="1027" width="12.33203125" style="317" hidden="1" customWidth="1"/>
    <col min="1028" max="1028" width="12.6640625" style="317" hidden="1" customWidth="1"/>
    <col min="1029" max="1034" width="12.33203125" style="317" hidden="1" customWidth="1"/>
    <col min="1035" max="1045" width="8.6640625" style="317" hidden="1" customWidth="1"/>
    <col min="1046" max="1280" width="8.6640625" style="317" hidden="1"/>
    <col min="1281" max="1281" width="32.6640625" style="317" hidden="1" customWidth="1"/>
    <col min="1282" max="1283" width="12.33203125" style="317" hidden="1" customWidth="1"/>
    <col min="1284" max="1284" width="12.6640625" style="317" hidden="1" customWidth="1"/>
    <col min="1285" max="1290" width="12.33203125" style="317" hidden="1" customWidth="1"/>
    <col min="1291" max="1301" width="8.6640625" style="317" hidden="1" customWidth="1"/>
    <col min="1302" max="1536" width="8.6640625" style="317" hidden="1"/>
    <col min="1537" max="1537" width="32.6640625" style="317" hidden="1" customWidth="1"/>
    <col min="1538" max="1539" width="12.33203125" style="317" hidden="1" customWidth="1"/>
    <col min="1540" max="1540" width="12.6640625" style="317" hidden="1" customWidth="1"/>
    <col min="1541" max="1546" width="12.33203125" style="317" hidden="1" customWidth="1"/>
    <col min="1547" max="1557" width="8.6640625" style="317" hidden="1" customWidth="1"/>
    <col min="1558" max="1792" width="8.6640625" style="317" hidden="1"/>
    <col min="1793" max="1793" width="32.6640625" style="317" hidden="1" customWidth="1"/>
    <col min="1794" max="1795" width="12.33203125" style="317" hidden="1" customWidth="1"/>
    <col min="1796" max="1796" width="12.6640625" style="317" hidden="1" customWidth="1"/>
    <col min="1797" max="1802" width="12.33203125" style="317" hidden="1" customWidth="1"/>
    <col min="1803" max="1813" width="8.6640625" style="317" hidden="1" customWidth="1"/>
    <col min="1814" max="2048" width="8.6640625" style="317" hidden="1"/>
    <col min="2049" max="2049" width="32.6640625" style="317" hidden="1" customWidth="1"/>
    <col min="2050" max="2051" width="12.33203125" style="317" hidden="1" customWidth="1"/>
    <col min="2052" max="2052" width="12.6640625" style="317" hidden="1" customWidth="1"/>
    <col min="2053" max="2058" width="12.33203125" style="317" hidden="1" customWidth="1"/>
    <col min="2059" max="2069" width="8.6640625" style="317" hidden="1" customWidth="1"/>
    <col min="2070" max="2304" width="8.6640625" style="317" hidden="1"/>
    <col min="2305" max="2305" width="32.6640625" style="317" hidden="1" customWidth="1"/>
    <col min="2306" max="2307" width="12.33203125" style="317" hidden="1" customWidth="1"/>
    <col min="2308" max="2308" width="12.6640625" style="317" hidden="1" customWidth="1"/>
    <col min="2309" max="2314" width="12.33203125" style="317" hidden="1" customWidth="1"/>
    <col min="2315" max="2325" width="8.6640625" style="317" hidden="1" customWidth="1"/>
    <col min="2326" max="2560" width="8.6640625" style="317" hidden="1"/>
    <col min="2561" max="2561" width="32.6640625" style="317" hidden="1" customWidth="1"/>
    <col min="2562" max="2563" width="12.33203125" style="317" hidden="1" customWidth="1"/>
    <col min="2564" max="2564" width="12.6640625" style="317" hidden="1" customWidth="1"/>
    <col min="2565" max="2570" width="12.33203125" style="317" hidden="1" customWidth="1"/>
    <col min="2571" max="2581" width="8.6640625" style="317" hidden="1" customWidth="1"/>
    <col min="2582" max="2816" width="8.6640625" style="317" hidden="1"/>
    <col min="2817" max="2817" width="32.6640625" style="317" hidden="1" customWidth="1"/>
    <col min="2818" max="2819" width="12.33203125" style="317" hidden="1" customWidth="1"/>
    <col min="2820" max="2820" width="12.6640625" style="317" hidden="1" customWidth="1"/>
    <col min="2821" max="2826" width="12.33203125" style="317" hidden="1" customWidth="1"/>
    <col min="2827" max="2837" width="8.6640625" style="317" hidden="1" customWidth="1"/>
    <col min="2838" max="3072" width="8.6640625" style="317" hidden="1"/>
    <col min="3073" max="3073" width="32.6640625" style="317" hidden="1" customWidth="1"/>
    <col min="3074" max="3075" width="12.33203125" style="317" hidden="1" customWidth="1"/>
    <col min="3076" max="3076" width="12.6640625" style="317" hidden="1" customWidth="1"/>
    <col min="3077" max="3082" width="12.33203125" style="317" hidden="1" customWidth="1"/>
    <col min="3083" max="3093" width="8.6640625" style="317" hidden="1" customWidth="1"/>
    <col min="3094" max="3328" width="8.6640625" style="317" hidden="1"/>
    <col min="3329" max="3329" width="32.6640625" style="317" hidden="1" customWidth="1"/>
    <col min="3330" max="3331" width="12.33203125" style="317" hidden="1" customWidth="1"/>
    <col min="3332" max="3332" width="12.6640625" style="317" hidden="1" customWidth="1"/>
    <col min="3333" max="3338" width="12.33203125" style="317" hidden="1" customWidth="1"/>
    <col min="3339" max="3349" width="8.6640625" style="317" hidden="1" customWidth="1"/>
    <col min="3350" max="3584" width="8.6640625" style="317" hidden="1"/>
    <col min="3585" max="3585" width="32.6640625" style="317" hidden="1" customWidth="1"/>
    <col min="3586" max="3587" width="12.33203125" style="317" hidden="1" customWidth="1"/>
    <col min="3588" max="3588" width="12.6640625" style="317" hidden="1" customWidth="1"/>
    <col min="3589" max="3594" width="12.33203125" style="317" hidden="1" customWidth="1"/>
    <col min="3595" max="3605" width="8.6640625" style="317" hidden="1" customWidth="1"/>
    <col min="3606" max="3840" width="8.6640625" style="317" hidden="1"/>
    <col min="3841" max="3841" width="32.6640625" style="317" hidden="1" customWidth="1"/>
    <col min="3842" max="3843" width="12.33203125" style="317" hidden="1" customWidth="1"/>
    <col min="3844" max="3844" width="12.6640625" style="317" hidden="1" customWidth="1"/>
    <col min="3845" max="3850" width="12.33203125" style="317" hidden="1" customWidth="1"/>
    <col min="3851" max="3861" width="8.6640625" style="317" hidden="1" customWidth="1"/>
    <col min="3862" max="4096" width="8.6640625" style="317" hidden="1"/>
    <col min="4097" max="4097" width="32.6640625" style="317" hidden="1" customWidth="1"/>
    <col min="4098" max="4099" width="12.33203125" style="317" hidden="1" customWidth="1"/>
    <col min="4100" max="4100" width="12.6640625" style="317" hidden="1" customWidth="1"/>
    <col min="4101" max="4106" width="12.33203125" style="317" hidden="1" customWidth="1"/>
    <col min="4107" max="4117" width="8.6640625" style="317" hidden="1" customWidth="1"/>
    <col min="4118" max="4352" width="8.6640625" style="317" hidden="1"/>
    <col min="4353" max="4353" width="32.6640625" style="317" hidden="1" customWidth="1"/>
    <col min="4354" max="4355" width="12.33203125" style="317" hidden="1" customWidth="1"/>
    <col min="4356" max="4356" width="12.6640625" style="317" hidden="1" customWidth="1"/>
    <col min="4357" max="4362" width="12.33203125" style="317" hidden="1" customWidth="1"/>
    <col min="4363" max="4373" width="8.6640625" style="317" hidden="1" customWidth="1"/>
    <col min="4374" max="4608" width="8.6640625" style="317" hidden="1"/>
    <col min="4609" max="4609" width="32.6640625" style="317" hidden="1" customWidth="1"/>
    <col min="4610" max="4611" width="12.33203125" style="317" hidden="1" customWidth="1"/>
    <col min="4612" max="4612" width="12.6640625" style="317" hidden="1" customWidth="1"/>
    <col min="4613" max="4618" width="12.33203125" style="317" hidden="1" customWidth="1"/>
    <col min="4619" max="4629" width="8.6640625" style="317" hidden="1" customWidth="1"/>
    <col min="4630" max="4864" width="8.6640625" style="317" hidden="1"/>
    <col min="4865" max="4865" width="32.6640625" style="317" hidden="1" customWidth="1"/>
    <col min="4866" max="4867" width="12.33203125" style="317" hidden="1" customWidth="1"/>
    <col min="4868" max="4868" width="12.6640625" style="317" hidden="1" customWidth="1"/>
    <col min="4869" max="4874" width="12.33203125" style="317" hidden="1" customWidth="1"/>
    <col min="4875" max="4885" width="8.6640625" style="317" hidden="1" customWidth="1"/>
    <col min="4886" max="5120" width="8.6640625" style="317" hidden="1"/>
    <col min="5121" max="5121" width="32.6640625" style="317" hidden="1" customWidth="1"/>
    <col min="5122" max="5123" width="12.33203125" style="317" hidden="1" customWidth="1"/>
    <col min="5124" max="5124" width="12.6640625" style="317" hidden="1" customWidth="1"/>
    <col min="5125" max="5130" width="12.33203125" style="317" hidden="1" customWidth="1"/>
    <col min="5131" max="5141" width="8.6640625" style="317" hidden="1" customWidth="1"/>
    <col min="5142" max="5376" width="8.6640625" style="317" hidden="1"/>
    <col min="5377" max="5377" width="32.6640625" style="317" hidden="1" customWidth="1"/>
    <col min="5378" max="5379" width="12.33203125" style="317" hidden="1" customWidth="1"/>
    <col min="5380" max="5380" width="12.6640625" style="317" hidden="1" customWidth="1"/>
    <col min="5381" max="5386" width="12.33203125" style="317" hidden="1" customWidth="1"/>
    <col min="5387" max="5397" width="8.6640625" style="317" hidden="1" customWidth="1"/>
    <col min="5398" max="5632" width="8.6640625" style="317" hidden="1"/>
    <col min="5633" max="5633" width="32.6640625" style="317" hidden="1" customWidth="1"/>
    <col min="5634" max="5635" width="12.33203125" style="317" hidden="1" customWidth="1"/>
    <col min="5636" max="5636" width="12.6640625" style="317" hidden="1" customWidth="1"/>
    <col min="5637" max="5642" width="12.33203125" style="317" hidden="1" customWidth="1"/>
    <col min="5643" max="5653" width="8.6640625" style="317" hidden="1" customWidth="1"/>
    <col min="5654" max="5888" width="8.6640625" style="317" hidden="1"/>
    <col min="5889" max="5889" width="32.6640625" style="317" hidden="1" customWidth="1"/>
    <col min="5890" max="5891" width="12.33203125" style="317" hidden="1" customWidth="1"/>
    <col min="5892" max="5892" width="12.6640625" style="317" hidden="1" customWidth="1"/>
    <col min="5893" max="5898" width="12.33203125" style="317" hidden="1" customWidth="1"/>
    <col min="5899" max="5909" width="8.6640625" style="317" hidden="1" customWidth="1"/>
    <col min="5910" max="6144" width="8.6640625" style="317" hidden="1"/>
    <col min="6145" max="6145" width="32.6640625" style="317" hidden="1" customWidth="1"/>
    <col min="6146" max="6147" width="12.33203125" style="317" hidden="1" customWidth="1"/>
    <col min="6148" max="6148" width="12.6640625" style="317" hidden="1" customWidth="1"/>
    <col min="6149" max="6154" width="12.33203125" style="317" hidden="1" customWidth="1"/>
    <col min="6155" max="6165" width="8.6640625" style="317" hidden="1" customWidth="1"/>
    <col min="6166" max="6400" width="8.6640625" style="317" hidden="1"/>
    <col min="6401" max="6401" width="32.6640625" style="317" hidden="1" customWidth="1"/>
    <col min="6402" max="6403" width="12.33203125" style="317" hidden="1" customWidth="1"/>
    <col min="6404" max="6404" width="12.6640625" style="317" hidden="1" customWidth="1"/>
    <col min="6405" max="6410" width="12.33203125" style="317" hidden="1" customWidth="1"/>
    <col min="6411" max="6421" width="8.6640625" style="317" hidden="1" customWidth="1"/>
    <col min="6422" max="6656" width="8.6640625" style="317" hidden="1"/>
    <col min="6657" max="6657" width="32.6640625" style="317" hidden="1" customWidth="1"/>
    <col min="6658" max="6659" width="12.33203125" style="317" hidden="1" customWidth="1"/>
    <col min="6660" max="6660" width="12.6640625" style="317" hidden="1" customWidth="1"/>
    <col min="6661" max="6666" width="12.33203125" style="317" hidden="1" customWidth="1"/>
    <col min="6667" max="6677" width="8.6640625" style="317" hidden="1" customWidth="1"/>
    <col min="6678" max="6912" width="8.6640625" style="317" hidden="1"/>
    <col min="6913" max="6913" width="32.6640625" style="317" hidden="1" customWidth="1"/>
    <col min="6914" max="6915" width="12.33203125" style="317" hidden="1" customWidth="1"/>
    <col min="6916" max="6916" width="12.6640625" style="317" hidden="1" customWidth="1"/>
    <col min="6917" max="6922" width="12.33203125" style="317" hidden="1" customWidth="1"/>
    <col min="6923" max="6933" width="8.6640625" style="317" hidden="1" customWidth="1"/>
    <col min="6934" max="7168" width="8.6640625" style="317" hidden="1"/>
    <col min="7169" max="7169" width="32.6640625" style="317" hidden="1" customWidth="1"/>
    <col min="7170" max="7171" width="12.33203125" style="317" hidden="1" customWidth="1"/>
    <col min="7172" max="7172" width="12.6640625" style="317" hidden="1" customWidth="1"/>
    <col min="7173" max="7178" width="12.33203125" style="317" hidden="1" customWidth="1"/>
    <col min="7179" max="7189" width="8.6640625" style="317" hidden="1" customWidth="1"/>
    <col min="7190" max="7424" width="8.6640625" style="317" hidden="1"/>
    <col min="7425" max="7425" width="32.6640625" style="317" hidden="1" customWidth="1"/>
    <col min="7426" max="7427" width="12.33203125" style="317" hidden="1" customWidth="1"/>
    <col min="7428" max="7428" width="12.6640625" style="317" hidden="1" customWidth="1"/>
    <col min="7429" max="7434" width="12.33203125" style="317" hidden="1" customWidth="1"/>
    <col min="7435" max="7445" width="8.6640625" style="317" hidden="1" customWidth="1"/>
    <col min="7446" max="7680" width="8.6640625" style="317" hidden="1"/>
    <col min="7681" max="7681" width="32.6640625" style="317" hidden="1" customWidth="1"/>
    <col min="7682" max="7683" width="12.33203125" style="317" hidden="1" customWidth="1"/>
    <col min="7684" max="7684" width="12.6640625" style="317" hidden="1" customWidth="1"/>
    <col min="7685" max="7690" width="12.33203125" style="317" hidden="1" customWidth="1"/>
    <col min="7691" max="7701" width="8.6640625" style="317" hidden="1" customWidth="1"/>
    <col min="7702" max="7936" width="8.6640625" style="317" hidden="1"/>
    <col min="7937" max="7937" width="32.6640625" style="317" hidden="1" customWidth="1"/>
    <col min="7938" max="7939" width="12.33203125" style="317" hidden="1" customWidth="1"/>
    <col min="7940" max="7940" width="12.6640625" style="317" hidden="1" customWidth="1"/>
    <col min="7941" max="7946" width="12.33203125" style="317" hidden="1" customWidth="1"/>
    <col min="7947" max="7957" width="8.6640625" style="317" hidden="1" customWidth="1"/>
    <col min="7958" max="8192" width="8.6640625" style="317" hidden="1"/>
    <col min="8193" max="8193" width="32.6640625" style="317" hidden="1" customWidth="1"/>
    <col min="8194" max="8195" width="12.33203125" style="317" hidden="1" customWidth="1"/>
    <col min="8196" max="8196" width="12.6640625" style="317" hidden="1" customWidth="1"/>
    <col min="8197" max="8202" width="12.33203125" style="317" hidden="1" customWidth="1"/>
    <col min="8203" max="8213" width="8.6640625" style="317" hidden="1" customWidth="1"/>
    <col min="8214" max="8448" width="8.6640625" style="317" hidden="1"/>
    <col min="8449" max="8449" width="32.6640625" style="317" hidden="1" customWidth="1"/>
    <col min="8450" max="8451" width="12.33203125" style="317" hidden="1" customWidth="1"/>
    <col min="8452" max="8452" width="12.6640625" style="317" hidden="1" customWidth="1"/>
    <col min="8453" max="8458" width="12.33203125" style="317" hidden="1" customWidth="1"/>
    <col min="8459" max="8469" width="8.6640625" style="317" hidden="1" customWidth="1"/>
    <col min="8470" max="8704" width="8.6640625" style="317" hidden="1"/>
    <col min="8705" max="8705" width="32.6640625" style="317" hidden="1" customWidth="1"/>
    <col min="8706" max="8707" width="12.33203125" style="317" hidden="1" customWidth="1"/>
    <col min="8708" max="8708" width="12.6640625" style="317" hidden="1" customWidth="1"/>
    <col min="8709" max="8714" width="12.33203125" style="317" hidden="1" customWidth="1"/>
    <col min="8715" max="8725" width="8.6640625" style="317" hidden="1" customWidth="1"/>
    <col min="8726" max="8960" width="8.6640625" style="317" hidden="1"/>
    <col min="8961" max="8961" width="32.6640625" style="317" hidden="1" customWidth="1"/>
    <col min="8962" max="8963" width="12.33203125" style="317" hidden="1" customWidth="1"/>
    <col min="8964" max="8964" width="12.6640625" style="317" hidden="1" customWidth="1"/>
    <col min="8965" max="8970" width="12.33203125" style="317" hidden="1" customWidth="1"/>
    <col min="8971" max="8981" width="8.6640625" style="317" hidden="1" customWidth="1"/>
    <col min="8982" max="9216" width="8.6640625" style="317" hidden="1"/>
    <col min="9217" max="9217" width="32.6640625" style="317" hidden="1" customWidth="1"/>
    <col min="9218" max="9219" width="12.33203125" style="317" hidden="1" customWidth="1"/>
    <col min="9220" max="9220" width="12.6640625" style="317" hidden="1" customWidth="1"/>
    <col min="9221" max="9226" width="12.33203125" style="317" hidden="1" customWidth="1"/>
    <col min="9227" max="9237" width="8.6640625" style="317" hidden="1" customWidth="1"/>
    <col min="9238" max="9472" width="8.6640625" style="317" hidden="1"/>
    <col min="9473" max="9473" width="32.6640625" style="317" hidden="1" customWidth="1"/>
    <col min="9474" max="9475" width="12.33203125" style="317" hidden="1" customWidth="1"/>
    <col min="9476" max="9476" width="12.6640625" style="317" hidden="1" customWidth="1"/>
    <col min="9477" max="9482" width="12.33203125" style="317" hidden="1" customWidth="1"/>
    <col min="9483" max="9493" width="8.6640625" style="317" hidden="1" customWidth="1"/>
    <col min="9494" max="9728" width="8.6640625" style="317" hidden="1"/>
    <col min="9729" max="9729" width="32.6640625" style="317" hidden="1" customWidth="1"/>
    <col min="9730" max="9731" width="12.33203125" style="317" hidden="1" customWidth="1"/>
    <col min="9732" max="9732" width="12.6640625" style="317" hidden="1" customWidth="1"/>
    <col min="9733" max="9738" width="12.33203125" style="317" hidden="1" customWidth="1"/>
    <col min="9739" max="9749" width="8.6640625" style="317" hidden="1" customWidth="1"/>
    <col min="9750" max="9984" width="8.6640625" style="317" hidden="1"/>
    <col min="9985" max="9985" width="32.6640625" style="317" hidden="1" customWidth="1"/>
    <col min="9986" max="9987" width="12.33203125" style="317" hidden="1" customWidth="1"/>
    <col min="9988" max="9988" width="12.6640625" style="317" hidden="1" customWidth="1"/>
    <col min="9989" max="9994" width="12.33203125" style="317" hidden="1" customWidth="1"/>
    <col min="9995" max="10005" width="8.6640625" style="317" hidden="1" customWidth="1"/>
    <col min="10006" max="10240" width="8.6640625" style="317" hidden="1"/>
    <col min="10241" max="10241" width="32.6640625" style="317" hidden="1" customWidth="1"/>
    <col min="10242" max="10243" width="12.33203125" style="317" hidden="1" customWidth="1"/>
    <col min="10244" max="10244" width="12.6640625" style="317" hidden="1" customWidth="1"/>
    <col min="10245" max="10250" width="12.33203125" style="317" hidden="1" customWidth="1"/>
    <col min="10251" max="10261" width="8.6640625" style="317" hidden="1" customWidth="1"/>
    <col min="10262" max="10496" width="8.6640625" style="317" hidden="1"/>
    <col min="10497" max="10497" width="32.6640625" style="317" hidden="1" customWidth="1"/>
    <col min="10498" max="10499" width="12.33203125" style="317" hidden="1" customWidth="1"/>
    <col min="10500" max="10500" width="12.6640625" style="317" hidden="1" customWidth="1"/>
    <col min="10501" max="10506" width="12.33203125" style="317" hidden="1" customWidth="1"/>
    <col min="10507" max="10517" width="8.6640625" style="317" hidden="1" customWidth="1"/>
    <col min="10518" max="10752" width="8.6640625" style="317" hidden="1"/>
    <col min="10753" max="10753" width="32.6640625" style="317" hidden="1" customWidth="1"/>
    <col min="10754" max="10755" width="12.33203125" style="317" hidden="1" customWidth="1"/>
    <col min="10756" max="10756" width="12.6640625" style="317" hidden="1" customWidth="1"/>
    <col min="10757" max="10762" width="12.33203125" style="317" hidden="1" customWidth="1"/>
    <col min="10763" max="10773" width="8.6640625" style="317" hidden="1" customWidth="1"/>
    <col min="10774" max="11008" width="8.6640625" style="317" hidden="1"/>
    <col min="11009" max="11009" width="32.6640625" style="317" hidden="1" customWidth="1"/>
    <col min="11010" max="11011" width="12.33203125" style="317" hidden="1" customWidth="1"/>
    <col min="11012" max="11012" width="12.6640625" style="317" hidden="1" customWidth="1"/>
    <col min="11013" max="11018" width="12.33203125" style="317" hidden="1" customWidth="1"/>
    <col min="11019" max="11029" width="8.6640625" style="317" hidden="1" customWidth="1"/>
    <col min="11030" max="11264" width="8.6640625" style="317" hidden="1"/>
    <col min="11265" max="11265" width="32.6640625" style="317" hidden="1" customWidth="1"/>
    <col min="11266" max="11267" width="12.33203125" style="317" hidden="1" customWidth="1"/>
    <col min="11268" max="11268" width="12.6640625" style="317" hidden="1" customWidth="1"/>
    <col min="11269" max="11274" width="12.33203125" style="317" hidden="1" customWidth="1"/>
    <col min="11275" max="11285" width="8.6640625" style="317" hidden="1" customWidth="1"/>
    <col min="11286" max="11520" width="8.6640625" style="317" hidden="1"/>
    <col min="11521" max="11521" width="32.6640625" style="317" hidden="1" customWidth="1"/>
    <col min="11522" max="11523" width="12.33203125" style="317" hidden="1" customWidth="1"/>
    <col min="11524" max="11524" width="12.6640625" style="317" hidden="1" customWidth="1"/>
    <col min="11525" max="11530" width="12.33203125" style="317" hidden="1" customWidth="1"/>
    <col min="11531" max="11541" width="8.6640625" style="317" hidden="1" customWidth="1"/>
    <col min="11542" max="11776" width="8.6640625" style="317" hidden="1"/>
    <col min="11777" max="11777" width="32.6640625" style="317" hidden="1" customWidth="1"/>
    <col min="11778" max="11779" width="12.33203125" style="317" hidden="1" customWidth="1"/>
    <col min="11780" max="11780" width="12.6640625" style="317" hidden="1" customWidth="1"/>
    <col min="11781" max="11786" width="12.33203125" style="317" hidden="1" customWidth="1"/>
    <col min="11787" max="11797" width="8.6640625" style="317" hidden="1" customWidth="1"/>
    <col min="11798" max="12032" width="8.6640625" style="317" hidden="1"/>
    <col min="12033" max="12033" width="32.6640625" style="317" hidden="1" customWidth="1"/>
    <col min="12034" max="12035" width="12.33203125" style="317" hidden="1" customWidth="1"/>
    <col min="12036" max="12036" width="12.6640625" style="317" hidden="1" customWidth="1"/>
    <col min="12037" max="12042" width="12.33203125" style="317" hidden="1" customWidth="1"/>
    <col min="12043" max="12053" width="8.6640625" style="317" hidden="1" customWidth="1"/>
    <col min="12054" max="12288" width="8.6640625" style="317" hidden="1"/>
    <col min="12289" max="12289" width="32.6640625" style="317" hidden="1" customWidth="1"/>
    <col min="12290" max="12291" width="12.33203125" style="317" hidden="1" customWidth="1"/>
    <col min="12292" max="12292" width="12.6640625" style="317" hidden="1" customWidth="1"/>
    <col min="12293" max="12298" width="12.33203125" style="317" hidden="1" customWidth="1"/>
    <col min="12299" max="12309" width="8.6640625" style="317" hidden="1" customWidth="1"/>
    <col min="12310" max="12544" width="8.6640625" style="317" hidden="1"/>
    <col min="12545" max="12545" width="32.6640625" style="317" hidden="1" customWidth="1"/>
    <col min="12546" max="12547" width="12.33203125" style="317" hidden="1" customWidth="1"/>
    <col min="12548" max="12548" width="12.6640625" style="317" hidden="1" customWidth="1"/>
    <col min="12549" max="12554" width="12.33203125" style="317" hidden="1" customWidth="1"/>
    <col min="12555" max="12565" width="8.6640625" style="317" hidden="1" customWidth="1"/>
    <col min="12566" max="12800" width="8.6640625" style="317" hidden="1"/>
    <col min="12801" max="12801" width="32.6640625" style="317" hidden="1" customWidth="1"/>
    <col min="12802" max="12803" width="12.33203125" style="317" hidden="1" customWidth="1"/>
    <col min="12804" max="12804" width="12.6640625" style="317" hidden="1" customWidth="1"/>
    <col min="12805" max="12810" width="12.33203125" style="317" hidden="1" customWidth="1"/>
    <col min="12811" max="12821" width="8.6640625" style="317" hidden="1" customWidth="1"/>
    <col min="12822" max="13056" width="8.6640625" style="317" hidden="1"/>
    <col min="13057" max="13057" width="32.6640625" style="317" hidden="1" customWidth="1"/>
    <col min="13058" max="13059" width="12.33203125" style="317" hidden="1" customWidth="1"/>
    <col min="13060" max="13060" width="12.6640625" style="317" hidden="1" customWidth="1"/>
    <col min="13061" max="13066" width="12.33203125" style="317" hidden="1" customWidth="1"/>
    <col min="13067" max="13077" width="8.6640625" style="317" hidden="1" customWidth="1"/>
    <col min="13078" max="13312" width="8.6640625" style="317" hidden="1"/>
    <col min="13313" max="13313" width="32.6640625" style="317" hidden="1" customWidth="1"/>
    <col min="13314" max="13315" width="12.33203125" style="317" hidden="1" customWidth="1"/>
    <col min="13316" max="13316" width="12.6640625" style="317" hidden="1" customWidth="1"/>
    <col min="13317" max="13322" width="12.33203125" style="317" hidden="1" customWidth="1"/>
    <col min="13323" max="13333" width="8.6640625" style="317" hidden="1" customWidth="1"/>
    <col min="13334" max="13568" width="8.6640625" style="317" hidden="1"/>
    <col min="13569" max="13569" width="32.6640625" style="317" hidden="1" customWidth="1"/>
    <col min="13570" max="13571" width="12.33203125" style="317" hidden="1" customWidth="1"/>
    <col min="13572" max="13572" width="12.6640625" style="317" hidden="1" customWidth="1"/>
    <col min="13573" max="13578" width="12.33203125" style="317" hidden="1" customWidth="1"/>
    <col min="13579" max="13589" width="8.6640625" style="317" hidden="1" customWidth="1"/>
    <col min="13590" max="13824" width="8.6640625" style="317" hidden="1"/>
    <col min="13825" max="13825" width="32.6640625" style="317" hidden="1" customWidth="1"/>
    <col min="13826" max="13827" width="12.33203125" style="317" hidden="1" customWidth="1"/>
    <col min="13828" max="13828" width="12.6640625" style="317" hidden="1" customWidth="1"/>
    <col min="13829" max="13834" width="12.33203125" style="317" hidden="1" customWidth="1"/>
    <col min="13835" max="13845" width="8.6640625" style="317" hidden="1" customWidth="1"/>
    <col min="13846" max="14080" width="8.6640625" style="317" hidden="1"/>
    <col min="14081" max="14081" width="32.6640625" style="317" hidden="1" customWidth="1"/>
    <col min="14082" max="14083" width="12.33203125" style="317" hidden="1" customWidth="1"/>
    <col min="14084" max="14084" width="12.6640625" style="317" hidden="1" customWidth="1"/>
    <col min="14085" max="14090" width="12.33203125" style="317" hidden="1" customWidth="1"/>
    <col min="14091" max="14101" width="8.6640625" style="317" hidden="1" customWidth="1"/>
    <col min="14102" max="14336" width="8.6640625" style="317" hidden="1"/>
    <col min="14337" max="14337" width="32.6640625" style="317" hidden="1" customWidth="1"/>
    <col min="14338" max="14339" width="12.33203125" style="317" hidden="1" customWidth="1"/>
    <col min="14340" max="14340" width="12.6640625" style="317" hidden="1" customWidth="1"/>
    <col min="14341" max="14346" width="12.33203125" style="317" hidden="1" customWidth="1"/>
    <col min="14347" max="14357" width="8.6640625" style="317" hidden="1" customWidth="1"/>
    <col min="14358" max="14592" width="8.6640625" style="317" hidden="1"/>
    <col min="14593" max="14593" width="32.6640625" style="317" hidden="1" customWidth="1"/>
    <col min="14594" max="14595" width="12.33203125" style="317" hidden="1" customWidth="1"/>
    <col min="14596" max="14596" width="12.6640625" style="317" hidden="1" customWidth="1"/>
    <col min="14597" max="14602" width="12.33203125" style="317" hidden="1" customWidth="1"/>
    <col min="14603" max="14613" width="8.6640625" style="317" hidden="1" customWidth="1"/>
    <col min="14614" max="14848" width="8.6640625" style="317" hidden="1"/>
    <col min="14849" max="14849" width="32.6640625" style="317" hidden="1" customWidth="1"/>
    <col min="14850" max="14851" width="12.33203125" style="317" hidden="1" customWidth="1"/>
    <col min="14852" max="14852" width="12.6640625" style="317" hidden="1" customWidth="1"/>
    <col min="14853" max="14858" width="12.33203125" style="317" hidden="1" customWidth="1"/>
    <col min="14859" max="14869" width="8.6640625" style="317" hidden="1" customWidth="1"/>
    <col min="14870" max="15104" width="8.6640625" style="317" hidden="1"/>
    <col min="15105" max="15105" width="32.6640625" style="317" hidden="1" customWidth="1"/>
    <col min="15106" max="15107" width="12.33203125" style="317" hidden="1" customWidth="1"/>
    <col min="15108" max="15108" width="12.6640625" style="317" hidden="1" customWidth="1"/>
    <col min="15109" max="15114" width="12.33203125" style="317" hidden="1" customWidth="1"/>
    <col min="15115" max="15125" width="8.6640625" style="317" hidden="1" customWidth="1"/>
    <col min="15126" max="15360" width="8.6640625" style="317" hidden="1"/>
    <col min="15361" max="15361" width="32.6640625" style="317" hidden="1" customWidth="1"/>
    <col min="15362" max="15363" width="12.33203125" style="317" hidden="1" customWidth="1"/>
    <col min="15364" max="15364" width="12.6640625" style="317" hidden="1" customWidth="1"/>
    <col min="15365" max="15370" width="12.33203125" style="317" hidden="1" customWidth="1"/>
    <col min="15371" max="15381" width="8.6640625" style="317" hidden="1" customWidth="1"/>
    <col min="15382" max="15616" width="8.6640625" style="317" hidden="1"/>
    <col min="15617" max="15617" width="32.6640625" style="317" hidden="1" customWidth="1"/>
    <col min="15618" max="15619" width="12.33203125" style="317" hidden="1" customWidth="1"/>
    <col min="15620" max="15620" width="12.6640625" style="317" hidden="1" customWidth="1"/>
    <col min="15621" max="15626" width="12.33203125" style="317" hidden="1" customWidth="1"/>
    <col min="15627" max="15637" width="8.6640625" style="317" hidden="1" customWidth="1"/>
    <col min="15638" max="15872" width="8.6640625" style="317" hidden="1"/>
    <col min="15873" max="15873" width="32.6640625" style="317" hidden="1" customWidth="1"/>
    <col min="15874" max="15875" width="12.33203125" style="317" hidden="1" customWidth="1"/>
    <col min="15876" max="15876" width="12.6640625" style="317" hidden="1" customWidth="1"/>
    <col min="15877" max="15882" width="12.33203125" style="317" hidden="1" customWidth="1"/>
    <col min="15883" max="15893" width="8.6640625" style="317" hidden="1" customWidth="1"/>
    <col min="15894" max="16128" width="8.6640625" style="317" hidden="1"/>
    <col min="16129" max="16129" width="32.6640625" style="317" hidden="1" customWidth="1"/>
    <col min="16130" max="16131" width="12.33203125" style="317" hidden="1" customWidth="1"/>
    <col min="16132" max="16132" width="12.6640625" style="317" hidden="1" customWidth="1"/>
    <col min="16133" max="16138" width="12.33203125" style="317" hidden="1" customWidth="1"/>
    <col min="16139" max="16149" width="8.6640625" style="317" hidden="1" customWidth="1"/>
    <col min="16150" max="16384" width="8.6640625" style="317" hidden="1"/>
  </cols>
  <sheetData>
    <row r="1" spans="1:11" s="280" customFormat="1" ht="13.2">
      <c r="A1" s="1804" t="s">
        <v>1933</v>
      </c>
      <c r="B1" s="1805"/>
      <c r="C1" s="1805"/>
      <c r="D1" s="1805"/>
      <c r="E1" s="1805"/>
      <c r="F1" s="1805"/>
      <c r="G1" s="1805"/>
      <c r="H1" s="1805"/>
      <c r="I1" s="1805"/>
      <c r="J1" s="1806"/>
      <c r="K1" s="279"/>
    </row>
    <row r="2" spans="1:11" s="325" customFormat="1" ht="72">
      <c r="A2" s="322"/>
      <c r="B2" s="323" t="s">
        <v>1934</v>
      </c>
      <c r="C2" s="323" t="s">
        <v>1935</v>
      </c>
      <c r="D2" s="323" t="s">
        <v>1936</v>
      </c>
      <c r="E2" s="323" t="s">
        <v>1937</v>
      </c>
      <c r="F2" s="323" t="s">
        <v>1938</v>
      </c>
      <c r="G2" s="323" t="s">
        <v>1939</v>
      </c>
      <c r="H2" s="323" t="s">
        <v>1940</v>
      </c>
      <c r="I2" s="323" t="s">
        <v>1941</v>
      </c>
      <c r="J2" s="323" t="s">
        <v>1942</v>
      </c>
      <c r="K2" s="324"/>
    </row>
    <row r="3" spans="1:11" s="284" customFormat="1" ht="11.4">
      <c r="A3" s="281" t="s">
        <v>1814</v>
      </c>
      <c r="B3" s="282"/>
      <c r="C3" s="282"/>
      <c r="D3" s="282"/>
      <c r="E3" s="282"/>
      <c r="F3" s="282"/>
      <c r="G3" s="282"/>
      <c r="H3" s="282"/>
      <c r="I3" s="282"/>
      <c r="J3" s="282"/>
      <c r="K3" s="283"/>
    </row>
    <row r="4" spans="1:11" s="284" customFormat="1" ht="11.4">
      <c r="A4" s="288" t="s">
        <v>1815</v>
      </c>
      <c r="B4" s="285">
        <f>'Sources and Uses Budget'!C4</f>
        <v>1</v>
      </c>
      <c r="C4" s="286"/>
      <c r="D4" s="286"/>
      <c r="E4" s="287"/>
      <c r="F4" s="287"/>
      <c r="G4" s="287"/>
      <c r="H4" s="287"/>
      <c r="I4" s="287"/>
      <c r="J4" s="287"/>
      <c r="K4" s="283"/>
    </row>
    <row r="5" spans="1:11" s="284" customFormat="1" ht="11.4">
      <c r="A5" s="288" t="s">
        <v>1816</v>
      </c>
      <c r="B5" s="285">
        <f>'Sources and Uses Budget'!C5</f>
        <v>325000</v>
      </c>
      <c r="C5" s="286"/>
      <c r="D5" s="286"/>
      <c r="E5" s="287"/>
      <c r="F5" s="287"/>
      <c r="G5" s="287"/>
      <c r="H5" s="287"/>
      <c r="I5" s="287"/>
      <c r="J5" s="287"/>
      <c r="K5" s="283"/>
    </row>
    <row r="6" spans="1:11" s="284" customFormat="1" ht="11.4">
      <c r="A6" s="288" t="s">
        <v>1817</v>
      </c>
      <c r="B6" s="285">
        <f>'Sources and Uses Budget'!C6</f>
        <v>0</v>
      </c>
      <c r="C6" s="286"/>
      <c r="D6" s="286"/>
      <c r="E6" s="287"/>
      <c r="F6" s="287"/>
      <c r="G6" s="287"/>
      <c r="H6" s="287"/>
      <c r="I6" s="287"/>
      <c r="J6" s="287"/>
      <c r="K6" s="283"/>
    </row>
    <row r="7" spans="1:11" s="284" customFormat="1" ht="11.4">
      <c r="A7" s="288" t="s">
        <v>1818</v>
      </c>
      <c r="B7" s="285">
        <f>'Sources and Uses Budget'!C7</f>
        <v>0</v>
      </c>
      <c r="C7" s="286"/>
      <c r="D7" s="286"/>
      <c r="E7" s="287"/>
      <c r="F7" s="287"/>
      <c r="G7" s="287"/>
      <c r="H7" s="287"/>
      <c r="I7" s="287"/>
      <c r="J7" s="287"/>
      <c r="K7" s="283"/>
    </row>
    <row r="8" spans="1:11" s="284" customFormat="1">
      <c r="A8" s="289" t="s">
        <v>1819</v>
      </c>
      <c r="B8" s="285">
        <f>'Sources and Uses Budget'!C8</f>
        <v>325001</v>
      </c>
      <c r="C8" s="285">
        <f>SUM(C4:C7)</f>
        <v>0</v>
      </c>
      <c r="D8" s="285">
        <f>SUM(D4:D7)</f>
        <v>0</v>
      </c>
      <c r="E8" s="287"/>
      <c r="F8" s="287"/>
      <c r="G8" s="287"/>
      <c r="H8" s="287"/>
      <c r="I8" s="287"/>
      <c r="J8" s="287"/>
      <c r="K8" s="283"/>
    </row>
    <row r="9" spans="1:11" s="284" customFormat="1" ht="11.4">
      <c r="A9" s="288" t="s">
        <v>1820</v>
      </c>
      <c r="B9" s="285">
        <f>'Sources and Uses Budget'!C9</f>
        <v>0</v>
      </c>
      <c r="C9" s="286"/>
      <c r="D9" s="286"/>
      <c r="E9" s="287"/>
      <c r="F9" s="287"/>
      <c r="G9" s="287"/>
      <c r="H9" s="285">
        <f>'Sources and Uses Budget'!T9</f>
        <v>0</v>
      </c>
      <c r="I9" s="286"/>
      <c r="J9" s="286"/>
      <c r="K9" s="283"/>
    </row>
    <row r="10" spans="1:11" s="284" customFormat="1" ht="11.4">
      <c r="A10" s="288" t="s">
        <v>1821</v>
      </c>
      <c r="B10" s="285">
        <f>'Sources and Uses Budget'!C10</f>
        <v>0</v>
      </c>
      <c r="C10" s="286"/>
      <c r="D10" s="286"/>
      <c r="E10" s="285">
        <f>'Sources and Uses Budget'!S10</f>
        <v>0</v>
      </c>
      <c r="F10" s="286"/>
      <c r="G10" s="286"/>
      <c r="H10" s="285">
        <f>'Sources and Uses Budget'!T10</f>
        <v>0</v>
      </c>
      <c r="I10" s="286"/>
      <c r="J10" s="286"/>
      <c r="K10" s="283"/>
    </row>
    <row r="11" spans="1:11" s="284" customFormat="1">
      <c r="A11" s="289" t="s">
        <v>1822</v>
      </c>
      <c r="B11" s="285">
        <f>'Sources and Uses Budget'!C11</f>
        <v>0</v>
      </c>
      <c r="C11" s="285">
        <f>SUM(C9:C10)</f>
        <v>0</v>
      </c>
      <c r="D11" s="285">
        <f>SUM(D9:D10)</f>
        <v>0</v>
      </c>
      <c r="E11" s="287"/>
      <c r="F11" s="287"/>
      <c r="G11" s="287"/>
      <c r="H11" s="285">
        <f>'Sources and Uses Budget'!T11</f>
        <v>0</v>
      </c>
      <c r="I11" s="285">
        <f>SUM(I9:I10)</f>
        <v>0</v>
      </c>
      <c r="J11" s="285">
        <f>SUM(J9:J10)</f>
        <v>0</v>
      </c>
      <c r="K11" s="283"/>
    </row>
    <row r="12" spans="1:11" s="284" customFormat="1">
      <c r="A12" s="289" t="s">
        <v>1823</v>
      </c>
      <c r="B12" s="285">
        <f>'Sources and Uses Budget'!C12</f>
        <v>325001</v>
      </c>
      <c r="C12" s="285">
        <f>SUM(C8+C11)</f>
        <v>0</v>
      </c>
      <c r="D12" s="285">
        <f>SUM(D8+D11)</f>
        <v>0</v>
      </c>
      <c r="E12" s="287"/>
      <c r="F12" s="287"/>
      <c r="G12" s="287"/>
      <c r="H12" s="287"/>
      <c r="I12" s="287"/>
      <c r="J12" s="287"/>
      <c r="K12" s="283"/>
    </row>
    <row r="13" spans="1:11" s="284" customFormat="1" ht="11.4">
      <c r="A13" s="290" t="s">
        <v>1824</v>
      </c>
      <c r="B13" s="285">
        <f>'Sources and Uses Budget'!C13</f>
        <v>0</v>
      </c>
      <c r="C13" s="286"/>
      <c r="D13" s="286"/>
      <c r="E13" s="285">
        <f>'Sources and Uses Budget'!S13</f>
        <v>0</v>
      </c>
      <c r="F13" s="286"/>
      <c r="G13" s="286"/>
      <c r="H13" s="285">
        <f>'Sources and Uses Budget'!T13</f>
        <v>0</v>
      </c>
      <c r="I13" s="286"/>
      <c r="J13" s="286"/>
      <c r="K13" s="283"/>
    </row>
    <row r="14" spans="1:11" s="284" customFormat="1" ht="22.8">
      <c r="A14" s="288" t="s">
        <v>1943</v>
      </c>
      <c r="B14" s="285">
        <f>'Sources and Uses Budget'!C14</f>
        <v>0</v>
      </c>
      <c r="C14" s="286"/>
      <c r="D14" s="286"/>
      <c r="E14" s="285">
        <f>'Sources and Uses Budget'!S14</f>
        <v>0</v>
      </c>
      <c r="F14" s="286"/>
      <c r="G14" s="286"/>
      <c r="H14" s="285">
        <f>'Sources and Uses Budget'!T14</f>
        <v>0</v>
      </c>
      <c r="I14" s="286"/>
      <c r="J14" s="286"/>
      <c r="K14" s="283"/>
    </row>
    <row r="15" spans="1:11" s="284" customFormat="1" ht="11.4">
      <c r="A15" s="288" t="s">
        <v>1826</v>
      </c>
      <c r="B15" s="285">
        <f>'Sources and Uses Budget'!C15</f>
        <v>0</v>
      </c>
      <c r="C15" s="286"/>
      <c r="D15" s="286"/>
      <c r="E15" s="287">
        <f>'Sources and Uses Budget'!S15</f>
        <v>0</v>
      </c>
      <c r="F15" s="287"/>
      <c r="G15" s="287"/>
      <c r="H15" s="287">
        <f>'Sources and Uses Budget'!T15</f>
        <v>0</v>
      </c>
      <c r="I15" s="287"/>
      <c r="J15" s="287"/>
      <c r="K15" s="283"/>
    </row>
    <row r="16" spans="1:11" s="284" customFormat="1" ht="11.4">
      <c r="A16" s="281" t="s">
        <v>1827</v>
      </c>
      <c r="B16" s="282"/>
      <c r="C16" s="282"/>
      <c r="D16" s="282"/>
      <c r="E16" s="282"/>
      <c r="F16" s="282"/>
      <c r="G16" s="282"/>
      <c r="H16" s="282"/>
      <c r="I16" s="282"/>
      <c r="J16" s="282"/>
      <c r="K16" s="283"/>
    </row>
    <row r="17" spans="1:11" s="284" customFormat="1" ht="11.4">
      <c r="A17" s="288" t="s">
        <v>1828</v>
      </c>
      <c r="B17" s="285">
        <f>'Sources and Uses Budget'!C17</f>
        <v>0</v>
      </c>
      <c r="C17" s="286"/>
      <c r="D17" s="286"/>
      <c r="E17" s="285">
        <f>'Sources and Uses Budget'!S17</f>
        <v>0</v>
      </c>
      <c r="F17" s="286"/>
      <c r="G17" s="286"/>
      <c r="H17" s="285">
        <f>'Sources and Uses Budget'!T17</f>
        <v>0</v>
      </c>
      <c r="I17" s="286"/>
      <c r="J17" s="286"/>
      <c r="K17" s="283"/>
    </row>
    <row r="18" spans="1:11" s="284" customFormat="1" ht="11.4">
      <c r="A18" s="288" t="s">
        <v>1829</v>
      </c>
      <c r="B18" s="285">
        <f>'Sources and Uses Budget'!C18</f>
        <v>0</v>
      </c>
      <c r="C18" s="286"/>
      <c r="D18" s="286"/>
      <c r="E18" s="285">
        <f>'Sources and Uses Budget'!S18</f>
        <v>0</v>
      </c>
      <c r="F18" s="286"/>
      <c r="G18" s="286"/>
      <c r="H18" s="285">
        <f>'Sources and Uses Budget'!T18</f>
        <v>0</v>
      </c>
      <c r="I18" s="286"/>
      <c r="J18" s="286"/>
      <c r="K18" s="283"/>
    </row>
    <row r="19" spans="1:11" s="284" customFormat="1" ht="11.4">
      <c r="A19" s="288" t="s">
        <v>1830</v>
      </c>
      <c r="B19" s="285">
        <f>'Sources and Uses Budget'!C19</f>
        <v>0</v>
      </c>
      <c r="C19" s="286"/>
      <c r="D19" s="286"/>
      <c r="E19" s="285">
        <f>'Sources and Uses Budget'!S19</f>
        <v>0</v>
      </c>
      <c r="F19" s="286"/>
      <c r="G19" s="286"/>
      <c r="H19" s="285">
        <f>'Sources and Uses Budget'!T19</f>
        <v>0</v>
      </c>
      <c r="I19" s="286"/>
      <c r="J19" s="286"/>
      <c r="K19" s="283"/>
    </row>
    <row r="20" spans="1:11" s="284" customFormat="1" ht="11.4">
      <c r="A20" s="288" t="s">
        <v>1831</v>
      </c>
      <c r="B20" s="285">
        <f>'Sources and Uses Budget'!C20</f>
        <v>0</v>
      </c>
      <c r="C20" s="286"/>
      <c r="D20" s="286"/>
      <c r="E20" s="285">
        <f>'Sources and Uses Budget'!S20</f>
        <v>0</v>
      </c>
      <c r="F20" s="286"/>
      <c r="G20" s="286"/>
      <c r="H20" s="285">
        <f>'Sources and Uses Budget'!T20</f>
        <v>0</v>
      </c>
      <c r="I20" s="286"/>
      <c r="J20" s="286"/>
      <c r="K20" s="283"/>
    </row>
    <row r="21" spans="1:11" s="284" customFormat="1" ht="11.4">
      <c r="A21" s="288" t="s">
        <v>1832</v>
      </c>
      <c r="B21" s="285">
        <f>'Sources and Uses Budget'!C21</f>
        <v>0</v>
      </c>
      <c r="C21" s="286"/>
      <c r="D21" s="286"/>
      <c r="E21" s="285">
        <f>'Sources and Uses Budget'!S21</f>
        <v>0</v>
      </c>
      <c r="F21" s="286"/>
      <c r="G21" s="286"/>
      <c r="H21" s="285">
        <f>'Sources and Uses Budget'!T21</f>
        <v>0</v>
      </c>
      <c r="I21" s="286"/>
      <c r="J21" s="286"/>
      <c r="K21" s="283"/>
    </row>
    <row r="22" spans="1:11" s="284" customFormat="1" ht="11.4">
      <c r="A22" s="288" t="s">
        <v>1833</v>
      </c>
      <c r="B22" s="285">
        <f>'Sources and Uses Budget'!C22</f>
        <v>0</v>
      </c>
      <c r="C22" s="286"/>
      <c r="D22" s="286"/>
      <c r="E22" s="285">
        <f>'Sources and Uses Budget'!S22</f>
        <v>0</v>
      </c>
      <c r="F22" s="286"/>
      <c r="G22" s="286"/>
      <c r="H22" s="285">
        <f>'Sources and Uses Budget'!T22</f>
        <v>0</v>
      </c>
      <c r="I22" s="286"/>
      <c r="J22" s="286"/>
      <c r="K22" s="283"/>
    </row>
    <row r="23" spans="1:11" s="284" customFormat="1" ht="11.4">
      <c r="A23" s="288" t="s">
        <v>1834</v>
      </c>
      <c r="B23" s="285">
        <f>'Sources and Uses Budget'!C23</f>
        <v>0</v>
      </c>
      <c r="C23" s="286"/>
      <c r="D23" s="286"/>
      <c r="E23" s="285">
        <f>'Sources and Uses Budget'!S23</f>
        <v>0</v>
      </c>
      <c r="F23" s="286"/>
      <c r="G23" s="286"/>
      <c r="H23" s="285">
        <f>'Sources and Uses Budget'!T23</f>
        <v>0</v>
      </c>
      <c r="I23" s="286"/>
      <c r="J23" s="286"/>
      <c r="K23" s="283"/>
    </row>
    <row r="24" spans="1:11" s="284" customFormat="1" ht="11.4">
      <c r="A24" s="433" t="s">
        <v>1835</v>
      </c>
      <c r="B24" s="285">
        <f>'Sources and Uses Budget'!C24</f>
        <v>0</v>
      </c>
      <c r="C24" s="286"/>
      <c r="D24" s="286"/>
      <c r="E24" s="285">
        <f>'Sources and Uses Budget'!S24</f>
        <v>0</v>
      </c>
      <c r="F24" s="286"/>
      <c r="G24" s="286"/>
      <c r="H24" s="285">
        <f>'Sources and Uses Budget'!T24</f>
        <v>0</v>
      </c>
      <c r="I24" s="286"/>
      <c r="J24" s="286"/>
      <c r="K24" s="283"/>
    </row>
    <row r="25" spans="1:11" s="284" customFormat="1" ht="11.4">
      <c r="A25" s="288" t="str">
        <f>'Sources and Uses Budget'!$A25</f>
        <v>Other: (Specify)</v>
      </c>
      <c r="B25" s="285">
        <f>'Sources and Uses Budget'!C25</f>
        <v>0</v>
      </c>
      <c r="C25" s="286"/>
      <c r="D25" s="286"/>
      <c r="E25" s="285">
        <f>'Sources and Uses Budget'!S25</f>
        <v>0</v>
      </c>
      <c r="F25" s="286"/>
      <c r="G25" s="286"/>
      <c r="H25" s="285">
        <f>'Sources and Uses Budget'!T25</f>
        <v>0</v>
      </c>
      <c r="I25" s="286"/>
      <c r="J25" s="286"/>
      <c r="K25" s="283"/>
    </row>
    <row r="26" spans="1:11" s="284" customFormat="1">
      <c r="A26" s="289" t="s">
        <v>1837</v>
      </c>
      <c r="B26" s="285">
        <f>'Sources and Uses Budget'!C26</f>
        <v>0</v>
      </c>
      <c r="C26" s="285">
        <f>SUM(C17:C25)</f>
        <v>0</v>
      </c>
      <c r="D26" s="285">
        <f>SUM(D17:D25)</f>
        <v>0</v>
      </c>
      <c r="E26" s="285">
        <f>'Sources and Uses Budget'!S26</f>
        <v>0</v>
      </c>
      <c r="F26" s="291">
        <f>SUM(F17:F25)</f>
        <v>0</v>
      </c>
      <c r="G26" s="291">
        <f>SUM(G17:G25)</f>
        <v>0</v>
      </c>
      <c r="H26" s="285">
        <f>'Sources and Uses Budget'!T26</f>
        <v>0</v>
      </c>
      <c r="I26" s="291">
        <f>SUM(I17:I25)</f>
        <v>0</v>
      </c>
      <c r="J26" s="291">
        <f>SUM(J17:J25)</f>
        <v>0</v>
      </c>
      <c r="K26" s="283"/>
    </row>
    <row r="27" spans="1:11" s="284" customFormat="1">
      <c r="A27" s="289" t="s">
        <v>1838</v>
      </c>
      <c r="B27" s="285">
        <f>'Sources and Uses Budget'!C27</f>
        <v>0</v>
      </c>
      <c r="C27" s="286"/>
      <c r="D27" s="286"/>
      <c r="E27" s="285">
        <f>'Sources and Uses Budget'!S27</f>
        <v>0</v>
      </c>
      <c r="F27" s="286"/>
      <c r="G27" s="286"/>
      <c r="H27" s="285">
        <f>'Sources and Uses Budget'!T27</f>
        <v>0</v>
      </c>
      <c r="I27" s="286"/>
      <c r="J27" s="286"/>
      <c r="K27" s="283"/>
    </row>
    <row r="28" spans="1:11" s="284" customFormat="1" ht="11.4">
      <c r="A28" s="281" t="s">
        <v>1839</v>
      </c>
      <c r="B28" s="282"/>
      <c r="C28" s="282"/>
      <c r="D28" s="282"/>
      <c r="E28" s="282"/>
      <c r="F28" s="282"/>
      <c r="G28" s="282"/>
      <c r="H28" s="282"/>
      <c r="I28" s="282"/>
      <c r="J28" s="282"/>
      <c r="K28" s="283"/>
    </row>
    <row r="29" spans="1:11" s="284" customFormat="1" ht="11.4">
      <c r="A29" s="207" t="s">
        <v>1828</v>
      </c>
      <c r="B29" s="285">
        <f>'Sources and Uses Budget'!C29</f>
        <v>3350461</v>
      </c>
      <c r="C29" s="286"/>
      <c r="D29" s="286"/>
      <c r="E29" s="285">
        <f>'Sources and Uses Budget'!S29</f>
        <v>3303700</v>
      </c>
      <c r="F29" s="286"/>
      <c r="G29" s="286"/>
      <c r="H29" s="285">
        <f>'Sources and Uses Budget'!T29</f>
        <v>0</v>
      </c>
      <c r="I29" s="286"/>
      <c r="J29" s="286"/>
      <c r="K29" s="283"/>
    </row>
    <row r="30" spans="1:11" s="284" customFormat="1" ht="11.4">
      <c r="A30" s="207" t="s">
        <v>1829</v>
      </c>
      <c r="B30" s="285">
        <f>'Sources and Uses Budget'!C30</f>
        <v>36197204</v>
      </c>
      <c r="C30" s="286"/>
      <c r="D30" s="286"/>
      <c r="E30" s="285">
        <f>'Sources and Uses Budget'!S30</f>
        <v>35462684</v>
      </c>
      <c r="F30" s="286"/>
      <c r="G30" s="286"/>
      <c r="H30" s="285">
        <f>'Sources and Uses Budget'!T30</f>
        <v>0</v>
      </c>
      <c r="I30" s="286"/>
      <c r="J30" s="286"/>
      <c r="K30" s="283"/>
    </row>
    <row r="31" spans="1:11" s="284" customFormat="1" ht="11.4">
      <c r="A31" s="207" t="s">
        <v>1830</v>
      </c>
      <c r="B31" s="285">
        <f>'Sources and Uses Budget'!C31</f>
        <v>1630262</v>
      </c>
      <c r="C31" s="286"/>
      <c r="D31" s="286"/>
      <c r="E31" s="285">
        <f>'Sources and Uses Budget'!S31</f>
        <v>1630262</v>
      </c>
      <c r="F31" s="286"/>
      <c r="G31" s="286"/>
      <c r="H31" s="285">
        <f>'Sources and Uses Budget'!T31</f>
        <v>0</v>
      </c>
      <c r="I31" s="286"/>
      <c r="J31" s="286"/>
      <c r="K31" s="283"/>
    </row>
    <row r="32" spans="1:11" s="284" customFormat="1" ht="11.4">
      <c r="A32" s="207" t="s">
        <v>1831</v>
      </c>
      <c r="B32" s="285">
        <f>'Sources and Uses Budget'!C32</f>
        <v>812795.5</v>
      </c>
      <c r="C32" s="286"/>
      <c r="D32" s="286"/>
      <c r="E32" s="285">
        <f>'Sources and Uses Budget'!S32</f>
        <v>797323</v>
      </c>
      <c r="F32" s="286"/>
      <c r="G32" s="286"/>
      <c r="H32" s="285">
        <f>'Sources and Uses Budget'!T32</f>
        <v>0</v>
      </c>
      <c r="I32" s="286"/>
      <c r="J32" s="286"/>
      <c r="K32" s="283"/>
    </row>
    <row r="33" spans="1:11" s="284" customFormat="1" ht="11.4">
      <c r="A33" s="207" t="s">
        <v>1832</v>
      </c>
      <c r="B33" s="285">
        <f>'Sources and Uses Budget'!C33</f>
        <v>812795.5</v>
      </c>
      <c r="C33" s="286"/>
      <c r="D33" s="286"/>
      <c r="E33" s="285">
        <f>'Sources and Uses Budget'!S33</f>
        <v>797323</v>
      </c>
      <c r="F33" s="286"/>
      <c r="G33" s="286"/>
      <c r="H33" s="285">
        <f>'Sources and Uses Budget'!T33</f>
        <v>0</v>
      </c>
      <c r="I33" s="286"/>
      <c r="J33" s="286"/>
      <c r="K33" s="283"/>
    </row>
    <row r="34" spans="1:11" s="284" customFormat="1" ht="11.4">
      <c r="A34" s="207" t="s">
        <v>1833</v>
      </c>
      <c r="B34" s="285">
        <f>'Sources and Uses Budget'!C34</f>
        <v>0</v>
      </c>
      <c r="C34" s="286"/>
      <c r="D34" s="286"/>
      <c r="E34" s="285">
        <f>'Sources and Uses Budget'!S34</f>
        <v>0</v>
      </c>
      <c r="F34" s="286"/>
      <c r="G34" s="286"/>
      <c r="H34" s="285">
        <f>'Sources and Uses Budget'!T34</f>
        <v>0</v>
      </c>
      <c r="I34" s="286"/>
      <c r="J34" s="286"/>
      <c r="K34" s="283"/>
    </row>
    <row r="35" spans="1:11" s="284" customFormat="1" ht="11.4">
      <c r="A35" s="207" t="s">
        <v>1834</v>
      </c>
      <c r="B35" s="285">
        <f>'Sources and Uses Budget'!C35</f>
        <v>469569</v>
      </c>
      <c r="C35" s="286"/>
      <c r="D35" s="286"/>
      <c r="E35" s="285">
        <f>'Sources and Uses Budget'!S35</f>
        <v>461489.28</v>
      </c>
      <c r="F35" s="286"/>
      <c r="G35" s="286"/>
      <c r="H35" s="285">
        <f>'Sources and Uses Budget'!T35</f>
        <v>0</v>
      </c>
      <c r="I35" s="286"/>
      <c r="J35" s="286"/>
      <c r="K35" s="283"/>
    </row>
    <row r="36" spans="1:11" s="284" customFormat="1" ht="11.4">
      <c r="A36" s="433" t="s">
        <v>1835</v>
      </c>
      <c r="B36" s="285">
        <f>'Sources and Uses Budget'!C36</f>
        <v>360000</v>
      </c>
      <c r="C36" s="286"/>
      <c r="D36" s="286"/>
      <c r="E36" s="285">
        <f>'Sources and Uses Budget'!S36</f>
        <v>356616</v>
      </c>
      <c r="F36" s="286"/>
      <c r="G36" s="286"/>
      <c r="H36" s="285">
        <f>'Sources and Uses Budget'!T36</f>
        <v>0</v>
      </c>
      <c r="I36" s="286"/>
      <c r="J36" s="286"/>
      <c r="K36" s="283"/>
    </row>
    <row r="37" spans="1:11" s="284" customFormat="1" ht="11.4">
      <c r="A37" s="288" t="str">
        <f>'Sources and Uses Budget'!$A37</f>
        <v>Other: Preconstruction Services</v>
      </c>
      <c r="B37" s="285">
        <f>'Sources and Uses Budget'!C37</f>
        <v>65000</v>
      </c>
      <c r="C37" s="286"/>
      <c r="D37" s="286"/>
      <c r="E37" s="285">
        <f>'Sources and Uses Budget'!S37</f>
        <v>63778</v>
      </c>
      <c r="F37" s="286"/>
      <c r="G37" s="286"/>
      <c r="H37" s="285">
        <f>'Sources and Uses Budget'!T37</f>
        <v>0</v>
      </c>
      <c r="I37" s="286"/>
      <c r="J37" s="286"/>
      <c r="K37" s="283"/>
    </row>
    <row r="38" spans="1:11" s="284" customFormat="1">
      <c r="A38" s="289" t="s">
        <v>1841</v>
      </c>
      <c r="B38" s="285">
        <f>'Sources and Uses Budget'!C38</f>
        <v>43698087</v>
      </c>
      <c r="C38" s="285">
        <f>SUM(C29:C37)</f>
        <v>0</v>
      </c>
      <c r="D38" s="285">
        <f>SUM(D29:D37)</f>
        <v>0</v>
      </c>
      <c r="E38" s="285">
        <f>'Sources and Uses Budget'!S38</f>
        <v>42873175.280000001</v>
      </c>
      <c r="F38" s="291">
        <f>SUM(F29:F37)</f>
        <v>0</v>
      </c>
      <c r="G38" s="291">
        <f>SUM(G29:G37)</f>
        <v>0</v>
      </c>
      <c r="H38" s="285">
        <f>'Sources and Uses Budget'!T38</f>
        <v>0</v>
      </c>
      <c r="I38" s="291">
        <f>SUM(I29:I37)</f>
        <v>0</v>
      </c>
      <c r="J38" s="291">
        <f>SUM(J29:J37)</f>
        <v>0</v>
      </c>
      <c r="K38" s="283"/>
    </row>
    <row r="39" spans="1:11" s="284" customFormat="1" ht="11.4">
      <c r="A39" s="281" t="s">
        <v>1842</v>
      </c>
      <c r="B39" s="282"/>
      <c r="C39" s="282"/>
      <c r="D39" s="282"/>
      <c r="E39" s="282"/>
      <c r="F39" s="282"/>
      <c r="G39" s="282"/>
      <c r="H39" s="282"/>
      <c r="I39" s="282"/>
      <c r="J39" s="282"/>
      <c r="K39" s="283"/>
    </row>
    <row r="40" spans="1:11" s="284" customFormat="1" ht="11.4">
      <c r="A40" s="288" t="s">
        <v>1843</v>
      </c>
      <c r="B40" s="285">
        <f>'Sources and Uses Budget'!C40</f>
        <v>749000</v>
      </c>
      <c r="C40" s="286"/>
      <c r="D40" s="286"/>
      <c r="E40" s="285">
        <f>'Sources and Uses Budget'!S40</f>
        <v>739064</v>
      </c>
      <c r="F40" s="286"/>
      <c r="G40" s="286"/>
      <c r="H40" s="285">
        <f>'Sources and Uses Budget'!T40</f>
        <v>0</v>
      </c>
      <c r="I40" s="286"/>
      <c r="J40" s="286"/>
      <c r="K40" s="283"/>
    </row>
    <row r="41" spans="1:11" s="284" customFormat="1" ht="11.4">
      <c r="A41" s="288" t="s">
        <v>1844</v>
      </c>
      <c r="B41" s="285">
        <f>'Sources and Uses Budget'!C41</f>
        <v>360000</v>
      </c>
      <c r="C41" s="286"/>
      <c r="D41" s="286"/>
      <c r="E41" s="285">
        <f>'Sources and Uses Budget'!S41</f>
        <v>356616</v>
      </c>
      <c r="F41" s="286"/>
      <c r="G41" s="286"/>
      <c r="H41" s="285">
        <f>'Sources and Uses Budget'!T41</f>
        <v>0</v>
      </c>
      <c r="I41" s="286"/>
      <c r="J41" s="286"/>
      <c r="K41" s="283"/>
    </row>
    <row r="42" spans="1:11" s="284" customFormat="1">
      <c r="A42" s="289" t="s">
        <v>1845</v>
      </c>
      <c r="B42" s="285">
        <f>'Sources and Uses Budget'!C42</f>
        <v>1109000</v>
      </c>
      <c r="C42" s="285">
        <f>SUM(C39:C41)</f>
        <v>0</v>
      </c>
      <c r="D42" s="285">
        <f>SUM(D39:D41)</f>
        <v>0</v>
      </c>
      <c r="E42" s="285">
        <f>'Sources and Uses Budget'!S42</f>
        <v>1095680</v>
      </c>
      <c r="F42" s="291">
        <f>SUM(F40:F41)</f>
        <v>0</v>
      </c>
      <c r="G42" s="291">
        <f>SUM(G40:G41)</f>
        <v>0</v>
      </c>
      <c r="H42" s="285">
        <f>'Sources and Uses Budget'!T42</f>
        <v>0</v>
      </c>
      <c r="I42" s="291">
        <f>SUM(I40:I41)</f>
        <v>0</v>
      </c>
      <c r="J42" s="291">
        <f>SUM(J40:J41)</f>
        <v>0</v>
      </c>
      <c r="K42" s="283"/>
    </row>
    <row r="43" spans="1:11" s="284" customFormat="1">
      <c r="A43" s="289" t="s">
        <v>1846</v>
      </c>
      <c r="B43" s="285">
        <f>'Sources and Uses Budget'!C43</f>
        <v>806500</v>
      </c>
      <c r="C43" s="286"/>
      <c r="D43" s="286"/>
      <c r="E43" s="285">
        <f>'Sources and Uses Budget'!S43</f>
        <v>798702.7</v>
      </c>
      <c r="F43" s="286"/>
      <c r="G43" s="286"/>
      <c r="H43" s="285">
        <f>'Sources and Uses Budget'!T43</f>
        <v>0</v>
      </c>
      <c r="I43" s="286"/>
      <c r="J43" s="286"/>
      <c r="K43" s="283"/>
    </row>
    <row r="44" spans="1:11" s="284" customFormat="1" ht="11.4">
      <c r="A44" s="281" t="s">
        <v>1847</v>
      </c>
      <c r="B44" s="282"/>
      <c r="C44" s="282"/>
      <c r="D44" s="282"/>
      <c r="E44" s="282"/>
      <c r="F44" s="282"/>
      <c r="G44" s="282"/>
      <c r="H44" s="282"/>
      <c r="I44" s="282"/>
      <c r="J44" s="282"/>
      <c r="K44" s="283"/>
    </row>
    <row r="45" spans="1:11" s="284" customFormat="1" ht="11.4">
      <c r="A45" s="288" t="s">
        <v>1848</v>
      </c>
      <c r="B45" s="285">
        <f>'Sources and Uses Budget'!C45</f>
        <v>7450000</v>
      </c>
      <c r="C45" s="286"/>
      <c r="D45" s="286"/>
      <c r="E45" s="285">
        <f>'Sources and Uses Budget'!S45</f>
        <v>4902304.38</v>
      </c>
      <c r="F45" s="286"/>
      <c r="G45" s="286"/>
      <c r="H45" s="285">
        <f>'Sources and Uses Budget'!T45</f>
        <v>0</v>
      </c>
      <c r="I45" s="286"/>
      <c r="J45" s="286"/>
      <c r="K45" s="283"/>
    </row>
    <row r="46" spans="1:11" s="284" customFormat="1" ht="11.4">
      <c r="A46" s="288" t="s">
        <v>1849</v>
      </c>
      <c r="B46" s="285">
        <f>'Sources and Uses Budget'!C46</f>
        <v>350000</v>
      </c>
      <c r="C46" s="286"/>
      <c r="D46" s="286"/>
      <c r="E46" s="285">
        <f>'Sources and Uses Budget'!S46</f>
        <v>265642</v>
      </c>
      <c r="F46" s="286"/>
      <c r="G46" s="286"/>
      <c r="H46" s="285">
        <f>'Sources and Uses Budget'!T46</f>
        <v>0</v>
      </c>
      <c r="I46" s="286"/>
      <c r="J46" s="286"/>
      <c r="K46" s="283"/>
    </row>
    <row r="47" spans="1:11" s="284" customFormat="1" ht="12" customHeight="1">
      <c r="A47" s="288" t="s">
        <v>1850</v>
      </c>
      <c r="B47" s="285">
        <f>'Sources and Uses Budget'!C47</f>
        <v>0</v>
      </c>
      <c r="C47" s="286"/>
      <c r="D47" s="286"/>
      <c r="E47" s="285">
        <f>'Sources and Uses Budget'!S47</f>
        <v>0</v>
      </c>
      <c r="F47" s="286"/>
      <c r="G47" s="286"/>
      <c r="H47" s="285">
        <f>'Sources and Uses Budget'!T47</f>
        <v>0</v>
      </c>
      <c r="I47" s="286"/>
      <c r="J47" s="286"/>
      <c r="K47" s="283"/>
    </row>
    <row r="48" spans="1:11" s="284" customFormat="1" ht="11.4">
      <c r="A48" s="288" t="s">
        <v>1851</v>
      </c>
      <c r="B48" s="285">
        <f>'Sources and Uses Budget'!C48</f>
        <v>422654</v>
      </c>
      <c r="C48" s="286"/>
      <c r="D48" s="286"/>
      <c r="E48" s="285">
        <f>'Sources and Uses Budget'!S48</f>
        <v>415228</v>
      </c>
      <c r="F48" s="286"/>
      <c r="G48" s="286"/>
      <c r="H48" s="285">
        <f>'Sources and Uses Budget'!T48</f>
        <v>0</v>
      </c>
      <c r="I48" s="286"/>
      <c r="J48" s="286"/>
      <c r="K48" s="283"/>
    </row>
    <row r="49" spans="1:11" s="284" customFormat="1" ht="11.4">
      <c r="A49" s="207" t="s">
        <v>1852</v>
      </c>
      <c r="B49" s="285">
        <f>'Sources and Uses Budget'!C49</f>
        <v>246680</v>
      </c>
      <c r="C49" s="286"/>
      <c r="D49" s="286"/>
      <c r="E49" s="285">
        <f>'Sources and Uses Budget'!S49</f>
        <v>191862</v>
      </c>
      <c r="F49" s="286"/>
      <c r="G49" s="286"/>
      <c r="H49" s="285">
        <f>'Sources and Uses Budget'!T49</f>
        <v>0</v>
      </c>
      <c r="I49" s="286"/>
      <c r="J49" s="286"/>
      <c r="K49" s="283"/>
    </row>
    <row r="50" spans="1:11" s="284" customFormat="1" ht="11.4">
      <c r="A50" s="288" t="s">
        <v>1853</v>
      </c>
      <c r="B50" s="285">
        <f>'Sources and Uses Budget'!C50</f>
        <v>185000</v>
      </c>
      <c r="C50" s="286"/>
      <c r="D50" s="286"/>
      <c r="E50" s="285">
        <f>'Sources and Uses Budget'!S50</f>
        <v>181522</v>
      </c>
      <c r="F50" s="286"/>
      <c r="G50" s="286"/>
      <c r="H50" s="285">
        <f>'Sources and Uses Budget'!T50</f>
        <v>0</v>
      </c>
      <c r="I50" s="286"/>
      <c r="J50" s="286"/>
      <c r="K50" s="283"/>
    </row>
    <row r="51" spans="1:11" s="284" customFormat="1" ht="11.4">
      <c r="A51" s="288" t="s">
        <v>1854</v>
      </c>
      <c r="B51" s="285">
        <f>'Sources and Uses Budget'!C51</f>
        <v>10000</v>
      </c>
      <c r="C51" s="286"/>
      <c r="D51" s="286"/>
      <c r="E51" s="285">
        <f>'Sources and Uses Budget'!S51</f>
        <v>9812</v>
      </c>
      <c r="F51" s="286"/>
      <c r="G51" s="286"/>
      <c r="H51" s="285">
        <f>'Sources and Uses Budget'!T51</f>
        <v>0</v>
      </c>
      <c r="I51" s="286"/>
      <c r="J51" s="286"/>
      <c r="K51" s="283"/>
    </row>
    <row r="52" spans="1:11" s="284" customFormat="1" ht="11.4">
      <c r="A52" s="288" t="s">
        <v>1855</v>
      </c>
      <c r="B52" s="285">
        <f>'Sources and Uses Budget'!C52</f>
        <v>1100000</v>
      </c>
      <c r="C52" s="286"/>
      <c r="D52" s="286"/>
      <c r="E52" s="285">
        <f>'Sources and Uses Budget'!S52</f>
        <v>1079320</v>
      </c>
      <c r="F52" s="286"/>
      <c r="G52" s="286"/>
      <c r="H52" s="285">
        <f>'Sources and Uses Budget'!T52</f>
        <v>0</v>
      </c>
      <c r="I52" s="286"/>
      <c r="J52" s="286"/>
      <c r="K52" s="283"/>
    </row>
    <row r="53" spans="1:11" s="284" customFormat="1" ht="11.4">
      <c r="A53" s="288" t="str">
        <f>'Sources and Uses Budget'!$A53</f>
        <v>Other: (Specify)</v>
      </c>
      <c r="B53" s="285">
        <f>'Sources and Uses Budget'!C53</f>
        <v>0</v>
      </c>
      <c r="C53" s="286"/>
      <c r="D53" s="286"/>
      <c r="E53" s="285">
        <f>'Sources and Uses Budget'!S53</f>
        <v>0</v>
      </c>
      <c r="F53" s="286"/>
      <c r="G53" s="286"/>
      <c r="H53" s="285">
        <f>'Sources and Uses Budget'!T53</f>
        <v>0</v>
      </c>
      <c r="I53" s="286"/>
      <c r="J53" s="286"/>
      <c r="K53" s="283"/>
    </row>
    <row r="54" spans="1:11" s="293" customFormat="1">
      <c r="A54" s="289" t="s">
        <v>1856</v>
      </c>
      <c r="B54" s="285">
        <f>'Sources and Uses Budget'!C54</f>
        <v>9764334</v>
      </c>
      <c r="C54" s="291">
        <f>SUM(C45:C53)</f>
        <v>0</v>
      </c>
      <c r="D54" s="291">
        <f>SUM(D45:D53)</f>
        <v>0</v>
      </c>
      <c r="E54" s="285">
        <f>'Sources and Uses Budget'!S54</f>
        <v>7045690.3799999999</v>
      </c>
      <c r="F54" s="291">
        <f>SUM(F45:F53)</f>
        <v>0</v>
      </c>
      <c r="G54" s="291">
        <f>SUM(G45:G53)</f>
        <v>0</v>
      </c>
      <c r="H54" s="285">
        <f>'Sources and Uses Budget'!T54</f>
        <v>0</v>
      </c>
      <c r="I54" s="291">
        <f>SUM(I45:I53)</f>
        <v>0</v>
      </c>
      <c r="J54" s="291">
        <f>SUM(J45:J53)</f>
        <v>0</v>
      </c>
      <c r="K54" s="292"/>
    </row>
    <row r="55" spans="1:11" s="284" customFormat="1" ht="11.4">
      <c r="A55" s="281" t="s">
        <v>1419</v>
      </c>
      <c r="B55" s="282"/>
      <c r="C55" s="282"/>
      <c r="D55" s="282"/>
      <c r="E55" s="282"/>
      <c r="F55" s="282"/>
      <c r="G55" s="282"/>
      <c r="H55" s="282"/>
      <c r="I55" s="282"/>
      <c r="J55" s="282"/>
      <c r="K55" s="283"/>
    </row>
    <row r="56" spans="1:11" s="284" customFormat="1" ht="11.4">
      <c r="A56" s="288" t="s">
        <v>1857</v>
      </c>
      <c r="B56" s="285">
        <f>'Sources and Uses Budget'!C56</f>
        <v>150000</v>
      </c>
      <c r="C56" s="286"/>
      <c r="D56" s="286"/>
      <c r="E56" s="287"/>
      <c r="F56" s="287"/>
      <c r="G56" s="287"/>
      <c r="H56" s="287"/>
      <c r="I56" s="287"/>
      <c r="J56" s="287"/>
      <c r="K56" s="283"/>
    </row>
    <row r="57" spans="1:11" s="284" customFormat="1" ht="12" customHeight="1">
      <c r="A57" s="288" t="s">
        <v>1850</v>
      </c>
      <c r="B57" s="285">
        <f>'Sources and Uses Budget'!C57</f>
        <v>0</v>
      </c>
      <c r="C57" s="286"/>
      <c r="D57" s="286"/>
      <c r="E57" s="287"/>
      <c r="F57" s="287"/>
      <c r="G57" s="287"/>
      <c r="H57" s="287"/>
      <c r="I57" s="287"/>
      <c r="J57" s="287"/>
      <c r="K57" s="283"/>
    </row>
    <row r="58" spans="1:11" s="284" customFormat="1" ht="11.4">
      <c r="A58" s="288" t="s">
        <v>1853</v>
      </c>
      <c r="B58" s="285">
        <f>'Sources and Uses Budget'!C58</f>
        <v>23000</v>
      </c>
      <c r="C58" s="286"/>
      <c r="D58" s="286"/>
      <c r="E58" s="287"/>
      <c r="F58" s="287"/>
      <c r="G58" s="287"/>
      <c r="H58" s="287"/>
      <c r="I58" s="287"/>
      <c r="J58" s="287"/>
      <c r="K58" s="283"/>
    </row>
    <row r="59" spans="1:11" s="284" customFormat="1" ht="11.4">
      <c r="A59" s="288" t="s">
        <v>1854</v>
      </c>
      <c r="B59" s="285">
        <f>'Sources and Uses Budget'!C59</f>
        <v>0</v>
      </c>
      <c r="C59" s="286"/>
      <c r="D59" s="286"/>
      <c r="E59" s="287"/>
      <c r="F59" s="287"/>
      <c r="G59" s="287"/>
      <c r="H59" s="287"/>
      <c r="I59" s="287"/>
      <c r="J59" s="287"/>
      <c r="K59" s="283"/>
    </row>
    <row r="60" spans="1:11" s="284" customFormat="1" ht="11.4">
      <c r="A60" s="288" t="s">
        <v>1855</v>
      </c>
      <c r="B60" s="285">
        <f>'Sources and Uses Budget'!C60</f>
        <v>0</v>
      </c>
      <c r="C60" s="286"/>
      <c r="D60" s="286"/>
      <c r="E60" s="287"/>
      <c r="F60" s="287"/>
      <c r="G60" s="287"/>
      <c r="H60" s="287"/>
      <c r="I60" s="287"/>
      <c r="J60" s="287"/>
      <c r="K60" s="283"/>
    </row>
    <row r="61" spans="1:11" s="284" customFormat="1" ht="11.4">
      <c r="A61" s="288" t="str">
        <f>'Sources and Uses Budget'!$A61</f>
        <v>Other: (Specify)</v>
      </c>
      <c r="B61" s="285">
        <f>'Sources and Uses Budget'!C61</f>
        <v>0</v>
      </c>
      <c r="C61" s="286"/>
      <c r="D61" s="286"/>
      <c r="E61" s="287"/>
      <c r="F61" s="287"/>
      <c r="G61" s="287"/>
      <c r="H61" s="287"/>
      <c r="I61" s="287"/>
      <c r="J61" s="287"/>
      <c r="K61" s="283"/>
    </row>
    <row r="62" spans="1:11" s="284" customFormat="1" ht="13.95" customHeight="1">
      <c r="A62" s="289" t="s">
        <v>1858</v>
      </c>
      <c r="B62" s="285">
        <f>'Sources and Uses Budget'!C62</f>
        <v>173000</v>
      </c>
      <c r="C62" s="285">
        <f>SUM(C56:C61)</f>
        <v>0</v>
      </c>
      <c r="D62" s="285">
        <f>SUM(D56:D61)</f>
        <v>0</v>
      </c>
      <c r="E62" s="287"/>
      <c r="F62" s="287"/>
      <c r="G62" s="287"/>
      <c r="H62" s="287"/>
      <c r="I62" s="287"/>
      <c r="J62" s="287"/>
      <c r="K62" s="283"/>
    </row>
    <row r="63" spans="1:11" s="284" customFormat="1" ht="11.4">
      <c r="A63" s="294" t="s">
        <v>1859</v>
      </c>
      <c r="B63" s="285">
        <f>'Sources and Uses Budget'!C63</f>
        <v>55875922</v>
      </c>
      <c r="C63" s="285">
        <f>SUM(C8+C11+C13+C14+C15+C26+C27+C38+C42+C43+C54+C62)</f>
        <v>0</v>
      </c>
      <c r="D63" s="285">
        <f>SUM(D8+D11+D13+D14+D15+D26+D27+D38+D42+D43+D54+D62)</f>
        <v>0</v>
      </c>
      <c r="E63" s="285">
        <f>'Sources and Uses Budget'!S63</f>
        <v>51813248.360000007</v>
      </c>
      <c r="F63" s="285">
        <f>SUM(F10+F13+F14+F15+F26+F27+F38+F42+F43+F54)</f>
        <v>0</v>
      </c>
      <c r="G63" s="285">
        <f>SUM(G10+G13+G14+G15+G26+G27+G38+G42+G43+G54)</f>
        <v>0</v>
      </c>
      <c r="H63" s="285">
        <f>'Sources and Uses Budget'!T63</f>
        <v>0</v>
      </c>
      <c r="I63" s="285">
        <f>SUM(I11+I13+I14+I15+I26+I27+I38+I42+I43+I54)</f>
        <v>0</v>
      </c>
      <c r="J63" s="285">
        <f>SUM(J11+J13+J14+J15+J26+J27+J38+J42+J43+J54)</f>
        <v>0</v>
      </c>
      <c r="K63" s="283"/>
    </row>
    <row r="64" spans="1:11" s="284" customFormat="1" ht="22.8">
      <c r="A64" s="105" t="s">
        <v>1860</v>
      </c>
      <c r="B64" s="282"/>
      <c r="C64" s="282"/>
      <c r="D64" s="282"/>
      <c r="E64" s="282"/>
      <c r="F64" s="282"/>
      <c r="G64" s="282"/>
      <c r="H64" s="282"/>
      <c r="I64" s="282"/>
      <c r="J64" s="282"/>
      <c r="K64" s="283"/>
    </row>
    <row r="65" spans="1:11" s="284" customFormat="1" ht="11.4">
      <c r="A65" s="207" t="s">
        <v>1861</v>
      </c>
      <c r="B65" s="285">
        <f>'Sources and Uses Budget'!C65</f>
        <v>180000</v>
      </c>
      <c r="C65" s="286"/>
      <c r="D65" s="286"/>
      <c r="E65" s="285">
        <f>'Sources and Uses Budget'!S65</f>
        <v>98120</v>
      </c>
      <c r="F65" s="286"/>
      <c r="G65" s="286"/>
      <c r="H65" s="285">
        <f>'Sources and Uses Budget'!T65</f>
        <v>0</v>
      </c>
      <c r="I65" s="286"/>
      <c r="J65" s="286"/>
      <c r="K65" s="283"/>
    </row>
    <row r="66" spans="1:11" s="284" customFormat="1" ht="22.8">
      <c r="A66" s="207" t="s">
        <v>1862</v>
      </c>
      <c r="B66" s="285">
        <f>'Sources and Uses Budget'!C66</f>
        <v>210000</v>
      </c>
      <c r="C66" s="286"/>
      <c r="D66" s="286"/>
      <c r="E66" s="285">
        <f>'Sources and Uses Budget'!S66</f>
        <v>0</v>
      </c>
      <c r="F66" s="286"/>
      <c r="G66" s="286"/>
      <c r="H66" s="285">
        <f>'Sources and Uses Budget'!T66</f>
        <v>0</v>
      </c>
      <c r="I66" s="286"/>
      <c r="J66" s="286"/>
      <c r="K66" s="283"/>
    </row>
    <row r="67" spans="1:11" s="284" customFormat="1" ht="22.8">
      <c r="A67" s="207" t="s">
        <v>1863</v>
      </c>
      <c r="B67" s="285">
        <f>'Sources and Uses Budget'!C67</f>
        <v>50000</v>
      </c>
      <c r="C67" s="286"/>
      <c r="D67" s="286"/>
      <c r="E67" s="285">
        <f>'Sources and Uses Budget'!S67</f>
        <v>49248</v>
      </c>
      <c r="F67" s="286"/>
      <c r="G67" s="286"/>
      <c r="H67" s="285">
        <f>'Sources and Uses Budget'!T67</f>
        <v>0</v>
      </c>
      <c r="I67" s="286"/>
      <c r="J67" s="286"/>
      <c r="K67" s="283"/>
    </row>
    <row r="68" spans="1:11" s="284" customFormat="1" ht="11.4">
      <c r="A68" s="207" t="s">
        <v>1864</v>
      </c>
      <c r="B68" s="285">
        <f>'Sources and Uses Budget'!C68</f>
        <v>0</v>
      </c>
      <c r="C68" s="286"/>
      <c r="D68" s="286"/>
      <c r="E68" s="285">
        <f>'Sources and Uses Budget'!S68</f>
        <v>0</v>
      </c>
      <c r="F68" s="286"/>
      <c r="G68" s="286"/>
      <c r="H68" s="285">
        <f>'Sources and Uses Budget'!T68</f>
        <v>0</v>
      </c>
      <c r="I68" s="286"/>
      <c r="J68" s="286"/>
      <c r="K68" s="283"/>
    </row>
    <row r="69" spans="1:11" s="284" customFormat="1" ht="11.4">
      <c r="A69" s="288" t="str">
        <f>'Sources and Uses Budget'!$A69</f>
        <v>Other: Partnership Legal</v>
      </c>
      <c r="B69" s="285">
        <f>'Sources and Uses Budget'!C69</f>
        <v>120000</v>
      </c>
      <c r="C69" s="286"/>
      <c r="D69" s="286"/>
      <c r="E69" s="285">
        <f>'Sources and Uses Budget'!S69</f>
        <v>112838</v>
      </c>
      <c r="F69" s="286"/>
      <c r="G69" s="286"/>
      <c r="H69" s="285">
        <f>'Sources and Uses Budget'!T69</f>
        <v>0</v>
      </c>
      <c r="I69" s="286"/>
      <c r="J69" s="286"/>
      <c r="K69" s="283"/>
    </row>
    <row r="70" spans="1:11" s="284" customFormat="1">
      <c r="A70" s="289" t="s">
        <v>1944</v>
      </c>
      <c r="B70" s="285">
        <f>'Sources and Uses Budget'!C70</f>
        <v>560000</v>
      </c>
      <c r="C70" s="285">
        <f>SUM(C64:C69)</f>
        <v>0</v>
      </c>
      <c r="D70" s="285">
        <f>SUM(D64:D69)</f>
        <v>0</v>
      </c>
      <c r="E70" s="285">
        <f>'Sources and Uses Budget'!S70</f>
        <v>260206</v>
      </c>
      <c r="F70" s="291">
        <f>SUM(F65:F69)</f>
        <v>0</v>
      </c>
      <c r="G70" s="291">
        <f>SUM(G65:G69)</f>
        <v>0</v>
      </c>
      <c r="H70" s="285">
        <f>'Sources and Uses Budget'!T70</f>
        <v>0</v>
      </c>
      <c r="I70" s="291">
        <f>SUM(I65:I69)</f>
        <v>0</v>
      </c>
      <c r="J70" s="291">
        <f>SUM(J65:J69)</f>
        <v>0</v>
      </c>
      <c r="K70" s="283"/>
    </row>
    <row r="71" spans="1:11" s="284" customFormat="1" ht="11.4">
      <c r="A71" s="281" t="s">
        <v>1867</v>
      </c>
      <c r="B71" s="282"/>
      <c r="C71" s="282"/>
      <c r="D71" s="282"/>
      <c r="E71" s="282"/>
      <c r="F71" s="282"/>
      <c r="G71" s="282"/>
      <c r="H71" s="282"/>
      <c r="I71" s="282"/>
      <c r="J71" s="282"/>
      <c r="K71" s="283"/>
    </row>
    <row r="72" spans="1:11" s="284" customFormat="1" ht="11.4">
      <c r="A72" s="288" t="s">
        <v>1868</v>
      </c>
      <c r="B72" s="285">
        <f>'Sources and Uses Budget'!C72</f>
        <v>0</v>
      </c>
      <c r="C72" s="286"/>
      <c r="D72" s="286"/>
      <c r="E72" s="287"/>
      <c r="F72" s="287"/>
      <c r="G72" s="287"/>
      <c r="H72" s="287"/>
      <c r="I72" s="287"/>
      <c r="J72" s="287"/>
      <c r="K72" s="283"/>
    </row>
    <row r="73" spans="1:11" s="284" customFormat="1" ht="11.4">
      <c r="A73" s="288" t="s">
        <v>1869</v>
      </c>
      <c r="B73" s="285">
        <f>'Sources and Uses Budget'!C73</f>
        <v>0</v>
      </c>
      <c r="C73" s="286"/>
      <c r="D73" s="286"/>
      <c r="E73" s="287"/>
      <c r="F73" s="287"/>
      <c r="G73" s="287"/>
      <c r="H73" s="287"/>
      <c r="I73" s="287"/>
      <c r="J73" s="287"/>
      <c r="K73" s="283"/>
    </row>
    <row r="74" spans="1:11" s="284" customFormat="1" ht="11.4">
      <c r="A74" s="290" t="s">
        <v>1870</v>
      </c>
      <c r="B74" s="285">
        <f>'Sources and Uses Budget'!C74</f>
        <v>0</v>
      </c>
      <c r="C74" s="286"/>
      <c r="D74" s="286"/>
      <c r="E74" s="287"/>
      <c r="F74" s="287"/>
      <c r="G74" s="287"/>
      <c r="H74" s="287"/>
      <c r="I74" s="287"/>
      <c r="J74" s="287"/>
      <c r="K74" s="283"/>
    </row>
    <row r="75" spans="1:11" s="284" customFormat="1" ht="11.4">
      <c r="A75" s="288" t="s">
        <v>1871</v>
      </c>
      <c r="B75" s="285">
        <f>'Sources and Uses Budget'!C75</f>
        <v>521676</v>
      </c>
      <c r="C75" s="286"/>
      <c r="D75" s="286"/>
      <c r="E75" s="287"/>
      <c r="F75" s="287"/>
      <c r="G75" s="287"/>
      <c r="H75" s="287"/>
      <c r="I75" s="287"/>
      <c r="J75" s="287"/>
      <c r="K75" s="283"/>
    </row>
    <row r="76" spans="1:11" s="284" customFormat="1" ht="11.4">
      <c r="A76" s="288" t="str">
        <f>'Sources and Uses Budget'!$A76</f>
        <v>Other: (Specify)</v>
      </c>
      <c r="B76" s="285">
        <f>'Sources and Uses Budget'!C76</f>
        <v>0</v>
      </c>
      <c r="C76" s="286"/>
      <c r="D76" s="286"/>
      <c r="E76" s="287"/>
      <c r="F76" s="287"/>
      <c r="G76" s="287"/>
      <c r="H76" s="287"/>
      <c r="I76" s="287"/>
      <c r="J76" s="287"/>
      <c r="K76" s="283"/>
    </row>
    <row r="77" spans="1:11" s="284" customFormat="1">
      <c r="A77" s="289" t="s">
        <v>1872</v>
      </c>
      <c r="B77" s="285">
        <f>'Sources and Uses Budget'!C77</f>
        <v>521676</v>
      </c>
      <c r="C77" s="285">
        <f>SUM(C72:C76)</f>
        <v>0</v>
      </c>
      <c r="D77" s="285">
        <f>SUM(D72:D76)</f>
        <v>0</v>
      </c>
      <c r="E77" s="287"/>
      <c r="F77" s="287"/>
      <c r="G77" s="287"/>
      <c r="H77" s="287"/>
      <c r="I77" s="287"/>
      <c r="J77" s="287"/>
      <c r="K77" s="283"/>
    </row>
    <row r="78" spans="1:11" s="284" customFormat="1" ht="11.4">
      <c r="A78" s="281" t="s">
        <v>1873</v>
      </c>
      <c r="B78" s="282"/>
      <c r="C78" s="282"/>
      <c r="D78" s="282"/>
      <c r="E78" s="282"/>
      <c r="F78" s="282"/>
      <c r="G78" s="282"/>
      <c r="H78" s="282"/>
      <c r="I78" s="282"/>
      <c r="J78" s="282"/>
      <c r="K78" s="283"/>
    </row>
    <row r="79" spans="1:11" s="284" customFormat="1" ht="11.4">
      <c r="A79" s="288" t="s">
        <v>1874</v>
      </c>
      <c r="B79" s="285">
        <f>'Sources and Uses Budget'!C79</f>
        <v>4315759</v>
      </c>
      <c r="C79" s="286"/>
      <c r="D79" s="286"/>
      <c r="E79" s="285">
        <f>'Sources and Uses Budget'!S79</f>
        <v>4234622.7308</v>
      </c>
      <c r="F79" s="286"/>
      <c r="G79" s="286"/>
      <c r="H79" s="285">
        <f>'Sources and Uses Budget'!T79</f>
        <v>0</v>
      </c>
      <c r="I79" s="286"/>
      <c r="J79" s="286"/>
      <c r="K79" s="283"/>
    </row>
    <row r="80" spans="1:11" s="284" customFormat="1" ht="11.4">
      <c r="A80" s="288" t="s">
        <v>1875</v>
      </c>
      <c r="B80" s="285">
        <f>'Sources and Uses Budget'!C80</f>
        <v>1042722</v>
      </c>
      <c r="C80" s="286"/>
      <c r="D80" s="286"/>
      <c r="E80" s="285">
        <f>'Sources and Uses Budget'!S80</f>
        <v>742722</v>
      </c>
      <c r="F80" s="286"/>
      <c r="G80" s="286"/>
      <c r="H80" s="285">
        <f>'Sources and Uses Budget'!T80</f>
        <v>0</v>
      </c>
      <c r="I80" s="286"/>
      <c r="J80" s="286"/>
      <c r="K80" s="283"/>
    </row>
    <row r="81" spans="1:11" s="284" customFormat="1">
      <c r="A81" s="289" t="s">
        <v>1876</v>
      </c>
      <c r="B81" s="285">
        <f>'Sources and Uses Budget'!C81</f>
        <v>5358481</v>
      </c>
      <c r="C81" s="285">
        <f>SUM(C79:C80)</f>
        <v>0</v>
      </c>
      <c r="D81" s="285">
        <f>SUM(D79:D80)</f>
        <v>0</v>
      </c>
      <c r="E81" s="285">
        <f>'Sources and Uses Budget'!S81</f>
        <v>4977344.7308</v>
      </c>
      <c r="F81" s="285">
        <f>SUM(F79:F80)</f>
        <v>0</v>
      </c>
      <c r="G81" s="285">
        <f>SUM(G79:G80)</f>
        <v>0</v>
      </c>
      <c r="H81" s="285">
        <f>'Sources and Uses Budget'!T81</f>
        <v>0</v>
      </c>
      <c r="I81" s="285">
        <f>SUM(I79:I80)</f>
        <v>0</v>
      </c>
      <c r="J81" s="285">
        <f>SUM(J79:J80)</f>
        <v>0</v>
      </c>
      <c r="K81" s="283"/>
    </row>
    <row r="82" spans="1:11" s="284" customFormat="1" ht="11.4">
      <c r="A82" s="281" t="s">
        <v>1877</v>
      </c>
      <c r="B82" s="282"/>
      <c r="C82" s="282"/>
      <c r="D82" s="282"/>
      <c r="E82" s="282"/>
      <c r="F82" s="282"/>
      <c r="G82" s="282"/>
      <c r="H82" s="282"/>
      <c r="I82" s="282"/>
      <c r="J82" s="282"/>
      <c r="K82" s="283"/>
    </row>
    <row r="83" spans="1:11" s="284" customFormat="1" ht="13.95" customHeight="1">
      <c r="A83" s="207" t="s">
        <v>1878</v>
      </c>
      <c r="B83" s="285">
        <f>'Sources and Uses Budget'!C83</f>
        <v>185000</v>
      </c>
      <c r="C83" s="286"/>
      <c r="D83" s="286"/>
      <c r="E83" s="287"/>
      <c r="F83" s="287"/>
      <c r="G83" s="287"/>
      <c r="H83" s="287"/>
      <c r="I83" s="287"/>
      <c r="J83" s="287"/>
      <c r="K83" s="283"/>
    </row>
    <row r="84" spans="1:11" s="284" customFormat="1" ht="11.4">
      <c r="A84" s="207" t="s">
        <v>1879</v>
      </c>
      <c r="B84" s="285">
        <f>'Sources and Uses Budget'!C84</f>
        <v>95000</v>
      </c>
      <c r="C84" s="286"/>
      <c r="D84" s="286"/>
      <c r="E84" s="285">
        <f>'Sources and Uses Budget'!S84</f>
        <v>93214</v>
      </c>
      <c r="F84" s="286"/>
      <c r="G84" s="286"/>
      <c r="H84" s="285">
        <f>'Sources and Uses Budget'!T84</f>
        <v>0</v>
      </c>
      <c r="I84" s="286"/>
      <c r="J84" s="286"/>
      <c r="K84" s="283"/>
    </row>
    <row r="85" spans="1:11" s="284" customFormat="1" ht="11.4">
      <c r="A85" s="207" t="s">
        <v>1880</v>
      </c>
      <c r="B85" s="285">
        <f>'Sources and Uses Budget'!C85</f>
        <v>360859.99999999994</v>
      </c>
      <c r="C85" s="286"/>
      <c r="D85" s="286"/>
      <c r="E85" s="285">
        <f>'Sources and Uses Budget'!S85</f>
        <v>360859.99999999994</v>
      </c>
      <c r="F85" s="286"/>
      <c r="G85" s="286"/>
      <c r="H85" s="285">
        <f>'Sources and Uses Budget'!T85</f>
        <v>0</v>
      </c>
      <c r="I85" s="286"/>
      <c r="J85" s="286"/>
      <c r="K85" s="283"/>
    </row>
    <row r="86" spans="1:11" s="284" customFormat="1" ht="11.4">
      <c r="A86" s="207" t="s">
        <v>1881</v>
      </c>
      <c r="B86" s="285">
        <f>'Sources and Uses Budget'!C86</f>
        <v>50000</v>
      </c>
      <c r="C86" s="286"/>
      <c r="D86" s="286"/>
      <c r="E86" s="285">
        <f>'Sources and Uses Budget'!S86</f>
        <v>49530</v>
      </c>
      <c r="F86" s="286"/>
      <c r="G86" s="286"/>
      <c r="H86" s="285">
        <f>'Sources and Uses Budget'!T86</f>
        <v>0</v>
      </c>
      <c r="I86" s="286"/>
      <c r="J86" s="286"/>
      <c r="K86" s="283"/>
    </row>
    <row r="87" spans="1:11" s="284" customFormat="1" ht="11.4">
      <c r="A87" s="207" t="s">
        <v>1882</v>
      </c>
      <c r="B87" s="285">
        <f>'Sources and Uses Budget'!C87</f>
        <v>0</v>
      </c>
      <c r="C87" s="286"/>
      <c r="D87" s="286"/>
      <c r="E87" s="285">
        <f>'Sources and Uses Budget'!S87</f>
        <v>0</v>
      </c>
      <c r="F87" s="286"/>
      <c r="G87" s="286"/>
      <c r="H87" s="285">
        <f>'Sources and Uses Budget'!T87</f>
        <v>0</v>
      </c>
      <c r="I87" s="286"/>
      <c r="J87" s="286"/>
      <c r="K87" s="283"/>
    </row>
    <row r="88" spans="1:11" s="284" customFormat="1" ht="11.4">
      <c r="A88" s="207" t="s">
        <v>1883</v>
      </c>
      <c r="B88" s="285">
        <f>'Sources and Uses Budget'!C88</f>
        <v>100000</v>
      </c>
      <c r="C88" s="286"/>
      <c r="D88" s="286"/>
      <c r="E88" s="287"/>
      <c r="F88" s="287"/>
      <c r="G88" s="287"/>
      <c r="H88" s="287"/>
      <c r="I88" s="287"/>
      <c r="J88" s="287"/>
      <c r="K88" s="283"/>
    </row>
    <row r="89" spans="1:11" s="284" customFormat="1" ht="11.4">
      <c r="A89" s="207" t="s">
        <v>1884</v>
      </c>
      <c r="B89" s="285">
        <f>'Sources and Uses Budget'!C89</f>
        <v>553500</v>
      </c>
      <c r="C89" s="286"/>
      <c r="D89" s="286"/>
      <c r="E89" s="285">
        <f>'Sources and Uses Budget'!S89</f>
        <v>553500</v>
      </c>
      <c r="F89" s="286"/>
      <c r="G89" s="286"/>
      <c r="H89" s="285">
        <f>'Sources and Uses Budget'!T89</f>
        <v>0</v>
      </c>
      <c r="I89" s="286"/>
      <c r="J89" s="286"/>
      <c r="K89" s="283"/>
    </row>
    <row r="90" spans="1:11" s="284" customFormat="1" ht="11.4">
      <c r="A90" s="207" t="s">
        <v>1885</v>
      </c>
      <c r="B90" s="285">
        <f>'Sources and Uses Budget'!C90</f>
        <v>13200</v>
      </c>
      <c r="C90" s="286"/>
      <c r="D90" s="286"/>
      <c r="E90" s="285">
        <f>'Sources and Uses Budget'!S90</f>
        <v>13200</v>
      </c>
      <c r="F90" s="286"/>
      <c r="G90" s="286"/>
      <c r="H90" s="285">
        <f>'Sources and Uses Budget'!T90</f>
        <v>0</v>
      </c>
      <c r="I90" s="286"/>
      <c r="J90" s="286"/>
      <c r="K90" s="283"/>
    </row>
    <row r="91" spans="1:11" s="284" customFormat="1" ht="11.4">
      <c r="A91" s="433" t="s">
        <v>1886</v>
      </c>
      <c r="B91" s="285">
        <f>'Sources and Uses Budget'!C91</f>
        <v>130000</v>
      </c>
      <c r="C91" s="286"/>
      <c r="D91" s="286"/>
      <c r="E91" s="285">
        <f>'Sources and Uses Budget'!S91</f>
        <v>127556</v>
      </c>
      <c r="F91" s="286"/>
      <c r="G91" s="286"/>
      <c r="H91" s="285">
        <f>'Sources and Uses Budget'!T91</f>
        <v>0</v>
      </c>
      <c r="I91" s="286"/>
      <c r="J91" s="286"/>
      <c r="K91" s="283"/>
    </row>
    <row r="92" spans="1:11" s="284" customFormat="1" ht="11.4">
      <c r="A92" s="433" t="s">
        <v>1887</v>
      </c>
      <c r="B92" s="285">
        <f>'Sources and Uses Budget'!C92</f>
        <v>25000</v>
      </c>
      <c r="C92" s="286"/>
      <c r="D92" s="286"/>
      <c r="E92" s="285">
        <f>'Sources and Uses Budget'!S92</f>
        <v>25000</v>
      </c>
      <c r="F92" s="286"/>
      <c r="G92" s="286"/>
      <c r="H92" s="285">
        <f>'Sources and Uses Budget'!T92</f>
        <v>0</v>
      </c>
      <c r="I92" s="286"/>
      <c r="J92" s="286"/>
      <c r="K92" s="283"/>
    </row>
    <row r="93" spans="1:11" s="284" customFormat="1" ht="11.4">
      <c r="A93" s="288" t="str">
        <f>'Sources and Uses Budget'!$A93</f>
        <v>Other: Master Plan Predevelopment</v>
      </c>
      <c r="B93" s="285">
        <f>'Sources and Uses Budget'!C93</f>
        <v>153722</v>
      </c>
      <c r="C93" s="286"/>
      <c r="D93" s="286"/>
      <c r="E93" s="285">
        <f>'Sources and Uses Budget'!S93</f>
        <v>0</v>
      </c>
      <c r="F93" s="286"/>
      <c r="G93" s="286"/>
      <c r="H93" s="285">
        <f>'Sources and Uses Budget'!T93</f>
        <v>0</v>
      </c>
      <c r="I93" s="286"/>
      <c r="J93" s="286"/>
      <c r="K93" s="283"/>
    </row>
    <row r="94" spans="1:11" s="284" customFormat="1" ht="11.4">
      <c r="A94" s="288" t="str">
        <f>'Sources and Uses Budget'!$A94</f>
        <v>Other: Jobs Coordinator, Deputy Inspector</v>
      </c>
      <c r="B94" s="285">
        <f>'Sources and Uses Budget'!C94</f>
        <v>200000</v>
      </c>
      <c r="C94" s="286"/>
      <c r="D94" s="286"/>
      <c r="E94" s="285">
        <f>'Sources and Uses Budget'!S94</f>
        <v>197180</v>
      </c>
      <c r="F94" s="286"/>
      <c r="G94" s="286"/>
      <c r="H94" s="285">
        <f>'Sources and Uses Budget'!T94</f>
        <v>0</v>
      </c>
      <c r="I94" s="286"/>
      <c r="J94" s="286"/>
      <c r="K94" s="283"/>
    </row>
    <row r="95" spans="1:11" s="284" customFormat="1" ht="11.4">
      <c r="A95" s="288" t="str">
        <f>'Sources and Uses Budget'!$A95</f>
        <v>Other: Utility Fees, CASp Consultant</v>
      </c>
      <c r="B95" s="285">
        <f>'Sources and Uses Budget'!C95</f>
        <v>290000</v>
      </c>
      <c r="C95" s="286"/>
      <c r="D95" s="286"/>
      <c r="E95" s="285">
        <f>'Sources and Uses Budget'!S95</f>
        <v>287650</v>
      </c>
      <c r="F95" s="286"/>
      <c r="G95" s="286"/>
      <c r="H95" s="285">
        <f>'Sources and Uses Budget'!T95</f>
        <v>0</v>
      </c>
      <c r="I95" s="286"/>
      <c r="J95" s="286"/>
      <c r="K95" s="283"/>
    </row>
    <row r="96" spans="1:11" s="284" customFormat="1">
      <c r="A96" s="289" t="s">
        <v>1891</v>
      </c>
      <c r="B96" s="285">
        <f>'Sources and Uses Budget'!C96</f>
        <v>2156282</v>
      </c>
      <c r="C96" s="285">
        <f>SUM(C83:C95)</f>
        <v>0</v>
      </c>
      <c r="D96" s="285">
        <f>SUM(D83:D95)</f>
        <v>0</v>
      </c>
      <c r="E96" s="285">
        <f>'Sources and Uses Budget'!S96</f>
        <v>1707690</v>
      </c>
      <c r="F96" s="291">
        <f>SUM(F84:F87,F89:F95)</f>
        <v>0</v>
      </c>
      <c r="G96" s="291">
        <f>SUM(G84:G87,G89:G95)</f>
        <v>0</v>
      </c>
      <c r="H96" s="285">
        <f>'Sources and Uses Budget'!T96</f>
        <v>0</v>
      </c>
      <c r="I96" s="285">
        <f>SUM(I84:I87,I89:I95)</f>
        <v>0</v>
      </c>
      <c r="J96" s="285">
        <f>SUM(J84:J87,J89:J95)</f>
        <v>0</v>
      </c>
      <c r="K96" s="283"/>
    </row>
    <row r="97" spans="1:11" s="284" customFormat="1">
      <c r="A97" s="289" t="s">
        <v>1945</v>
      </c>
      <c r="B97" s="285">
        <f>'Sources and Uses Budget'!C97</f>
        <v>64472361</v>
      </c>
      <c r="C97" s="285">
        <f>SUM(C63+C70+C77+C81+C96)</f>
        <v>0</v>
      </c>
      <c r="D97" s="285">
        <f>SUM(D63+D70+D77+D81+D96)</f>
        <v>0</v>
      </c>
      <c r="E97" s="285">
        <f>'Sources and Uses Budget'!S97</f>
        <v>58758489.09080001</v>
      </c>
      <c r="F97" s="291">
        <f>SUM(+F63+F70+F81+F96)</f>
        <v>0</v>
      </c>
      <c r="G97" s="291">
        <f>SUM(+G63+G70+G81+G96)</f>
        <v>0</v>
      </c>
      <c r="H97" s="285">
        <f>'Sources and Uses Budget'!T97</f>
        <v>0</v>
      </c>
      <c r="I97" s="291">
        <f>SUM(I63+I70+I81+I96)</f>
        <v>0</v>
      </c>
      <c r="J97" s="291">
        <f>SUM(J63+J70+J81+J96)</f>
        <v>0</v>
      </c>
      <c r="K97" s="283"/>
    </row>
    <row r="98" spans="1:11" s="284" customFormat="1" ht="11.4">
      <c r="A98" s="281" t="s">
        <v>1893</v>
      </c>
      <c r="B98" s="282"/>
      <c r="C98" s="282"/>
      <c r="D98" s="282"/>
      <c r="E98" s="282"/>
      <c r="F98" s="282"/>
      <c r="G98" s="282"/>
      <c r="H98" s="282"/>
      <c r="I98" s="282"/>
      <c r="J98" s="282"/>
      <c r="K98" s="283"/>
    </row>
    <row r="99" spans="1:11" s="284" customFormat="1" ht="11.4">
      <c r="A99" s="207" t="s">
        <v>1894</v>
      </c>
      <c r="B99" s="285">
        <f>'Sources and Uses Budget'!C99</f>
        <v>8813773</v>
      </c>
      <c r="C99" s="286"/>
      <c r="D99" s="286"/>
      <c r="E99" s="285">
        <f>'Sources and Uses Budget'!S99</f>
        <v>8813773</v>
      </c>
      <c r="F99" s="286"/>
      <c r="G99" s="286"/>
      <c r="H99" s="285">
        <f>'Sources and Uses Budget'!T99</f>
        <v>0</v>
      </c>
      <c r="I99" s="286"/>
      <c r="J99" s="286"/>
      <c r="K99" s="283"/>
    </row>
    <row r="100" spans="1:11" s="284" customFormat="1" ht="11.4">
      <c r="A100" s="207" t="s">
        <v>1895</v>
      </c>
      <c r="B100" s="285">
        <f>'Sources and Uses Budget'!C100</f>
        <v>0</v>
      </c>
      <c r="C100" s="286"/>
      <c r="D100" s="286"/>
      <c r="E100" s="285">
        <f>'Sources and Uses Budget'!S100</f>
        <v>0</v>
      </c>
      <c r="F100" s="286"/>
      <c r="G100" s="286"/>
      <c r="H100" s="285">
        <f>'Sources and Uses Budget'!T100</f>
        <v>0</v>
      </c>
      <c r="I100" s="286"/>
      <c r="J100" s="286"/>
      <c r="K100" s="283"/>
    </row>
    <row r="101" spans="1:11" s="284" customFormat="1" ht="11.4">
      <c r="A101" s="207" t="s">
        <v>1896</v>
      </c>
      <c r="B101" s="285">
        <f>'Sources and Uses Budget'!C101</f>
        <v>0</v>
      </c>
      <c r="C101" s="286"/>
      <c r="D101" s="286"/>
      <c r="E101" s="285">
        <f>'Sources and Uses Budget'!S101</f>
        <v>0</v>
      </c>
      <c r="F101" s="286"/>
      <c r="G101" s="286"/>
      <c r="H101" s="285">
        <f>'Sources and Uses Budget'!T101</f>
        <v>0</v>
      </c>
      <c r="I101" s="286"/>
      <c r="J101" s="286"/>
      <c r="K101" s="283"/>
    </row>
    <row r="102" spans="1:11" s="284" customFormat="1" ht="12" customHeight="1">
      <c r="A102" s="207" t="s">
        <v>1897</v>
      </c>
      <c r="B102" s="285">
        <f>'Sources and Uses Budget'!C102</f>
        <v>0</v>
      </c>
      <c r="C102" s="286"/>
      <c r="D102" s="286"/>
      <c r="E102" s="285">
        <f>'Sources and Uses Budget'!S102</f>
        <v>0</v>
      </c>
      <c r="F102" s="286"/>
      <c r="G102" s="286"/>
      <c r="H102" s="285">
        <f>'Sources and Uses Budget'!T102</f>
        <v>0</v>
      </c>
      <c r="I102" s="286"/>
      <c r="J102" s="286"/>
      <c r="K102" s="283"/>
    </row>
    <row r="103" spans="1:11" s="284" customFormat="1" ht="11.4">
      <c r="A103" s="288" t="str">
        <f>'Sources and Uses Budget'!$A103</f>
        <v>Other: (Specify)</v>
      </c>
      <c r="B103" s="285">
        <f>'Sources and Uses Budget'!C103</f>
        <v>0</v>
      </c>
      <c r="C103" s="286"/>
      <c r="D103" s="286"/>
      <c r="E103" s="285">
        <f>'Sources and Uses Budget'!S103</f>
        <v>0</v>
      </c>
      <c r="F103" s="286"/>
      <c r="G103" s="286"/>
      <c r="H103" s="285">
        <f>'Sources and Uses Budget'!T103</f>
        <v>0</v>
      </c>
      <c r="I103" s="286"/>
      <c r="J103" s="286"/>
      <c r="K103" s="283"/>
    </row>
    <row r="104" spans="1:11" s="284" customFormat="1">
      <c r="A104" s="289" t="s">
        <v>1898</v>
      </c>
      <c r="B104" s="285">
        <f>'Sources and Uses Budget'!C104</f>
        <v>8813773</v>
      </c>
      <c r="C104" s="285">
        <f>SUM(C99:C103)</f>
        <v>0</v>
      </c>
      <c r="D104" s="285">
        <f>SUM(D99:D103)</f>
        <v>0</v>
      </c>
      <c r="E104" s="285">
        <f>'Sources and Uses Budget'!S104</f>
        <v>8813773</v>
      </c>
      <c r="F104" s="291">
        <f>SUM(F99:F103)</f>
        <v>0</v>
      </c>
      <c r="G104" s="291">
        <f>SUM(G99:G103)</f>
        <v>0</v>
      </c>
      <c r="H104" s="285">
        <f>'Sources and Uses Budget'!T104</f>
        <v>0</v>
      </c>
      <c r="I104" s="291">
        <f>SUM(I99:I103)</f>
        <v>0</v>
      </c>
      <c r="J104" s="291">
        <f>SUM(J99:J103)</f>
        <v>0</v>
      </c>
      <c r="K104" s="283"/>
    </row>
    <row r="105" spans="1:11" s="284" customFormat="1">
      <c r="A105" s="289" t="s">
        <v>1946</v>
      </c>
      <c r="B105" s="285">
        <f>'Sources and Uses Budget'!C105</f>
        <v>73286134</v>
      </c>
      <c r="C105" s="291">
        <f>SUM(C97+C104)</f>
        <v>0</v>
      </c>
      <c r="D105" s="291">
        <f>SUM(D97+D104)</f>
        <v>0</v>
      </c>
      <c r="E105" s="285">
        <f>'Sources and Uses Budget'!S105</f>
        <v>67572262.090800017</v>
      </c>
      <c r="F105" s="291">
        <f>F97+F104</f>
        <v>0</v>
      </c>
      <c r="G105" s="291">
        <f>G97+G104</f>
        <v>0</v>
      </c>
      <c r="H105" s="285">
        <f>'Sources and Uses Budget'!T105</f>
        <v>0</v>
      </c>
      <c r="I105" s="291">
        <f>I97+I104</f>
        <v>0</v>
      </c>
      <c r="J105" s="291">
        <f>J97+J104</f>
        <v>0</v>
      </c>
      <c r="K105" s="283"/>
    </row>
    <row r="106" spans="1:11" s="284" customFormat="1">
      <c r="A106" s="295"/>
      <c r="B106" s="296"/>
      <c r="C106" s="296"/>
      <c r="D106" s="296"/>
      <c r="E106" s="285">
        <f>'Sources and Uses Budget'!S106</f>
        <v>0</v>
      </c>
      <c r="F106" s="286"/>
      <c r="G106" s="286"/>
      <c r="H106" s="285">
        <f>'Sources and Uses Budget'!T106</f>
        <v>0</v>
      </c>
      <c r="I106" s="286"/>
      <c r="J106" s="286"/>
      <c r="K106" s="283"/>
    </row>
    <row r="107" spans="1:11" s="284" customFormat="1">
      <c r="A107" s="297"/>
      <c r="B107" s="298"/>
      <c r="C107" s="296"/>
      <c r="D107" s="380" t="s">
        <v>1947</v>
      </c>
      <c r="E107" s="285">
        <f>'Sources and Uses Budget'!S107</f>
        <v>67572262.090800017</v>
      </c>
      <c r="F107" s="291">
        <f>F105+F106</f>
        <v>0</v>
      </c>
      <c r="G107" s="291">
        <f>G105+G106</f>
        <v>0</v>
      </c>
      <c r="H107" s="285">
        <f>'Sources and Uses Budget'!T107</f>
        <v>0</v>
      </c>
      <c r="I107" s="291">
        <f>I105+I106</f>
        <v>0</v>
      </c>
      <c r="J107" s="291">
        <f>J105+J106</f>
        <v>0</v>
      </c>
      <c r="K107" s="283"/>
    </row>
    <row r="108" spans="1:11" s="284" customFormat="1">
      <c r="A108" s="297"/>
      <c r="B108" s="299"/>
      <c r="C108" s="299"/>
      <c r="D108" s="299"/>
      <c r="J108" s="300"/>
      <c r="K108" s="283"/>
    </row>
    <row r="109" spans="1:11" s="284" customFormat="1">
      <c r="A109" s="297"/>
      <c r="B109" s="299"/>
      <c r="C109" s="299"/>
      <c r="D109" s="299"/>
      <c r="J109" s="300"/>
      <c r="K109" s="283"/>
    </row>
    <row r="110" spans="1:11" s="284" customFormat="1">
      <c r="A110" s="297"/>
      <c r="B110" s="299"/>
      <c r="C110" s="299"/>
      <c r="D110" s="299"/>
      <c r="J110" s="300"/>
      <c r="K110" s="283"/>
    </row>
    <row r="111" spans="1:11" s="284" customFormat="1" ht="13.2">
      <c r="A111" s="301"/>
      <c r="B111" s="299"/>
      <c r="C111" s="299"/>
      <c r="D111" s="299"/>
      <c r="J111" s="300"/>
      <c r="K111" s="283"/>
    </row>
    <row r="112" spans="1:11" s="284" customFormat="1" ht="13.2">
      <c r="A112" s="301"/>
      <c r="B112" s="299"/>
      <c r="C112" s="299"/>
      <c r="D112" s="299"/>
      <c r="J112" s="300"/>
      <c r="K112" s="283"/>
    </row>
    <row r="113" spans="1:11" s="284" customFormat="1" ht="15.6">
      <c r="A113" s="302"/>
      <c r="B113" s="299"/>
      <c r="C113" s="299"/>
      <c r="D113" s="299"/>
      <c r="J113" s="300"/>
      <c r="K113" s="283"/>
    </row>
    <row r="114" spans="1:11" s="284" customFormat="1" ht="13.2">
      <c r="A114" s="301"/>
      <c r="J114" s="300"/>
      <c r="K114" s="283"/>
    </row>
    <row r="115" spans="1:11" s="284" customFormat="1" ht="15.6">
      <c r="A115" s="302"/>
      <c r="J115" s="300"/>
      <c r="K115" s="283"/>
    </row>
    <row r="116" spans="1:11" s="284" customFormat="1" ht="15.6">
      <c r="A116" s="302"/>
      <c r="J116" s="300"/>
      <c r="K116" s="283"/>
    </row>
    <row r="117" spans="1:11" s="284" customFormat="1" ht="11.4">
      <c r="B117" s="299"/>
      <c r="C117" s="299"/>
      <c r="D117" s="299"/>
      <c r="J117" s="300"/>
      <c r="K117" s="283"/>
    </row>
    <row r="118" spans="1:11" s="284" customFormat="1" ht="11.4">
      <c r="J118" s="300"/>
      <c r="K118" s="283"/>
    </row>
    <row r="119" spans="1:11" s="284" customFormat="1" ht="11.4">
      <c r="J119" s="300"/>
      <c r="K119" s="283"/>
    </row>
    <row r="120" spans="1:11" s="284" customFormat="1" ht="11.4">
      <c r="J120" s="300"/>
      <c r="K120" s="283"/>
    </row>
    <row r="121" spans="1:11" s="284" customFormat="1" ht="15.6">
      <c r="A121" s="302"/>
      <c r="J121" s="300"/>
      <c r="K121" s="283"/>
    </row>
    <row r="122" spans="1:11" s="304" customFormat="1" ht="15.6">
      <c r="A122" s="303"/>
      <c r="J122" s="305"/>
      <c r="K122" s="306"/>
    </row>
    <row r="123" spans="1:11" s="284" customFormat="1" ht="11.4">
      <c r="A123" s="307"/>
      <c r="J123" s="300"/>
      <c r="K123" s="283"/>
    </row>
    <row r="124" spans="1:11" s="284" customFormat="1" ht="11.4">
      <c r="B124" s="308"/>
      <c r="D124" s="1802"/>
      <c r="E124" s="1296"/>
      <c r="F124" s="1296"/>
      <c r="G124" s="1296"/>
      <c r="H124" s="1296"/>
      <c r="I124" s="1296"/>
      <c r="J124" s="300"/>
      <c r="K124" s="283"/>
    </row>
    <row r="125" spans="1:11" s="284" customFormat="1" ht="13.2">
      <c r="A125" s="309"/>
      <c r="B125" s="308"/>
      <c r="C125" s="309"/>
      <c r="D125" s="1296"/>
      <c r="E125" s="1296"/>
      <c r="F125" s="1296"/>
      <c r="G125" s="1296"/>
      <c r="H125" s="1296"/>
      <c r="I125" s="1296"/>
      <c r="J125" s="300"/>
      <c r="K125" s="283"/>
    </row>
    <row r="126" spans="1:11" s="284" customFormat="1" ht="13.2">
      <c r="A126" s="309"/>
      <c r="B126" s="308"/>
      <c r="C126" s="309"/>
      <c r="D126" s="1296"/>
      <c r="E126" s="1296"/>
      <c r="F126" s="1296"/>
      <c r="G126" s="1296"/>
      <c r="H126" s="1296"/>
      <c r="I126" s="1296"/>
      <c r="J126" s="300"/>
      <c r="K126" s="283"/>
    </row>
    <row r="127" spans="1:11" s="284" customFormat="1" ht="13.2">
      <c r="A127" s="309"/>
      <c r="B127" s="308"/>
      <c r="C127" s="309"/>
      <c r="D127" s="310"/>
      <c r="E127" s="309"/>
      <c r="F127" s="309"/>
      <c r="G127" s="309"/>
      <c r="J127" s="300"/>
      <c r="K127" s="283"/>
    </row>
    <row r="128" spans="1:11" s="284" customFormat="1" ht="13.2">
      <c r="A128" s="309"/>
      <c r="B128" s="308"/>
      <c r="C128" s="309"/>
      <c r="D128" s="310"/>
      <c r="E128" s="309"/>
      <c r="F128" s="309"/>
      <c r="G128" s="309"/>
      <c r="J128" s="300"/>
      <c r="K128" s="283"/>
    </row>
    <row r="129" spans="1:11" s="284" customFormat="1" ht="13.2">
      <c r="A129" s="309"/>
      <c r="B129" s="308"/>
      <c r="C129" s="309"/>
      <c r="D129" s="309"/>
      <c r="E129" s="309"/>
      <c r="F129" s="309"/>
      <c r="G129" s="309"/>
      <c r="J129" s="300"/>
      <c r="K129" s="283"/>
    </row>
    <row r="130" spans="1:11" s="284" customFormat="1" ht="13.2">
      <c r="A130" s="309"/>
      <c r="B130" s="308"/>
      <c r="C130" s="309"/>
      <c r="D130" s="309"/>
      <c r="E130" s="309"/>
      <c r="F130" s="309"/>
      <c r="G130" s="309"/>
      <c r="J130" s="300"/>
      <c r="K130" s="283"/>
    </row>
    <row r="131" spans="1:11" s="284" customFormat="1" ht="13.2">
      <c r="A131" s="309"/>
      <c r="B131" s="311"/>
      <c r="C131" s="309"/>
      <c r="D131" s="309"/>
      <c r="E131" s="309"/>
      <c r="F131" s="309"/>
      <c r="G131" s="309"/>
      <c r="J131" s="300"/>
      <c r="K131" s="283"/>
    </row>
    <row r="132" spans="1:11" s="284" customFormat="1" ht="13.2">
      <c r="A132" s="312"/>
      <c r="B132" s="313"/>
      <c r="C132" s="309"/>
      <c r="D132" s="314"/>
      <c r="E132" s="309"/>
      <c r="F132" s="309"/>
      <c r="G132" s="309"/>
      <c r="J132" s="300"/>
      <c r="K132" s="283"/>
    </row>
    <row r="133" spans="1:11" s="284" customFormat="1" ht="13.2">
      <c r="A133" s="315"/>
      <c r="B133" s="309"/>
      <c r="C133" s="309"/>
      <c r="D133" s="309"/>
      <c r="E133" s="309"/>
      <c r="F133" s="309"/>
      <c r="G133" s="309"/>
      <c r="J133" s="300"/>
      <c r="K133" s="283"/>
    </row>
    <row r="134" spans="1:11" s="284" customFormat="1" ht="13.2">
      <c r="A134" s="315"/>
      <c r="B134" s="309"/>
      <c r="C134" s="309"/>
      <c r="D134" s="309"/>
      <c r="E134" s="309"/>
      <c r="F134" s="309"/>
      <c r="G134" s="309"/>
      <c r="J134" s="300"/>
      <c r="K134" s="283"/>
    </row>
    <row r="135" spans="1:11" s="284" customFormat="1" ht="13.2">
      <c r="A135" s="316"/>
      <c r="B135" s="309"/>
      <c r="C135" s="309"/>
      <c r="D135" s="309"/>
      <c r="E135" s="309"/>
      <c r="F135" s="309"/>
      <c r="G135" s="309"/>
      <c r="J135" s="300"/>
      <c r="K135" s="283"/>
    </row>
    <row r="136" spans="1:11" s="284" customFormat="1" ht="13.2">
      <c r="A136" s="301"/>
      <c r="B136" s="309"/>
      <c r="C136" s="309"/>
      <c r="D136" s="309"/>
      <c r="E136" s="309"/>
      <c r="F136" s="309"/>
      <c r="G136" s="309"/>
      <c r="J136" s="300"/>
      <c r="K136" s="283"/>
    </row>
    <row r="137" spans="1:11" ht="13.2">
      <c r="A137" s="315"/>
      <c r="B137" s="309"/>
      <c r="C137" s="309"/>
      <c r="D137" s="309"/>
      <c r="E137" s="309"/>
      <c r="F137" s="309"/>
      <c r="G137" s="309"/>
    </row>
    <row r="138" spans="1:11" ht="12" customHeight="1">
      <c r="A138" s="315"/>
      <c r="B138" s="309"/>
      <c r="C138" s="309"/>
      <c r="D138" s="309"/>
      <c r="E138" s="309"/>
      <c r="F138" s="309"/>
      <c r="G138" s="309"/>
    </row>
    <row r="139" spans="1:11" ht="12" customHeight="1">
      <c r="A139" s="1803"/>
      <c r="B139" s="1296"/>
      <c r="C139" s="1296"/>
      <c r="D139" s="280"/>
      <c r="E139" s="309"/>
      <c r="F139" s="309"/>
      <c r="G139" s="309"/>
    </row>
    <row r="140" spans="1:11" ht="12" customHeight="1">
      <c r="A140" s="1235"/>
      <c r="B140" s="1235"/>
      <c r="C140" s="1235"/>
      <c r="D140" s="280"/>
      <c r="E140" s="309"/>
      <c r="F140" s="309"/>
      <c r="G140" s="309"/>
    </row>
    <row r="141" spans="1:11" ht="12" customHeight="1">
      <c r="A141" s="315"/>
      <c r="B141" s="309"/>
      <c r="C141" s="309"/>
      <c r="D141" s="280"/>
      <c r="E141" s="309"/>
      <c r="F141" s="309"/>
      <c r="G141" s="309"/>
      <c r="H141" s="318"/>
      <c r="I141" s="318"/>
    </row>
    <row r="142" spans="1:11" ht="12" customHeight="1">
      <c r="A142" s="320"/>
      <c r="B142" s="280"/>
      <c r="C142" s="280"/>
      <c r="D142" s="280"/>
      <c r="E142" s="309"/>
      <c r="F142" s="309"/>
      <c r="G142" s="309"/>
      <c r="H142" s="318"/>
      <c r="I142" s="318"/>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235" workbookViewId="0">
      <selection activeCell="AB262" sqref="AB262"/>
    </sheetView>
  </sheetViews>
  <sheetFormatPr defaultColWidth="0" defaultRowHeight="13.2" zeroHeight="1"/>
  <cols>
    <col min="1" max="1" width="2.6640625" style="14" customWidth="1"/>
    <col min="2" max="3" width="2.44140625" style="14" customWidth="1"/>
    <col min="4" max="4" width="3.33203125" style="14" customWidth="1"/>
    <col min="5" max="5" width="3.44140625" style="14" customWidth="1"/>
    <col min="6" max="6" width="2.6640625" style="14" customWidth="1"/>
    <col min="7" max="14" width="2.44140625" style="14" customWidth="1"/>
    <col min="15" max="15" width="2.6640625" style="14" customWidth="1"/>
    <col min="16" max="16" width="2.44140625" style="14" customWidth="1"/>
    <col min="17" max="17" width="3.664062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458" customWidth="1"/>
    <col min="41" max="41" width="5.5546875" style="26" hidden="1" customWidth="1"/>
    <col min="42" max="45" width="5.5546875" style="14" hidden="1" customWidth="1"/>
    <col min="46" max="46" width="10.664062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28" hidden="1" customWidth="1"/>
    <col min="61" max="81" width="5.5546875" style="14" hidden="1" customWidth="1"/>
    <col min="82" max="16384" width="9.33203125" style="14" hidden="1"/>
  </cols>
  <sheetData>
    <row r="1" spans="1:42" ht="15.75" customHeight="1">
      <c r="A1" s="2036" t="s">
        <v>1948</v>
      </c>
      <c r="B1" s="2036"/>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c r="AL1" s="2036"/>
      <c r="AM1" s="2036"/>
    </row>
    <row r="2" spans="1:42" s="460" customFormat="1" ht="12.75" customHeight="1" thickBot="1">
      <c r="A2" s="2037"/>
      <c r="B2" s="2037"/>
      <c r="C2" s="2037"/>
      <c r="D2" s="2037"/>
      <c r="E2" s="2037"/>
      <c r="F2" s="2037"/>
      <c r="G2" s="2037"/>
      <c r="H2" s="2037"/>
      <c r="I2" s="2037"/>
      <c r="J2" s="2037"/>
      <c r="K2" s="2037"/>
      <c r="L2" s="2037"/>
      <c r="M2" s="2037"/>
      <c r="N2" s="2037"/>
      <c r="O2" s="2037"/>
      <c r="P2" s="2037"/>
      <c r="Q2" s="2037"/>
      <c r="R2" s="2037"/>
      <c r="S2" s="2037"/>
      <c r="T2" s="2037"/>
      <c r="U2" s="2037"/>
      <c r="V2" s="2037"/>
      <c r="W2" s="2037"/>
      <c r="X2" s="2037"/>
      <c r="Y2" s="2037"/>
      <c r="Z2" s="2037"/>
      <c r="AA2" s="2037"/>
      <c r="AB2" s="2037"/>
      <c r="AC2" s="2037"/>
      <c r="AD2" s="2037"/>
      <c r="AE2" s="2037"/>
      <c r="AF2" s="2037"/>
      <c r="AG2" s="2037"/>
      <c r="AH2" s="2037"/>
      <c r="AI2" s="2037"/>
      <c r="AJ2" s="2037"/>
      <c r="AK2" s="2037"/>
      <c r="AL2" s="2037"/>
      <c r="AM2" s="2037"/>
      <c r="AN2" s="459"/>
    </row>
    <row r="3" spans="1:42" s="460" customFormat="1" ht="12.75" customHeight="1" thickTop="1">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59"/>
    </row>
    <row r="4" spans="1:42" s="460" customFormat="1" ht="12.75" customHeight="1">
      <c r="A4" s="462" t="s">
        <v>1949</v>
      </c>
      <c r="B4" s="463" t="s">
        <v>1950</v>
      </c>
      <c r="C4" s="464"/>
      <c r="D4" s="464"/>
      <c r="E4" s="464"/>
      <c r="F4" s="464"/>
      <c r="G4" s="464"/>
      <c r="H4" s="464"/>
      <c r="I4" s="464"/>
      <c r="J4" s="464"/>
      <c r="K4" s="464"/>
      <c r="L4" s="464"/>
      <c r="M4" s="464"/>
      <c r="N4" s="464"/>
      <c r="O4" s="464"/>
      <c r="P4" s="464"/>
      <c r="Q4" s="464"/>
      <c r="R4" s="464"/>
      <c r="S4" s="464"/>
      <c r="T4" s="464"/>
      <c r="U4" s="464"/>
      <c r="V4" s="464"/>
      <c r="W4" s="464"/>
      <c r="X4" s="464"/>
      <c r="Y4" s="464"/>
      <c r="Z4" s="464"/>
      <c r="AA4" s="464"/>
      <c r="AB4" s="464"/>
      <c r="AC4" s="464"/>
      <c r="AD4" s="464"/>
      <c r="AE4" s="464"/>
      <c r="AF4" s="464"/>
      <c r="AG4" s="464"/>
      <c r="AH4" s="464"/>
      <c r="AI4" s="464"/>
      <c r="AJ4" s="464"/>
      <c r="AK4" s="464"/>
      <c r="AL4" s="464"/>
      <c r="AM4" s="464"/>
      <c r="AN4" s="459"/>
    </row>
    <row r="5" spans="1:42" s="460" customFormat="1" ht="12.75" customHeight="1" thickBot="1">
      <c r="A5" s="462"/>
      <c r="B5" s="463"/>
      <c r="C5" s="464"/>
      <c r="D5" s="464"/>
      <c r="E5" s="464"/>
      <c r="F5" s="464"/>
      <c r="G5" s="464"/>
      <c r="H5" s="464"/>
      <c r="I5" s="464"/>
      <c r="J5" s="464"/>
      <c r="K5" s="464"/>
      <c r="L5" s="464"/>
      <c r="M5" s="464"/>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59"/>
    </row>
    <row r="6" spans="1:42" s="460" customFormat="1" ht="12.75" customHeight="1" thickTop="1">
      <c r="A6" s="465"/>
      <c r="B6" s="465"/>
      <c r="C6" s="465"/>
      <c r="D6" s="465"/>
      <c r="E6" s="465"/>
      <c r="F6" s="465"/>
      <c r="G6" s="465"/>
      <c r="H6" s="465"/>
      <c r="I6" s="465"/>
      <c r="J6" s="465"/>
      <c r="K6" s="465"/>
      <c r="L6" s="465"/>
      <c r="M6" s="465"/>
      <c r="N6" s="465"/>
      <c r="O6" s="465"/>
      <c r="P6" s="465"/>
      <c r="Q6" s="465"/>
      <c r="R6" s="465"/>
      <c r="S6" s="465"/>
      <c r="T6" s="465"/>
      <c r="U6" s="465"/>
      <c r="V6" s="465"/>
      <c r="W6" s="465"/>
      <c r="X6" s="465"/>
      <c r="Y6" s="465"/>
      <c r="Z6" s="465"/>
      <c r="AA6" s="465"/>
      <c r="AB6" s="465"/>
      <c r="AC6" s="465"/>
      <c r="AD6" s="465"/>
      <c r="AE6" s="465"/>
      <c r="AF6" s="465"/>
      <c r="AG6" s="465"/>
      <c r="AH6" s="465"/>
      <c r="AI6" s="465"/>
      <c r="AJ6" s="465"/>
      <c r="AK6" s="465"/>
      <c r="AL6" s="465"/>
      <c r="AM6" s="466"/>
      <c r="AN6" s="459"/>
    </row>
    <row r="7" spans="1:42" s="460" customFormat="1" ht="12.75" customHeight="1">
      <c r="A7" s="462" t="s">
        <v>1951</v>
      </c>
      <c r="B7" s="463" t="s">
        <v>1952</v>
      </c>
      <c r="C7" s="463"/>
      <c r="D7" s="463"/>
      <c r="E7" s="463"/>
      <c r="F7" s="463"/>
      <c r="G7" s="463"/>
      <c r="H7" s="463"/>
      <c r="I7" s="463"/>
      <c r="J7" s="463"/>
      <c r="K7" s="463"/>
      <c r="L7" s="463"/>
      <c r="M7" s="463"/>
      <c r="N7" s="463"/>
      <c r="O7" s="463"/>
      <c r="P7" s="463"/>
      <c r="Q7" s="463"/>
      <c r="R7" s="463"/>
      <c r="S7" s="463"/>
      <c r="T7" s="463"/>
      <c r="U7" s="463"/>
      <c r="V7" s="463"/>
      <c r="W7" s="463"/>
      <c r="X7" s="463"/>
      <c r="Y7" s="463"/>
      <c r="Z7" s="463"/>
      <c r="AA7" s="463"/>
      <c r="AB7" s="463"/>
      <c r="AC7" s="463"/>
      <c r="AD7" s="463"/>
      <c r="AE7" s="1847" t="s">
        <v>1953</v>
      </c>
      <c r="AF7" s="1847"/>
      <c r="AG7" s="1847"/>
      <c r="AH7" s="1847"/>
      <c r="AI7" s="1847"/>
      <c r="AJ7" s="1847"/>
      <c r="AK7" s="1847"/>
      <c r="AL7" s="464"/>
      <c r="AM7" s="464"/>
      <c r="AN7" s="459"/>
    </row>
    <row r="8" spans="1:42" s="460" customFormat="1" ht="12.75" customHeight="1">
      <c r="A8" s="462"/>
      <c r="B8" s="463" t="s">
        <v>1954</v>
      </c>
      <c r="C8" s="463"/>
      <c r="D8" s="463"/>
      <c r="E8" s="463"/>
      <c r="F8" s="463"/>
      <c r="G8" s="463"/>
      <c r="H8" s="463"/>
      <c r="I8" s="463"/>
      <c r="J8" s="463"/>
      <c r="K8" s="463"/>
      <c r="L8" s="463"/>
      <c r="M8" s="463"/>
      <c r="N8" s="463"/>
      <c r="O8" s="463"/>
      <c r="P8" s="463"/>
      <c r="Q8" s="463"/>
      <c r="R8" s="463"/>
      <c r="S8" s="463"/>
      <c r="T8" s="463"/>
      <c r="U8" s="463"/>
      <c r="V8" s="463"/>
      <c r="W8" s="463"/>
      <c r="X8" s="463"/>
      <c r="Y8" s="463"/>
      <c r="Z8" s="463"/>
      <c r="AA8" s="463"/>
      <c r="AB8" s="463"/>
      <c r="AC8" s="463"/>
      <c r="AD8" s="463"/>
      <c r="AE8" s="467"/>
      <c r="AF8" s="467"/>
      <c r="AG8" s="467"/>
      <c r="AH8" s="467"/>
      <c r="AI8" s="467"/>
      <c r="AJ8" s="467"/>
      <c r="AK8" s="467"/>
      <c r="AL8" s="464"/>
      <c r="AM8" s="464"/>
      <c r="AN8" s="459"/>
    </row>
    <row r="9" spans="1:42" s="460" customFormat="1" ht="12.75" customHeight="1">
      <c r="A9" s="462"/>
      <c r="B9" s="463"/>
      <c r="C9" s="463"/>
      <c r="D9" s="463"/>
      <c r="E9" s="463"/>
      <c r="F9" s="463"/>
      <c r="G9" s="463"/>
      <c r="H9" s="463"/>
      <c r="I9" s="463"/>
      <c r="J9" s="463"/>
      <c r="K9" s="463"/>
      <c r="L9" s="463"/>
      <c r="M9" s="463"/>
      <c r="N9" s="463"/>
      <c r="O9" s="463"/>
      <c r="P9" s="463"/>
      <c r="Q9" s="463"/>
      <c r="R9" s="463"/>
      <c r="S9" s="463"/>
      <c r="T9" s="463"/>
      <c r="U9" s="463"/>
      <c r="V9" s="463"/>
      <c r="W9" s="463"/>
      <c r="X9" s="463"/>
      <c r="Y9" s="463"/>
      <c r="Z9" s="463"/>
      <c r="AA9" s="463"/>
      <c r="AB9" s="463"/>
      <c r="AC9" s="463"/>
      <c r="AD9" s="463"/>
      <c r="AE9" s="467"/>
      <c r="AF9" s="467"/>
      <c r="AG9" s="467"/>
      <c r="AH9" s="467"/>
      <c r="AI9" s="467"/>
      <c r="AJ9" s="467"/>
      <c r="AK9" s="467"/>
      <c r="AL9" s="464"/>
      <c r="AM9" s="464"/>
      <c r="AN9" s="459"/>
    </row>
    <row r="10" spans="1:42" s="460" customFormat="1" ht="12.75" customHeight="1">
      <c r="A10" s="462"/>
      <c r="B10" s="463" t="s">
        <v>1955</v>
      </c>
      <c r="C10" s="463"/>
      <c r="D10" s="463"/>
      <c r="E10" s="463"/>
      <c r="F10" s="463"/>
      <c r="G10" s="463"/>
      <c r="H10" s="463"/>
      <c r="I10" s="463"/>
      <c r="J10" s="463"/>
      <c r="K10" s="463"/>
      <c r="L10" s="463"/>
      <c r="M10" s="463"/>
      <c r="N10" s="463"/>
      <c r="O10" s="463"/>
      <c r="P10" s="463"/>
      <c r="Q10" s="463"/>
      <c r="R10" s="463"/>
      <c r="S10" s="463"/>
      <c r="T10" s="463"/>
      <c r="U10" s="463"/>
      <c r="V10" s="463"/>
      <c r="W10" s="463"/>
      <c r="X10" s="463"/>
      <c r="Y10" s="463"/>
      <c r="Z10" s="463"/>
      <c r="AA10" s="463"/>
      <c r="AB10" s="463"/>
      <c r="AC10" s="463"/>
      <c r="AD10" s="463"/>
      <c r="AE10" s="467"/>
      <c r="AF10" s="467"/>
      <c r="AG10" s="467"/>
      <c r="AH10" s="467"/>
      <c r="AI10" s="467"/>
      <c r="AJ10" s="467"/>
      <c r="AK10" s="467"/>
      <c r="AL10" s="464"/>
      <c r="AM10" s="464"/>
      <c r="AN10" s="459"/>
    </row>
    <row r="11" spans="1:42" s="460" customFormat="1" ht="12.75" customHeight="1">
      <c r="A11" s="464"/>
      <c r="C11" s="1064" t="s">
        <v>1956</v>
      </c>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464"/>
      <c r="AL11" s="464"/>
      <c r="AM11" s="464"/>
      <c r="AN11" s="459"/>
      <c r="AO11" s="373"/>
      <c r="AP11" s="469"/>
    </row>
    <row r="12" spans="1:42" s="460" customFormat="1" ht="12.75" customHeight="1">
      <c r="A12" s="464"/>
      <c r="B12" s="470"/>
      <c r="C12" s="464"/>
      <c r="D12" s="464"/>
      <c r="E12" s="464"/>
      <c r="F12" s="464"/>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64"/>
      <c r="AE12" s="464"/>
      <c r="AF12" s="464"/>
      <c r="AG12" s="464"/>
      <c r="AH12" s="464"/>
      <c r="AI12" s="464"/>
      <c r="AJ12" s="464"/>
      <c r="AK12" s="464"/>
      <c r="AL12" s="464"/>
      <c r="AM12" s="464"/>
      <c r="AN12" s="459"/>
      <c r="AP12" s="14"/>
    </row>
    <row r="13" spans="1:42" s="460" customFormat="1" ht="12.75" customHeight="1">
      <c r="A13" s="464"/>
      <c r="B13" s="2030" t="s">
        <v>299</v>
      </c>
      <c r="C13" s="2030"/>
      <c r="D13" s="471"/>
      <c r="E13" s="472" t="s">
        <v>1957</v>
      </c>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2038"/>
      <c r="AH13" s="2038"/>
      <c r="AI13" s="2038"/>
      <c r="AJ13" s="2039"/>
      <c r="AK13" s="464"/>
      <c r="AL13" s="464"/>
      <c r="AM13" s="464"/>
      <c r="AN13" s="459"/>
      <c r="AO13" s="474">
        <f>IF($B13="yes",20,0)</f>
        <v>0</v>
      </c>
      <c r="AP13" s="14"/>
    </row>
    <row r="14" spans="1:42" s="460" customFormat="1" ht="12.75" customHeight="1">
      <c r="A14" s="464"/>
      <c r="B14" s="464"/>
      <c r="C14" s="464"/>
      <c r="D14" s="1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59"/>
      <c r="AO14" s="474">
        <f>IF(AND($B16="yes",E20&gt;0),20,0)</f>
        <v>0</v>
      </c>
      <c r="AP14" s="14"/>
    </row>
    <row r="15" spans="1:42" s="460" customFormat="1" ht="12.75" customHeight="1">
      <c r="A15" s="464"/>
      <c r="B15" s="464"/>
      <c r="C15" s="464"/>
      <c r="D15" s="474"/>
      <c r="E15" s="464"/>
      <c r="F15" s="464"/>
      <c r="G15" s="464"/>
      <c r="H15" s="464"/>
      <c r="I15" s="464"/>
      <c r="J15" s="464"/>
      <c r="K15" s="464"/>
      <c r="L15" s="464"/>
      <c r="M15" s="464"/>
      <c r="N15" s="464"/>
      <c r="O15" s="464"/>
      <c r="P15" s="464"/>
      <c r="Q15" s="464"/>
      <c r="R15" s="464"/>
      <c r="S15" s="464"/>
      <c r="T15" s="464"/>
      <c r="U15" s="464"/>
      <c r="V15" s="464"/>
      <c r="W15" s="464"/>
      <c r="X15" s="464"/>
      <c r="Y15" s="464"/>
      <c r="Z15" s="464"/>
      <c r="AA15" s="464"/>
      <c r="AB15" s="464"/>
      <c r="AC15" s="464"/>
      <c r="AD15" s="464"/>
      <c r="AE15" s="464"/>
      <c r="AF15" s="464"/>
      <c r="AG15" s="464"/>
      <c r="AH15" s="464"/>
      <c r="AI15" s="464"/>
      <c r="AJ15" s="464"/>
      <c r="AK15" s="464"/>
      <c r="AL15" s="464"/>
      <c r="AM15" s="464"/>
      <c r="AN15" s="459"/>
      <c r="AO15" s="474">
        <f>IF($B22="yes",20,0)</f>
        <v>0</v>
      </c>
      <c r="AP15" s="14"/>
    </row>
    <row r="16" spans="1:42" s="460" customFormat="1" ht="12.75" customHeight="1">
      <c r="A16" s="464"/>
      <c r="B16" s="2030" t="s">
        <v>299</v>
      </c>
      <c r="C16" s="2030"/>
      <c r="D16" s="471"/>
      <c r="E16" s="2022" t="s">
        <v>1958</v>
      </c>
      <c r="F16" s="2023"/>
      <c r="G16" s="2023"/>
      <c r="H16" s="2023"/>
      <c r="I16" s="2023"/>
      <c r="J16" s="2023"/>
      <c r="K16" s="2023"/>
      <c r="L16" s="2023"/>
      <c r="M16" s="2023"/>
      <c r="N16" s="2023"/>
      <c r="O16" s="2023"/>
      <c r="P16" s="2023"/>
      <c r="Q16" s="2023"/>
      <c r="R16" s="2023"/>
      <c r="S16" s="2023"/>
      <c r="T16" s="2023"/>
      <c r="U16" s="2023"/>
      <c r="V16" s="2023"/>
      <c r="W16" s="2023"/>
      <c r="X16" s="2023"/>
      <c r="Y16" s="2023"/>
      <c r="Z16" s="2023"/>
      <c r="AA16" s="2023"/>
      <c r="AB16" s="2023"/>
      <c r="AC16" s="2023"/>
      <c r="AD16" s="2023"/>
      <c r="AE16" s="2023"/>
      <c r="AF16" s="2023"/>
      <c r="AG16" s="2023"/>
      <c r="AH16" s="2023"/>
      <c r="AI16" s="2023"/>
      <c r="AJ16" s="2024"/>
      <c r="AK16" s="464"/>
      <c r="AL16" s="464"/>
      <c r="AM16" s="464"/>
      <c r="AN16" s="459"/>
      <c r="AO16" s="474">
        <f>IF($B25="yes",20,0)</f>
        <v>0</v>
      </c>
      <c r="AP16" s="14"/>
    </row>
    <row r="17" spans="1:42" s="460" customFormat="1" ht="12.75" customHeight="1">
      <c r="A17" s="464"/>
      <c r="B17" s="464"/>
      <c r="C17" s="464"/>
      <c r="D17" s="475"/>
      <c r="E17" s="2025"/>
      <c r="F17" s="2026"/>
      <c r="G17" s="2026"/>
      <c r="H17" s="2026"/>
      <c r="I17" s="2026"/>
      <c r="J17" s="2026"/>
      <c r="K17" s="2026"/>
      <c r="L17" s="2026"/>
      <c r="M17" s="2026"/>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7"/>
      <c r="AK17" s="464"/>
      <c r="AL17" s="464"/>
      <c r="AM17" s="464"/>
      <c r="AN17" s="459"/>
      <c r="AO17" s="460">
        <f>IF(SUM(AO13:AO16)&gt;20,20,(SUM(AO13:AO16)))</f>
        <v>0</v>
      </c>
      <c r="AP17" s="460" t="s">
        <v>1959</v>
      </c>
    </row>
    <row r="18" spans="1:42" s="460" customFormat="1" ht="12.75" customHeight="1">
      <c r="A18" s="464"/>
      <c r="B18" s="464"/>
      <c r="C18" s="464"/>
      <c r="D18" s="475"/>
      <c r="E18" s="2025"/>
      <c r="F18" s="2026"/>
      <c r="G18" s="2026"/>
      <c r="H18" s="2026"/>
      <c r="I18" s="2026"/>
      <c r="J18" s="2026"/>
      <c r="K18" s="2026"/>
      <c r="L18" s="2026"/>
      <c r="M18" s="2026"/>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7"/>
      <c r="AK18" s="464"/>
      <c r="AL18" s="464"/>
      <c r="AM18" s="464"/>
      <c r="AN18" s="459"/>
    </row>
    <row r="19" spans="1:42" s="460" customFormat="1" ht="12.75" customHeight="1">
      <c r="A19" s="464"/>
      <c r="B19" s="464"/>
      <c r="C19" s="464"/>
      <c r="D19" s="475"/>
      <c r="E19" s="476" t="s">
        <v>1960</v>
      </c>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77"/>
      <c r="AJ19" s="478"/>
      <c r="AK19" s="464"/>
      <c r="AL19" s="464"/>
      <c r="AM19" s="464"/>
      <c r="AN19" s="459"/>
    </row>
    <row r="20" spans="1:42" s="460" customFormat="1" ht="12.75" customHeight="1">
      <c r="A20" s="464"/>
      <c r="B20" s="464"/>
      <c r="C20" s="464"/>
      <c r="D20" s="475"/>
      <c r="E20" s="2046"/>
      <c r="F20" s="2047"/>
      <c r="G20" s="2047"/>
      <c r="H20" s="2047"/>
      <c r="I20" s="2047"/>
      <c r="J20" s="2047"/>
      <c r="K20" s="2047"/>
      <c r="L20" s="2047"/>
      <c r="M20" s="2047"/>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8"/>
      <c r="AK20" s="464"/>
      <c r="AL20" s="464"/>
      <c r="AM20" s="464"/>
      <c r="AN20" s="459"/>
      <c r="AO20" s="474">
        <f>IF($B30="yes",14,0)</f>
        <v>0</v>
      </c>
    </row>
    <row r="21" spans="1:42" s="460" customFormat="1" ht="12.75" customHeight="1">
      <c r="A21" s="464"/>
      <c r="B21" s="464"/>
      <c r="C21" s="464"/>
      <c r="E21" s="464"/>
      <c r="F21" s="464"/>
      <c r="G21" s="464"/>
      <c r="H21" s="464"/>
      <c r="I21" s="464"/>
      <c r="J21" s="464"/>
      <c r="K21" s="464"/>
      <c r="L21" s="464"/>
      <c r="M21" s="464"/>
      <c r="N21" s="464"/>
      <c r="O21" s="464"/>
      <c r="P21" s="464"/>
      <c r="Q21" s="464"/>
      <c r="R21" s="464"/>
      <c r="S21" s="464"/>
      <c r="T21" s="464"/>
      <c r="U21" s="464"/>
      <c r="V21" s="464"/>
      <c r="W21" s="464"/>
      <c r="X21" s="464"/>
      <c r="Y21" s="464"/>
      <c r="Z21" s="464"/>
      <c r="AA21" s="464"/>
      <c r="AB21" s="464"/>
      <c r="AC21" s="464"/>
      <c r="AD21" s="464"/>
      <c r="AE21" s="464"/>
      <c r="AF21" s="464"/>
      <c r="AG21" s="464"/>
      <c r="AH21" s="464"/>
      <c r="AI21" s="464"/>
      <c r="AJ21" s="464"/>
      <c r="AK21" s="464"/>
      <c r="AL21" s="464"/>
      <c r="AM21" s="464"/>
      <c r="AN21" s="459"/>
      <c r="AO21" s="474">
        <f>IF($B33="yes",14,0)</f>
        <v>0</v>
      </c>
      <c r="AP21" s="14"/>
    </row>
    <row r="22" spans="1:42" s="460" customFormat="1" ht="12.75" customHeight="1">
      <c r="A22" s="464"/>
      <c r="B22" s="2030" t="s">
        <v>299</v>
      </c>
      <c r="C22" s="2030"/>
      <c r="D22" s="471"/>
      <c r="E22" s="2040" t="s">
        <v>1961</v>
      </c>
      <c r="F22" s="2041"/>
      <c r="G22" s="2041"/>
      <c r="H22" s="2041"/>
      <c r="I22" s="2041"/>
      <c r="J22" s="2041"/>
      <c r="K22" s="2041"/>
      <c r="L22" s="2041"/>
      <c r="M22" s="2041"/>
      <c r="N22" s="2041"/>
      <c r="O22" s="2041"/>
      <c r="P22" s="2041"/>
      <c r="Q22" s="2041"/>
      <c r="R22" s="2041"/>
      <c r="S22" s="2041"/>
      <c r="T22" s="2041"/>
      <c r="U22" s="2041"/>
      <c r="V22" s="2041"/>
      <c r="W22" s="2041"/>
      <c r="X22" s="2041"/>
      <c r="Y22" s="2041"/>
      <c r="Z22" s="2041"/>
      <c r="AA22" s="2041"/>
      <c r="AB22" s="2041"/>
      <c r="AC22" s="2041"/>
      <c r="AD22" s="2041"/>
      <c r="AE22" s="2041"/>
      <c r="AF22" s="2041"/>
      <c r="AG22" s="2041"/>
      <c r="AH22" s="2041"/>
      <c r="AI22" s="2041"/>
      <c r="AJ22" s="2042"/>
      <c r="AK22" s="464"/>
      <c r="AL22" s="464"/>
      <c r="AM22" s="464"/>
      <c r="AN22" s="459"/>
      <c r="AO22" s="460">
        <f>IF(SUM(AO20:AO21)&gt;14,14,SUM(AO20:AO21))</f>
        <v>0</v>
      </c>
      <c r="AP22" s="460" t="s">
        <v>1959</v>
      </c>
    </row>
    <row r="23" spans="1:42" s="460" customFormat="1" ht="12.75" customHeight="1">
      <c r="A23" s="464"/>
      <c r="B23" s="464"/>
      <c r="C23" s="464"/>
      <c r="D23" s="474"/>
      <c r="E23" s="2043"/>
      <c r="F23" s="2044"/>
      <c r="G23" s="2044"/>
      <c r="H23" s="2044"/>
      <c r="I23" s="2044"/>
      <c r="J23" s="2044"/>
      <c r="K23" s="2044"/>
      <c r="L23" s="2044"/>
      <c r="M23" s="2044"/>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5"/>
      <c r="AK23" s="464"/>
      <c r="AL23" s="464"/>
      <c r="AM23" s="464"/>
      <c r="AN23" s="459"/>
    </row>
    <row r="24" spans="1:42" s="460" customFormat="1" ht="12.75" customHeight="1">
      <c r="A24" s="464"/>
      <c r="B24" s="464"/>
      <c r="C24" s="464"/>
      <c r="D24" s="475"/>
      <c r="E24" s="464"/>
      <c r="F24" s="464"/>
      <c r="G24" s="464"/>
      <c r="H24" s="464"/>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64"/>
      <c r="AH24" s="464"/>
      <c r="AI24" s="464"/>
      <c r="AJ24" s="464"/>
      <c r="AK24" s="464"/>
      <c r="AL24" s="464"/>
      <c r="AM24" s="464"/>
      <c r="AN24" s="459"/>
      <c r="AO24" s="474">
        <f>IF($B39="yes",6,0)</f>
        <v>0</v>
      </c>
    </row>
    <row r="25" spans="1:42" s="460" customFormat="1" ht="12.75" customHeight="1">
      <c r="A25" s="464"/>
      <c r="B25" s="2030" t="s">
        <v>299</v>
      </c>
      <c r="C25" s="2030"/>
      <c r="D25" s="471"/>
      <c r="E25" s="1957" t="s">
        <v>1962</v>
      </c>
      <c r="F25" s="1958"/>
      <c r="G25" s="1958"/>
      <c r="H25" s="1958"/>
      <c r="I25" s="1958"/>
      <c r="J25" s="1958"/>
      <c r="K25" s="1958"/>
      <c r="L25" s="1958"/>
      <c r="M25" s="1958"/>
      <c r="N25" s="1958"/>
      <c r="O25" s="1958"/>
      <c r="P25" s="1958"/>
      <c r="Q25" s="1958"/>
      <c r="R25" s="1958"/>
      <c r="S25" s="1958"/>
      <c r="T25" s="1958"/>
      <c r="U25" s="1958"/>
      <c r="V25" s="1958"/>
      <c r="W25" s="1958"/>
      <c r="X25" s="1958"/>
      <c r="Y25" s="1958"/>
      <c r="Z25" s="1958"/>
      <c r="AA25" s="1958"/>
      <c r="AB25" s="1958"/>
      <c r="AC25" s="1958"/>
      <c r="AD25" s="1958"/>
      <c r="AE25" s="1958"/>
      <c r="AF25" s="1958"/>
      <c r="AG25" s="1958"/>
      <c r="AH25" s="1958"/>
      <c r="AI25" s="1958"/>
      <c r="AJ25" s="1959"/>
      <c r="AK25" s="464"/>
      <c r="AL25" s="464"/>
      <c r="AM25" s="464"/>
      <c r="AN25" s="459"/>
      <c r="AO25" s="460">
        <f>IF(AO24&gt;6,6,AO24)</f>
        <v>0</v>
      </c>
      <c r="AP25" s="460" t="s">
        <v>1959</v>
      </c>
    </row>
    <row r="26" spans="1:42" s="460" customFormat="1" ht="12.75" customHeight="1">
      <c r="A26" s="464"/>
      <c r="B26" s="464"/>
      <c r="C26" s="464"/>
      <c r="D26" s="474"/>
      <c r="E26" s="1982"/>
      <c r="F26" s="1983"/>
      <c r="G26" s="1983"/>
      <c r="H26" s="1983"/>
      <c r="I26" s="1983"/>
      <c r="J26" s="1983"/>
      <c r="K26" s="1983"/>
      <c r="L26" s="1983"/>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4"/>
      <c r="AK26" s="464"/>
      <c r="AL26" s="464"/>
      <c r="AM26" s="464"/>
      <c r="AN26" s="459"/>
      <c r="AO26" s="474"/>
    </row>
    <row r="27" spans="1:42" s="460" customFormat="1" ht="12.75" customHeight="1">
      <c r="A27" s="464"/>
      <c r="B27" s="464"/>
      <c r="C27" s="464"/>
      <c r="D27" s="47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464"/>
      <c r="AG27" s="464"/>
      <c r="AH27" s="464"/>
      <c r="AI27" s="464"/>
      <c r="AJ27" s="464"/>
      <c r="AK27" s="464"/>
      <c r="AL27" s="464"/>
      <c r="AM27" s="464"/>
      <c r="AN27" s="459"/>
      <c r="AO27" s="474"/>
    </row>
    <row r="28" spans="1:42" s="460" customFormat="1" ht="12.75" customHeight="1">
      <c r="A28" s="464"/>
      <c r="C28" s="468" t="s">
        <v>1963</v>
      </c>
      <c r="E28" s="464"/>
      <c r="F28" s="464"/>
      <c r="G28" s="464"/>
      <c r="H28" s="464"/>
      <c r="I28" s="464"/>
      <c r="J28" s="464"/>
      <c r="K28" s="464"/>
      <c r="L28" s="464"/>
      <c r="M28" s="464"/>
      <c r="N28" s="464"/>
      <c r="O28" s="464"/>
      <c r="P28" s="464"/>
      <c r="Q28" s="464"/>
      <c r="R28" s="464"/>
      <c r="S28" s="464"/>
      <c r="T28" s="464"/>
      <c r="U28" s="464"/>
      <c r="V28" s="464"/>
      <c r="W28" s="464"/>
      <c r="X28" s="464"/>
      <c r="Y28" s="464"/>
      <c r="Z28" s="464"/>
      <c r="AA28" s="464"/>
      <c r="AB28" s="464"/>
      <c r="AC28" s="464"/>
      <c r="AD28" s="464"/>
      <c r="AE28" s="464"/>
      <c r="AF28" s="464"/>
      <c r="AG28" s="464"/>
      <c r="AH28" s="464"/>
      <c r="AI28" s="464"/>
      <c r="AJ28" s="464"/>
      <c r="AK28" s="464"/>
      <c r="AL28" s="464"/>
      <c r="AM28" s="464"/>
      <c r="AN28" s="459"/>
      <c r="AO28" s="474">
        <f>IF(AND(B46="Yes",B50="Yes",B52="Yes"),20,0)</f>
        <v>0</v>
      </c>
    </row>
    <row r="29" spans="1:42" s="460" customFormat="1" ht="12.75" customHeight="1">
      <c r="A29" s="464"/>
      <c r="B29" s="464"/>
      <c r="C29" s="464"/>
      <c r="E29" s="464"/>
      <c r="F29" s="464"/>
      <c r="G29" s="464"/>
      <c r="H29" s="464"/>
      <c r="I29" s="464"/>
      <c r="J29" s="464"/>
      <c r="K29" s="464"/>
      <c r="L29" s="464"/>
      <c r="M29" s="464"/>
      <c r="N29" s="464"/>
      <c r="O29" s="464"/>
      <c r="P29" s="464"/>
      <c r="Q29" s="464"/>
      <c r="R29" s="464"/>
      <c r="S29" s="464"/>
      <c r="T29" s="464"/>
      <c r="U29" s="464"/>
      <c r="V29" s="464"/>
      <c r="W29" s="464"/>
      <c r="X29" s="464"/>
      <c r="Y29" s="464"/>
      <c r="Z29" s="464"/>
      <c r="AA29" s="464"/>
      <c r="AB29" s="464"/>
      <c r="AC29" s="464"/>
      <c r="AD29" s="464"/>
      <c r="AE29" s="464"/>
      <c r="AF29" s="464"/>
      <c r="AG29" s="464"/>
      <c r="AH29" s="464"/>
      <c r="AI29" s="464"/>
      <c r="AJ29" s="464"/>
      <c r="AK29" s="464"/>
      <c r="AL29" s="464"/>
      <c r="AM29" s="464"/>
      <c r="AN29" s="459"/>
      <c r="AO29" s="460">
        <f>IF(AO28&gt;20,20,AO28)</f>
        <v>0</v>
      </c>
      <c r="AP29" s="460" t="s">
        <v>1959</v>
      </c>
    </row>
    <row r="30" spans="1:42" s="460" customFormat="1" ht="12.75" customHeight="1">
      <c r="A30" s="464"/>
      <c r="B30" s="2030" t="s">
        <v>299</v>
      </c>
      <c r="C30" s="2030"/>
      <c r="D30" s="471"/>
      <c r="E30" s="2040" t="s">
        <v>1964</v>
      </c>
      <c r="F30" s="2041"/>
      <c r="G30" s="2041"/>
      <c r="H30" s="2041"/>
      <c r="I30" s="2041"/>
      <c r="J30" s="2041"/>
      <c r="K30" s="2041"/>
      <c r="L30" s="2041"/>
      <c r="M30" s="2041"/>
      <c r="N30" s="2041"/>
      <c r="O30" s="2041"/>
      <c r="P30" s="2041"/>
      <c r="Q30" s="2041"/>
      <c r="R30" s="2041"/>
      <c r="S30" s="2041"/>
      <c r="T30" s="2041"/>
      <c r="U30" s="2041"/>
      <c r="V30" s="2041"/>
      <c r="W30" s="2041"/>
      <c r="X30" s="2041"/>
      <c r="Y30" s="2041"/>
      <c r="Z30" s="2041"/>
      <c r="AA30" s="2041"/>
      <c r="AB30" s="2041"/>
      <c r="AC30" s="2041"/>
      <c r="AD30" s="2041"/>
      <c r="AE30" s="2041"/>
      <c r="AF30" s="2041"/>
      <c r="AG30" s="2041"/>
      <c r="AH30" s="2041"/>
      <c r="AI30" s="2041"/>
      <c r="AJ30" s="2042"/>
      <c r="AK30" s="464"/>
      <c r="AL30" s="464"/>
      <c r="AM30" s="464"/>
      <c r="AN30" s="459"/>
      <c r="AO30" s="474"/>
    </row>
    <row r="31" spans="1:42" s="460" customFormat="1" ht="12.75" customHeight="1">
      <c r="A31" s="464"/>
      <c r="B31" s="464"/>
      <c r="C31" s="464"/>
      <c r="E31" s="2043"/>
      <c r="F31" s="2044"/>
      <c r="G31" s="2044"/>
      <c r="H31" s="2044"/>
      <c r="I31" s="2044"/>
      <c r="J31" s="2044"/>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4"/>
      <c r="AH31" s="2044"/>
      <c r="AI31" s="2044"/>
      <c r="AJ31" s="2045"/>
      <c r="AK31" s="464"/>
      <c r="AL31" s="464"/>
      <c r="AM31" s="464"/>
      <c r="AN31" s="459"/>
    </row>
    <row r="32" spans="1:42" s="460" customFormat="1" ht="12.75" customHeight="1">
      <c r="A32" s="464"/>
      <c r="B32" s="464"/>
      <c r="C32" s="464"/>
      <c r="F32" s="827"/>
      <c r="G32" s="827"/>
      <c r="H32" s="827"/>
      <c r="I32" s="827"/>
      <c r="J32" s="827"/>
      <c r="K32" s="827"/>
      <c r="L32" s="827"/>
      <c r="M32" s="827"/>
      <c r="N32" s="827"/>
      <c r="O32" s="827"/>
      <c r="P32" s="827"/>
      <c r="Q32" s="827"/>
      <c r="R32" s="827"/>
      <c r="S32" s="827"/>
      <c r="T32" s="827"/>
      <c r="U32" s="827"/>
      <c r="V32" s="827"/>
      <c r="W32" s="827"/>
      <c r="X32" s="827"/>
      <c r="Y32" s="827"/>
      <c r="Z32" s="827"/>
      <c r="AA32" s="827"/>
      <c r="AB32" s="827"/>
      <c r="AC32" s="827"/>
      <c r="AD32" s="827"/>
      <c r="AE32" s="827"/>
      <c r="AF32" s="827"/>
      <c r="AG32" s="827"/>
      <c r="AH32" s="827"/>
      <c r="AI32" s="827"/>
      <c r="AJ32" s="827"/>
      <c r="AK32" s="464"/>
      <c r="AL32" s="464"/>
      <c r="AM32" s="464"/>
      <c r="AN32" s="459"/>
    </row>
    <row r="33" spans="1:41" s="460" customFormat="1" ht="12.75" customHeight="1">
      <c r="A33" s="464"/>
      <c r="B33" s="2030" t="s">
        <v>299</v>
      </c>
      <c r="C33" s="2030"/>
      <c r="D33" s="471"/>
      <c r="E33" s="1957" t="s">
        <v>1965</v>
      </c>
      <c r="F33" s="1958"/>
      <c r="G33" s="1958"/>
      <c r="H33" s="1958"/>
      <c r="I33" s="1958"/>
      <c r="J33" s="1958"/>
      <c r="K33" s="1958"/>
      <c r="L33" s="1958"/>
      <c r="M33" s="1958"/>
      <c r="N33" s="1958"/>
      <c r="O33" s="1958"/>
      <c r="P33" s="1958"/>
      <c r="Q33" s="1958"/>
      <c r="R33" s="1958"/>
      <c r="S33" s="1958"/>
      <c r="T33" s="1958"/>
      <c r="U33" s="1958"/>
      <c r="V33" s="1958"/>
      <c r="W33" s="1958"/>
      <c r="X33" s="1958"/>
      <c r="Y33" s="1958"/>
      <c r="Z33" s="1958"/>
      <c r="AA33" s="1958"/>
      <c r="AB33" s="1958"/>
      <c r="AC33" s="1958"/>
      <c r="AD33" s="1958"/>
      <c r="AE33" s="1958"/>
      <c r="AF33" s="1958"/>
      <c r="AG33" s="1958"/>
      <c r="AH33" s="1958"/>
      <c r="AI33" s="1958"/>
      <c r="AJ33" s="1959"/>
      <c r="AK33" s="464"/>
      <c r="AL33" s="464"/>
      <c r="AM33" s="464"/>
      <c r="AN33" s="459"/>
    </row>
    <row r="34" spans="1:41" s="460" customFormat="1" ht="12.75" customHeight="1">
      <c r="A34" s="464"/>
      <c r="B34" s="464"/>
      <c r="C34" s="464"/>
      <c r="E34" s="1960"/>
      <c r="F34" s="1961"/>
      <c r="G34" s="1961"/>
      <c r="H34" s="1961"/>
      <c r="I34" s="1961"/>
      <c r="J34" s="1961"/>
      <c r="K34" s="1961"/>
      <c r="L34" s="1961"/>
      <c r="M34" s="1961"/>
      <c r="N34" s="1961"/>
      <c r="O34" s="1961"/>
      <c r="P34" s="1961"/>
      <c r="Q34" s="1961"/>
      <c r="R34" s="1961"/>
      <c r="S34" s="1961"/>
      <c r="T34" s="1961"/>
      <c r="U34" s="1961"/>
      <c r="V34" s="1961"/>
      <c r="W34" s="1961"/>
      <c r="X34" s="1961"/>
      <c r="Y34" s="1961"/>
      <c r="Z34" s="1961"/>
      <c r="AA34" s="1961"/>
      <c r="AB34" s="1961"/>
      <c r="AC34" s="1961"/>
      <c r="AD34" s="1961"/>
      <c r="AE34" s="1961"/>
      <c r="AF34" s="1961"/>
      <c r="AG34" s="1961"/>
      <c r="AH34" s="1961"/>
      <c r="AI34" s="1961"/>
      <c r="AJ34" s="1962"/>
      <c r="AK34" s="464"/>
      <c r="AL34" s="464"/>
      <c r="AM34" s="464"/>
      <c r="AN34" s="459"/>
    </row>
    <row r="35" spans="1:41" s="460" customFormat="1" ht="12.75" customHeight="1">
      <c r="A35" s="464"/>
      <c r="B35" s="464"/>
      <c r="C35" s="464"/>
      <c r="E35" s="1982"/>
      <c r="F35" s="1983"/>
      <c r="G35" s="1983"/>
      <c r="H35" s="1983"/>
      <c r="I35" s="1983"/>
      <c r="J35" s="1983"/>
      <c r="K35" s="1983"/>
      <c r="L35" s="1983"/>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4"/>
      <c r="AK35" s="464"/>
      <c r="AL35" s="464"/>
      <c r="AM35" s="464"/>
      <c r="AN35" s="459"/>
    </row>
    <row r="36" spans="1:41" s="460" customFormat="1" ht="12.75" customHeight="1">
      <c r="A36" s="464"/>
      <c r="B36" s="464"/>
      <c r="C36" s="464"/>
      <c r="E36" s="464"/>
      <c r="F36" s="464"/>
      <c r="G36" s="464"/>
      <c r="H36" s="464"/>
      <c r="I36" s="464"/>
      <c r="J36" s="464"/>
      <c r="K36" s="464"/>
      <c r="L36" s="464"/>
      <c r="M36" s="464"/>
      <c r="N36" s="464"/>
      <c r="O36" s="464"/>
      <c r="P36" s="464"/>
      <c r="Q36" s="464"/>
      <c r="R36" s="464"/>
      <c r="S36" s="464"/>
      <c r="T36" s="464"/>
      <c r="U36" s="464"/>
      <c r="V36" s="464"/>
      <c r="W36" s="464"/>
      <c r="X36" s="464"/>
      <c r="Y36" s="464"/>
      <c r="Z36" s="464"/>
      <c r="AA36" s="464"/>
      <c r="AB36" s="464"/>
      <c r="AC36" s="464"/>
      <c r="AD36" s="464"/>
      <c r="AE36" s="464"/>
      <c r="AF36" s="464"/>
      <c r="AG36" s="464"/>
      <c r="AH36" s="464"/>
      <c r="AI36" s="464"/>
      <c r="AJ36" s="464"/>
      <c r="AK36" s="464"/>
      <c r="AL36" s="464"/>
      <c r="AM36" s="464"/>
      <c r="AN36" s="459"/>
      <c r="AO36" s="460">
        <f>MAX(AO17,AO22,AO25,AO29)</f>
        <v>0</v>
      </c>
    </row>
    <row r="37" spans="1:41" s="460" customFormat="1" ht="12.75" customHeight="1">
      <c r="A37" s="464"/>
      <c r="C37" s="468" t="s">
        <v>1966</v>
      </c>
      <c r="E37" s="464"/>
      <c r="F37" s="464"/>
      <c r="G37" s="464"/>
      <c r="H37" s="464"/>
      <c r="I37" s="464"/>
      <c r="J37" s="464"/>
      <c r="K37" s="464"/>
      <c r="L37" s="464"/>
      <c r="M37" s="464"/>
      <c r="N37" s="464"/>
      <c r="O37" s="464"/>
      <c r="P37" s="464"/>
      <c r="Q37" s="464"/>
      <c r="R37" s="464"/>
      <c r="S37" s="464"/>
      <c r="T37" s="464"/>
      <c r="U37" s="464"/>
      <c r="V37" s="464"/>
      <c r="W37" s="464"/>
      <c r="X37" s="464"/>
      <c r="Y37" s="464"/>
      <c r="Z37" s="464"/>
      <c r="AA37" s="464"/>
      <c r="AB37" s="464"/>
      <c r="AC37" s="464"/>
      <c r="AD37" s="464"/>
      <c r="AE37" s="464"/>
      <c r="AF37" s="464"/>
      <c r="AG37" s="464"/>
      <c r="AH37" s="464"/>
      <c r="AI37" s="464"/>
      <c r="AJ37" s="464"/>
      <c r="AK37" s="464"/>
      <c r="AL37" s="464"/>
      <c r="AM37" s="464"/>
      <c r="AN37" s="459"/>
    </row>
    <row r="38" spans="1:41" s="460" customFormat="1" ht="12.75" customHeight="1">
      <c r="A38" s="464"/>
      <c r="C38" s="1065"/>
      <c r="D38" s="1065"/>
      <c r="E38" s="1065"/>
      <c r="F38" s="1065"/>
      <c r="G38" s="1065"/>
      <c r="H38" s="1065"/>
      <c r="I38" s="1065"/>
      <c r="J38" s="1065"/>
      <c r="K38" s="1065"/>
      <c r="L38" s="1065"/>
      <c r="M38" s="1065"/>
      <c r="N38" s="1065"/>
      <c r="O38" s="1065"/>
      <c r="P38" s="1065"/>
      <c r="Q38" s="1065"/>
      <c r="R38" s="1065"/>
      <c r="S38" s="1065"/>
      <c r="T38" s="1065"/>
      <c r="U38" s="1065"/>
      <c r="V38" s="1065"/>
      <c r="W38" s="1065"/>
      <c r="X38" s="1065"/>
      <c r="Y38" s="1065"/>
      <c r="Z38" s="1065"/>
      <c r="AA38" s="1065"/>
      <c r="AB38" s="1065"/>
      <c r="AC38" s="1065"/>
      <c r="AD38" s="1065"/>
      <c r="AE38" s="1065"/>
      <c r="AF38" s="1065"/>
      <c r="AG38" s="1065"/>
      <c r="AH38" s="1065"/>
      <c r="AI38" s="1065"/>
      <c r="AJ38" s="1065"/>
      <c r="AK38" s="1065"/>
      <c r="AL38" s="464"/>
      <c r="AM38" s="464"/>
      <c r="AN38" s="459"/>
    </row>
    <row r="39" spans="1:41" s="460" customFormat="1" ht="12.75" customHeight="1">
      <c r="A39" s="464"/>
      <c r="B39" s="2030" t="s">
        <v>299</v>
      </c>
      <c r="C39" s="2030"/>
      <c r="D39" s="1065"/>
      <c r="E39" s="1957" t="s">
        <v>1967</v>
      </c>
      <c r="F39" s="1958"/>
      <c r="G39" s="1958"/>
      <c r="H39" s="1958"/>
      <c r="I39" s="1958"/>
      <c r="J39" s="1958"/>
      <c r="K39" s="1958"/>
      <c r="L39" s="1958"/>
      <c r="M39" s="1958"/>
      <c r="N39" s="1958"/>
      <c r="O39" s="1958"/>
      <c r="P39" s="1958"/>
      <c r="Q39" s="1958"/>
      <c r="R39" s="1958"/>
      <c r="S39" s="1958"/>
      <c r="T39" s="1958"/>
      <c r="U39" s="1958"/>
      <c r="V39" s="1958"/>
      <c r="W39" s="1958"/>
      <c r="X39" s="1958"/>
      <c r="Y39" s="1958"/>
      <c r="Z39" s="1958"/>
      <c r="AA39" s="1958"/>
      <c r="AB39" s="1958"/>
      <c r="AC39" s="1958"/>
      <c r="AD39" s="1958"/>
      <c r="AE39" s="1958"/>
      <c r="AF39" s="1958"/>
      <c r="AG39" s="1958"/>
      <c r="AH39" s="1958"/>
      <c r="AI39" s="1958"/>
      <c r="AJ39" s="1959"/>
      <c r="AK39" s="1065"/>
      <c r="AL39" s="464"/>
      <c r="AM39" s="464"/>
      <c r="AN39" s="459"/>
    </row>
    <row r="40" spans="1:41" s="460" customFormat="1" ht="12.75" customHeight="1">
      <c r="A40" s="464"/>
      <c r="B40" s="464"/>
      <c r="C40" s="464"/>
      <c r="E40" s="1960"/>
      <c r="F40" s="1961"/>
      <c r="G40" s="1961"/>
      <c r="H40" s="1961"/>
      <c r="I40" s="1961"/>
      <c r="J40" s="1961"/>
      <c r="K40" s="1961"/>
      <c r="L40" s="1961"/>
      <c r="M40" s="1961"/>
      <c r="N40" s="1961"/>
      <c r="O40" s="1961"/>
      <c r="P40" s="1961"/>
      <c r="Q40" s="1961"/>
      <c r="R40" s="1961"/>
      <c r="S40" s="1961"/>
      <c r="T40" s="1961"/>
      <c r="U40" s="1961"/>
      <c r="V40" s="1961"/>
      <c r="W40" s="1961"/>
      <c r="X40" s="1961"/>
      <c r="Y40" s="1961"/>
      <c r="Z40" s="1961"/>
      <c r="AA40" s="1961"/>
      <c r="AB40" s="1961"/>
      <c r="AC40" s="1961"/>
      <c r="AD40" s="1961"/>
      <c r="AE40" s="1961"/>
      <c r="AF40" s="1961"/>
      <c r="AG40" s="1961"/>
      <c r="AH40" s="1961"/>
      <c r="AI40" s="1961"/>
      <c r="AJ40" s="1962"/>
      <c r="AK40" s="464"/>
      <c r="AL40" s="464"/>
      <c r="AM40" s="464"/>
      <c r="AN40" s="459"/>
    </row>
    <row r="41" spans="1:41" s="460" customFormat="1" ht="12.75" customHeight="1">
      <c r="A41" s="464"/>
      <c r="D41" s="471"/>
      <c r="E41" s="1982"/>
      <c r="F41" s="1983"/>
      <c r="G41" s="1983"/>
      <c r="H41" s="1983"/>
      <c r="I41" s="1983"/>
      <c r="J41" s="1983"/>
      <c r="K41" s="1983"/>
      <c r="L41" s="1983"/>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4"/>
      <c r="AK41" s="464"/>
      <c r="AL41" s="464"/>
      <c r="AM41" s="464"/>
      <c r="AN41" s="459"/>
      <c r="AO41" s="480"/>
    </row>
    <row r="42" spans="1:41" s="460" customFormat="1" ht="12.75" customHeight="1">
      <c r="A42" s="464"/>
      <c r="B42" s="464"/>
      <c r="C42" s="464"/>
      <c r="E42" s="464"/>
      <c r="F42" s="464"/>
      <c r="G42" s="464"/>
      <c r="H42" s="464"/>
      <c r="I42" s="464"/>
      <c r="J42" s="464"/>
      <c r="K42" s="464"/>
      <c r="L42" s="464"/>
      <c r="M42" s="464"/>
      <c r="N42" s="464"/>
      <c r="O42" s="464"/>
      <c r="P42" s="464"/>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c r="AN42" s="459"/>
      <c r="AO42" s="480"/>
    </row>
    <row r="43" spans="1:41" s="460" customFormat="1" ht="12.75" customHeight="1">
      <c r="A43" s="463"/>
      <c r="B43" s="463" t="s">
        <v>1968</v>
      </c>
      <c r="C43" s="471"/>
      <c r="D43" s="471"/>
      <c r="E43" s="481"/>
      <c r="F43" s="464"/>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59"/>
      <c r="AO43" s="480"/>
    </row>
    <row r="44" spans="1:41" s="460" customFormat="1" ht="12.75" customHeight="1">
      <c r="A44" s="464"/>
      <c r="B44" s="464"/>
      <c r="C44" s="1064" t="s">
        <v>1969</v>
      </c>
      <c r="D44" s="464"/>
      <c r="E44" s="464"/>
      <c r="F44" s="464"/>
      <c r="G44" s="464"/>
      <c r="H44" s="464"/>
      <c r="I44" s="464"/>
      <c r="J44" s="464"/>
      <c r="K44" s="464"/>
      <c r="L44" s="464"/>
      <c r="M44" s="464"/>
      <c r="N44" s="464"/>
      <c r="O44" s="464"/>
      <c r="P44" s="464"/>
      <c r="Q44" s="464"/>
      <c r="R44" s="464"/>
      <c r="S44" s="464"/>
      <c r="T44" s="464"/>
      <c r="U44" s="464"/>
      <c r="V44" s="464"/>
      <c r="W44" s="464"/>
      <c r="X44" s="464"/>
      <c r="Y44" s="464"/>
      <c r="Z44" s="464"/>
      <c r="AA44" s="464"/>
      <c r="AB44" s="464"/>
      <c r="AC44" s="464"/>
      <c r="AD44" s="464"/>
      <c r="AE44" s="464"/>
      <c r="AF44" s="464"/>
      <c r="AG44" s="464"/>
      <c r="AH44" s="464"/>
      <c r="AI44" s="464"/>
      <c r="AJ44" s="464"/>
      <c r="AK44" s="464"/>
      <c r="AL44" s="464"/>
      <c r="AM44" s="464"/>
      <c r="AN44" s="459"/>
      <c r="AO44" s="480"/>
    </row>
    <row r="45" spans="1:41" s="460" customFormat="1" ht="12.75" customHeight="1">
      <c r="A45" s="471"/>
      <c r="B45" s="471"/>
      <c r="C45" s="471"/>
      <c r="D45" s="471"/>
      <c r="E45" s="482"/>
      <c r="F45" s="464"/>
      <c r="G45" s="464"/>
      <c r="H45" s="464"/>
      <c r="I45" s="464"/>
      <c r="J45" s="464"/>
      <c r="K45" s="464"/>
      <c r="L45" s="464"/>
      <c r="M45" s="464"/>
      <c r="N45" s="464"/>
      <c r="O45" s="464"/>
      <c r="P45" s="464"/>
      <c r="Q45" s="464"/>
      <c r="R45" s="464"/>
      <c r="S45" s="464"/>
      <c r="T45" s="464"/>
      <c r="U45" s="464"/>
      <c r="V45" s="464"/>
      <c r="W45" s="464"/>
      <c r="X45" s="464"/>
      <c r="Y45" s="464"/>
      <c r="Z45" s="464"/>
      <c r="AA45" s="464"/>
      <c r="AB45" s="464"/>
      <c r="AC45" s="464"/>
      <c r="AD45" s="464"/>
      <c r="AE45" s="464"/>
      <c r="AF45" s="464"/>
      <c r="AG45" s="464"/>
      <c r="AH45" s="464"/>
      <c r="AI45" s="464"/>
      <c r="AJ45" s="464"/>
      <c r="AK45" s="464"/>
      <c r="AL45" s="464"/>
      <c r="AM45" s="464"/>
      <c r="AN45" s="459"/>
      <c r="AO45" s="480"/>
    </row>
    <row r="46" spans="1:41" s="460" customFormat="1" ht="12.75" customHeight="1">
      <c r="A46" s="464"/>
      <c r="B46" s="2030" t="s">
        <v>299</v>
      </c>
      <c r="C46" s="2030"/>
      <c r="D46" s="464"/>
      <c r="E46" s="1957" t="s">
        <v>1970</v>
      </c>
      <c r="F46" s="1958"/>
      <c r="G46" s="1958"/>
      <c r="H46" s="1958"/>
      <c r="I46" s="1958"/>
      <c r="J46" s="1958"/>
      <c r="K46" s="1958"/>
      <c r="L46" s="1958"/>
      <c r="M46" s="1958"/>
      <c r="N46" s="1958"/>
      <c r="O46" s="1958"/>
      <c r="P46" s="1958"/>
      <c r="Q46" s="1958"/>
      <c r="R46" s="1958"/>
      <c r="S46" s="1958"/>
      <c r="T46" s="1958"/>
      <c r="U46" s="1958"/>
      <c r="V46" s="1958"/>
      <c r="W46" s="1958"/>
      <c r="X46" s="1958"/>
      <c r="Y46" s="1958"/>
      <c r="Z46" s="1958"/>
      <c r="AA46" s="1958"/>
      <c r="AB46" s="1958"/>
      <c r="AC46" s="1958"/>
      <c r="AD46" s="1958"/>
      <c r="AE46" s="1958"/>
      <c r="AF46" s="1958"/>
      <c r="AG46" s="1958"/>
      <c r="AH46" s="1958"/>
      <c r="AI46" s="1958"/>
      <c r="AJ46" s="1959"/>
      <c r="AK46" s="464"/>
      <c r="AL46" s="464"/>
      <c r="AM46" s="464"/>
      <c r="AN46" s="459"/>
      <c r="AO46" s="483"/>
    </row>
    <row r="47" spans="1:41" s="460" customFormat="1" ht="12.75" customHeight="1">
      <c r="A47" s="464"/>
      <c r="D47" s="471"/>
      <c r="E47" s="1960"/>
      <c r="F47" s="1961"/>
      <c r="G47" s="1961"/>
      <c r="H47" s="1961"/>
      <c r="I47" s="1961"/>
      <c r="J47" s="1961"/>
      <c r="K47" s="1961"/>
      <c r="L47" s="1961"/>
      <c r="M47" s="1961"/>
      <c r="N47" s="1961"/>
      <c r="O47" s="1961"/>
      <c r="P47" s="1961"/>
      <c r="Q47" s="1961"/>
      <c r="R47" s="1961"/>
      <c r="S47" s="1961"/>
      <c r="T47" s="1961"/>
      <c r="U47" s="1961"/>
      <c r="V47" s="1961"/>
      <c r="W47" s="1961"/>
      <c r="X47" s="1961"/>
      <c r="Y47" s="1961"/>
      <c r="Z47" s="1961"/>
      <c r="AA47" s="1961"/>
      <c r="AB47" s="1961"/>
      <c r="AC47" s="1961"/>
      <c r="AD47" s="1961"/>
      <c r="AE47" s="1961"/>
      <c r="AF47" s="1961"/>
      <c r="AG47" s="1961"/>
      <c r="AH47" s="1961"/>
      <c r="AI47" s="1961"/>
      <c r="AJ47" s="1962"/>
      <c r="AK47" s="464"/>
      <c r="AL47" s="464"/>
      <c r="AM47" s="464"/>
      <c r="AN47" s="459"/>
      <c r="AO47" s="483"/>
    </row>
    <row r="48" spans="1:41" s="460" customFormat="1" ht="12.75" customHeight="1">
      <c r="A48" s="464"/>
      <c r="D48" s="464"/>
      <c r="E48" s="1982"/>
      <c r="F48" s="1983"/>
      <c r="G48" s="1983"/>
      <c r="H48" s="1983"/>
      <c r="I48" s="1983"/>
      <c r="J48" s="1983"/>
      <c r="K48" s="1983"/>
      <c r="L48" s="1983"/>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4"/>
      <c r="AK48" s="464"/>
      <c r="AL48" s="464"/>
      <c r="AM48" s="464"/>
      <c r="AN48" s="459"/>
    </row>
    <row r="49" spans="1:50" s="460" customFormat="1" ht="12.75" customHeight="1">
      <c r="A49" s="464"/>
      <c r="B49" s="464"/>
      <c r="C49" s="464"/>
      <c r="D49" s="471"/>
      <c r="E49" s="482"/>
      <c r="F49" s="480"/>
      <c r="G49" s="480"/>
      <c r="H49" s="464"/>
      <c r="I49" s="464"/>
      <c r="J49" s="464"/>
      <c r="K49" s="464"/>
      <c r="L49" s="464"/>
      <c r="M49" s="464"/>
      <c r="N49" s="464"/>
      <c r="O49" s="464"/>
      <c r="P49" s="464"/>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c r="AN49" s="459"/>
    </row>
    <row r="50" spans="1:50" s="460" customFormat="1" ht="12.75" customHeight="1">
      <c r="A50" s="464"/>
      <c r="B50" s="2030" t="s">
        <v>299</v>
      </c>
      <c r="C50" s="2030"/>
      <c r="D50" s="464"/>
      <c r="E50" s="2056" t="s">
        <v>1971</v>
      </c>
      <c r="F50" s="2057"/>
      <c r="G50" s="2057"/>
      <c r="H50" s="2057"/>
      <c r="I50" s="2057"/>
      <c r="J50" s="2057"/>
      <c r="K50" s="2057"/>
      <c r="L50" s="2057"/>
      <c r="M50" s="2057"/>
      <c r="N50" s="2057"/>
      <c r="O50" s="2057"/>
      <c r="P50" s="2057"/>
      <c r="Q50" s="2057"/>
      <c r="R50" s="2057"/>
      <c r="S50" s="2057"/>
      <c r="T50" s="2057"/>
      <c r="U50" s="2057"/>
      <c r="V50" s="2057"/>
      <c r="W50" s="2057"/>
      <c r="X50" s="2057"/>
      <c r="Y50" s="2057"/>
      <c r="Z50" s="2057"/>
      <c r="AA50" s="2057"/>
      <c r="AB50" s="2057"/>
      <c r="AC50" s="2057"/>
      <c r="AD50" s="2057"/>
      <c r="AE50" s="2057"/>
      <c r="AF50" s="2057"/>
      <c r="AG50" s="2057"/>
      <c r="AH50" s="2057"/>
      <c r="AI50" s="2057"/>
      <c r="AJ50" s="2058"/>
      <c r="AK50" s="464"/>
      <c r="AL50" s="464"/>
      <c r="AM50" s="464"/>
      <c r="AN50" s="459"/>
    </row>
    <row r="51" spans="1:50" s="460" customFormat="1" ht="12.75" customHeight="1">
      <c r="A51" s="464"/>
      <c r="B51" s="464"/>
      <c r="C51" s="464"/>
      <c r="D51" s="471"/>
      <c r="E51" s="484"/>
      <c r="F51" s="480"/>
      <c r="G51" s="480"/>
      <c r="H51" s="464"/>
      <c r="I51" s="464"/>
      <c r="J51" s="464"/>
      <c r="K51" s="464"/>
      <c r="L51" s="464"/>
      <c r="M51" s="464"/>
      <c r="N51" s="464"/>
      <c r="O51" s="464"/>
      <c r="P51" s="464"/>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c r="AN51" s="459"/>
    </row>
    <row r="52" spans="1:50" s="460" customFormat="1" ht="12.75" customHeight="1">
      <c r="A52" s="464"/>
      <c r="B52" s="2030" t="s">
        <v>299</v>
      </c>
      <c r="C52" s="2030"/>
      <c r="D52" s="464"/>
      <c r="E52" s="1957" t="s">
        <v>1972</v>
      </c>
      <c r="F52" s="1958"/>
      <c r="G52" s="1958"/>
      <c r="H52" s="1958"/>
      <c r="I52" s="1958"/>
      <c r="J52" s="1958"/>
      <c r="K52" s="1958"/>
      <c r="L52" s="1958"/>
      <c r="M52" s="1958"/>
      <c r="N52" s="1958"/>
      <c r="O52" s="1958"/>
      <c r="P52" s="1958"/>
      <c r="Q52" s="1958"/>
      <c r="R52" s="1958"/>
      <c r="S52" s="1958"/>
      <c r="T52" s="1958"/>
      <c r="U52" s="1958"/>
      <c r="V52" s="1958"/>
      <c r="W52" s="1958"/>
      <c r="X52" s="1958"/>
      <c r="Y52" s="1958"/>
      <c r="Z52" s="1958"/>
      <c r="AA52" s="1958"/>
      <c r="AB52" s="1958"/>
      <c r="AC52" s="1958"/>
      <c r="AD52" s="1958"/>
      <c r="AE52" s="1958"/>
      <c r="AF52" s="1958"/>
      <c r="AG52" s="1958"/>
      <c r="AH52" s="1958"/>
      <c r="AI52" s="1958"/>
      <c r="AJ52" s="1959"/>
      <c r="AK52" s="464"/>
      <c r="AL52" s="464"/>
      <c r="AM52" s="464"/>
      <c r="AN52" s="459"/>
    </row>
    <row r="53" spans="1:50" s="460" customFormat="1" ht="12.75" customHeight="1">
      <c r="A53" s="464"/>
      <c r="B53" s="471"/>
      <c r="C53" s="471"/>
      <c r="D53" s="471"/>
      <c r="E53" s="1982"/>
      <c r="F53" s="1983"/>
      <c r="G53" s="1983"/>
      <c r="H53" s="1983"/>
      <c r="I53" s="1983"/>
      <c r="J53" s="1983"/>
      <c r="K53" s="1983"/>
      <c r="L53" s="1983"/>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4"/>
      <c r="AK53" s="464"/>
      <c r="AL53" s="464"/>
      <c r="AM53" s="464"/>
      <c r="AN53" s="459"/>
      <c r="AX53" s="463"/>
    </row>
    <row r="54" spans="1:50" s="460" customFormat="1" ht="12.75" customHeight="1">
      <c r="A54" s="464"/>
      <c r="B54" s="471"/>
      <c r="C54" s="471"/>
      <c r="D54" s="471"/>
      <c r="E54" s="484"/>
      <c r="F54" s="464"/>
      <c r="G54" s="464"/>
      <c r="H54" s="464"/>
      <c r="I54" s="464"/>
      <c r="J54" s="464"/>
      <c r="K54" s="464"/>
      <c r="L54" s="464"/>
      <c r="M54" s="464"/>
      <c r="N54" s="464"/>
      <c r="O54" s="464"/>
      <c r="P54" s="464"/>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59"/>
      <c r="AX54" s="463"/>
    </row>
    <row r="55" spans="1:50" s="460" customFormat="1" ht="12.75" customHeight="1">
      <c r="A55" s="464"/>
      <c r="B55" s="464"/>
      <c r="C55" s="464"/>
      <c r="D55" s="464"/>
      <c r="E55" s="464"/>
      <c r="F55" s="464"/>
      <c r="G55" s="464"/>
      <c r="H55" s="464"/>
      <c r="I55" s="464"/>
      <c r="J55" s="464"/>
      <c r="K55" s="464"/>
      <c r="L55" s="464"/>
      <c r="M55" s="464"/>
      <c r="N55" s="464"/>
      <c r="O55" s="464"/>
      <c r="P55" s="464"/>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4"/>
      <c r="AN55" s="459"/>
    </row>
    <row r="56" spans="1:50" s="460" customFormat="1" ht="12.75" customHeight="1">
      <c r="A56" s="485"/>
      <c r="B56" s="486"/>
      <c r="C56" s="486"/>
      <c r="D56" s="486"/>
      <c r="E56" s="486"/>
      <c r="F56" s="486"/>
      <c r="G56" s="487"/>
      <c r="H56" s="488"/>
      <c r="I56" s="488"/>
      <c r="J56" s="488"/>
      <c r="K56" s="488"/>
      <c r="L56" s="488"/>
      <c r="M56" s="488"/>
      <c r="N56" s="488"/>
      <c r="O56" s="488"/>
      <c r="P56" s="488"/>
      <c r="Q56" s="488"/>
      <c r="R56" s="488"/>
      <c r="S56" s="488"/>
      <c r="T56" s="488"/>
      <c r="U56" s="488"/>
      <c r="V56" s="488"/>
      <c r="W56" s="488"/>
      <c r="X56" s="488"/>
      <c r="Y56" s="488"/>
      <c r="Z56" s="488"/>
      <c r="AA56" s="488"/>
      <c r="AB56" s="488"/>
      <c r="AC56" s="488"/>
      <c r="AD56" s="488"/>
      <c r="AE56" s="488"/>
      <c r="AF56" s="488"/>
      <c r="AG56" s="488"/>
      <c r="AH56" s="488"/>
      <c r="AI56" s="489"/>
      <c r="AJ56" s="489" t="s">
        <v>1973</v>
      </c>
      <c r="AK56" s="2003">
        <f>AO36</f>
        <v>0</v>
      </c>
      <c r="AL56" s="2004"/>
      <c r="AM56" s="2005"/>
      <c r="AN56" s="459"/>
    </row>
    <row r="57" spans="1:50" s="460" customFormat="1" ht="12.75" customHeight="1" thickBot="1">
      <c r="A57" s="490"/>
      <c r="B57" s="491"/>
      <c r="C57" s="492"/>
      <c r="D57" s="492"/>
      <c r="E57" s="492"/>
      <c r="F57" s="492"/>
      <c r="G57" s="492"/>
      <c r="H57" s="492"/>
      <c r="I57" s="492"/>
      <c r="J57" s="492"/>
      <c r="K57" s="492"/>
      <c r="L57" s="492"/>
      <c r="M57" s="492"/>
      <c r="N57" s="492"/>
      <c r="O57" s="492"/>
      <c r="P57" s="492"/>
      <c r="Q57" s="492"/>
      <c r="R57" s="492"/>
      <c r="S57" s="492"/>
      <c r="T57" s="492"/>
      <c r="U57" s="492"/>
      <c r="V57" s="492"/>
      <c r="W57" s="492"/>
      <c r="X57" s="492"/>
      <c r="Y57" s="492"/>
      <c r="Z57" s="492"/>
      <c r="AA57" s="492"/>
      <c r="AB57" s="492"/>
      <c r="AC57" s="492"/>
      <c r="AD57" s="492"/>
      <c r="AE57" s="492"/>
      <c r="AF57" s="492"/>
      <c r="AG57" s="492"/>
      <c r="AH57" s="492"/>
      <c r="AI57" s="492"/>
      <c r="AJ57" s="492"/>
      <c r="AK57" s="492"/>
      <c r="AL57" s="492"/>
      <c r="AM57" s="493"/>
      <c r="AN57" s="459"/>
    </row>
    <row r="58" spans="1:50" s="460" customFormat="1" ht="12.75" customHeight="1" thickTop="1">
      <c r="A58" s="494"/>
      <c r="B58" s="495"/>
      <c r="C58" s="496"/>
      <c r="D58" s="496"/>
      <c r="E58" s="496"/>
      <c r="F58" s="496"/>
      <c r="G58" s="496"/>
      <c r="H58" s="496"/>
      <c r="I58" s="497"/>
      <c r="J58" s="497"/>
      <c r="K58" s="497"/>
      <c r="L58" s="497"/>
      <c r="M58" s="497"/>
      <c r="N58" s="497"/>
      <c r="O58" s="497"/>
      <c r="P58" s="497"/>
      <c r="Q58" s="497"/>
      <c r="R58" s="494"/>
      <c r="S58" s="463"/>
      <c r="T58" s="463"/>
      <c r="U58" s="463"/>
      <c r="V58" s="463"/>
      <c r="W58" s="463"/>
      <c r="X58" s="463"/>
      <c r="Y58" s="463"/>
      <c r="Z58" s="463"/>
      <c r="AA58" s="463"/>
      <c r="AB58" s="463"/>
      <c r="AC58" s="463"/>
      <c r="AD58" s="463"/>
      <c r="AE58" s="463"/>
      <c r="AF58" s="494"/>
      <c r="AG58" s="463"/>
      <c r="AH58" s="463"/>
      <c r="AI58" s="463"/>
      <c r="AJ58" s="463"/>
      <c r="AK58" s="474"/>
      <c r="AL58" s="474"/>
      <c r="AM58" s="474"/>
      <c r="AN58" s="459"/>
    </row>
    <row r="59" spans="1:50" s="460" customFormat="1" ht="12.75" customHeight="1">
      <c r="A59" s="462" t="s">
        <v>1974</v>
      </c>
      <c r="B59" s="463" t="s">
        <v>784</v>
      </c>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c r="AA59" s="463"/>
      <c r="AB59" s="463"/>
      <c r="AC59" s="463"/>
      <c r="AD59" s="463"/>
      <c r="AE59" s="1847" t="s">
        <v>1975</v>
      </c>
      <c r="AF59" s="1847"/>
      <c r="AG59" s="1847"/>
      <c r="AH59" s="1847"/>
      <c r="AI59" s="1847"/>
      <c r="AJ59" s="1847"/>
      <c r="AK59" s="1847"/>
      <c r="AL59" s="464"/>
      <c r="AM59" s="464"/>
      <c r="AN59" s="459"/>
    </row>
    <row r="60" spans="1:50" s="460" customFormat="1" ht="12.75" customHeight="1">
      <c r="A60" s="462"/>
      <c r="B60" s="463" t="s">
        <v>1976</v>
      </c>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7"/>
      <c r="AF60" s="467"/>
      <c r="AG60" s="467"/>
      <c r="AH60" s="467"/>
      <c r="AI60" s="467"/>
      <c r="AJ60" s="467"/>
      <c r="AK60" s="467"/>
      <c r="AL60" s="464"/>
      <c r="AM60" s="464"/>
      <c r="AN60" s="459"/>
    </row>
    <row r="61" spans="1:50" s="460" customFormat="1" ht="12.75" customHeight="1">
      <c r="A61" s="462"/>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7"/>
      <c r="AF61" s="467"/>
      <c r="AG61" s="467"/>
      <c r="AH61" s="467"/>
      <c r="AI61" s="467"/>
      <c r="AJ61" s="467"/>
      <c r="AK61" s="467"/>
      <c r="AL61" s="464"/>
      <c r="AM61" s="464"/>
      <c r="AN61" s="459"/>
    </row>
    <row r="62" spans="1:50" s="460" customFormat="1" ht="12.75" customHeight="1">
      <c r="A62" s="462"/>
      <c r="B62" s="2030" t="s">
        <v>299</v>
      </c>
      <c r="C62" s="2030"/>
      <c r="D62" s="471" t="s">
        <v>1977</v>
      </c>
      <c r="E62" s="2022" t="s">
        <v>1978</v>
      </c>
      <c r="F62" s="2023"/>
      <c r="G62" s="2023"/>
      <c r="H62" s="2023"/>
      <c r="I62" s="2023"/>
      <c r="J62" s="2023"/>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4"/>
      <c r="AK62" s="467"/>
      <c r="AL62" s="464"/>
      <c r="AM62" s="464"/>
      <c r="AN62" s="459"/>
      <c r="AO62" s="474">
        <f>IF($B62="yes",10,0)</f>
        <v>0</v>
      </c>
    </row>
    <row r="63" spans="1:50" s="460" customFormat="1" ht="12.75" customHeight="1">
      <c r="A63" s="462"/>
      <c r="B63" s="464"/>
      <c r="C63" s="464"/>
      <c r="D63" s="475"/>
      <c r="E63" s="2025"/>
      <c r="F63" s="2026"/>
      <c r="G63" s="2026"/>
      <c r="H63" s="2026"/>
      <c r="I63" s="2026"/>
      <c r="J63" s="2026"/>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7"/>
      <c r="AK63" s="467"/>
      <c r="AL63" s="464"/>
      <c r="AM63" s="464"/>
      <c r="AN63" s="459"/>
      <c r="AO63" s="474">
        <f>IF($B68="yes",10,0)</f>
        <v>10</v>
      </c>
    </row>
    <row r="64" spans="1:50" s="460" customFormat="1" ht="12.75" customHeight="1">
      <c r="A64" s="462"/>
      <c r="B64" s="464"/>
      <c r="C64" s="464"/>
      <c r="D64" s="475"/>
      <c r="E64" s="2025"/>
      <c r="F64" s="2026"/>
      <c r="G64" s="2026"/>
      <c r="H64" s="2026"/>
      <c r="I64" s="2026"/>
      <c r="J64" s="2026"/>
      <c r="K64" s="2026"/>
      <c r="L64" s="2026"/>
      <c r="M64" s="2026"/>
      <c r="N64" s="2026"/>
      <c r="O64" s="2026"/>
      <c r="P64" s="2026"/>
      <c r="Q64" s="2026"/>
      <c r="R64" s="2026"/>
      <c r="S64" s="2026"/>
      <c r="T64" s="2026"/>
      <c r="U64" s="2026"/>
      <c r="V64" s="2026"/>
      <c r="W64" s="2026"/>
      <c r="X64" s="2026"/>
      <c r="Y64" s="2026"/>
      <c r="Z64" s="2026"/>
      <c r="AA64" s="2026"/>
      <c r="AB64" s="2026"/>
      <c r="AC64" s="2026"/>
      <c r="AD64" s="2026"/>
      <c r="AE64" s="2026"/>
      <c r="AF64" s="2026"/>
      <c r="AG64" s="2026"/>
      <c r="AH64" s="2026"/>
      <c r="AI64" s="2026"/>
      <c r="AJ64" s="2027"/>
      <c r="AK64" s="467"/>
      <c r="AL64" s="464"/>
      <c r="AM64" s="464"/>
      <c r="AN64" s="459"/>
      <c r="AO64" s="474">
        <f>IF($B75="yes",10,0)</f>
        <v>0</v>
      </c>
    </row>
    <row r="65" spans="1:42" s="460" customFormat="1" ht="12.75" customHeight="1">
      <c r="A65" s="462"/>
      <c r="B65" s="464"/>
      <c r="C65" s="464"/>
      <c r="D65" s="475"/>
      <c r="E65" s="2025"/>
      <c r="F65" s="2026"/>
      <c r="G65" s="2026"/>
      <c r="H65" s="2026"/>
      <c r="I65" s="2026"/>
      <c r="J65" s="2026"/>
      <c r="K65" s="2026"/>
      <c r="L65" s="2026"/>
      <c r="M65" s="2026"/>
      <c r="N65" s="2026"/>
      <c r="O65" s="2026"/>
      <c r="P65" s="2026"/>
      <c r="Q65" s="2026"/>
      <c r="R65" s="2026"/>
      <c r="S65" s="2026"/>
      <c r="T65" s="2026"/>
      <c r="U65" s="2026"/>
      <c r="V65" s="2026"/>
      <c r="W65" s="2026"/>
      <c r="X65" s="2026"/>
      <c r="Y65" s="2026"/>
      <c r="Z65" s="2026"/>
      <c r="AA65" s="2026"/>
      <c r="AB65" s="2026"/>
      <c r="AC65" s="2026"/>
      <c r="AD65" s="2026"/>
      <c r="AE65" s="2026"/>
      <c r="AF65" s="2026"/>
      <c r="AG65" s="2026"/>
      <c r="AH65" s="2026"/>
      <c r="AI65" s="2026"/>
      <c r="AJ65" s="2027"/>
      <c r="AK65" s="467"/>
      <c r="AL65" s="464"/>
      <c r="AM65" s="464"/>
      <c r="AN65" s="459"/>
      <c r="AO65" s="460">
        <f>IF(SUM(AO62:AO64)&gt;10,10,(SUM(AO62:AO64)))</f>
        <v>10</v>
      </c>
      <c r="AP65" s="498" t="s">
        <v>1979</v>
      </c>
    </row>
    <row r="66" spans="1:42" s="460" customFormat="1" ht="12.75" customHeight="1">
      <c r="A66" s="462"/>
      <c r="B66" s="464"/>
      <c r="C66" s="464"/>
      <c r="D66" s="475"/>
      <c r="E66" s="2052"/>
      <c r="F66" s="2053"/>
      <c r="G66" s="2053"/>
      <c r="H66" s="2053"/>
      <c r="I66" s="2053"/>
      <c r="J66" s="2053"/>
      <c r="K66" s="2053"/>
      <c r="L66" s="2053"/>
      <c r="M66" s="2053"/>
      <c r="N66" s="2053"/>
      <c r="O66" s="2053"/>
      <c r="P66" s="2053"/>
      <c r="Q66" s="2053"/>
      <c r="R66" s="2053"/>
      <c r="S66" s="2053"/>
      <c r="T66" s="2053"/>
      <c r="U66" s="2053"/>
      <c r="V66" s="2053"/>
      <c r="W66" s="2053"/>
      <c r="X66" s="2053"/>
      <c r="Y66" s="2053"/>
      <c r="Z66" s="2053"/>
      <c r="AA66" s="2053"/>
      <c r="AB66" s="2053"/>
      <c r="AC66" s="2053"/>
      <c r="AD66" s="2053"/>
      <c r="AE66" s="2053"/>
      <c r="AF66" s="2053"/>
      <c r="AG66" s="2053"/>
      <c r="AH66" s="2053"/>
      <c r="AI66" s="2053"/>
      <c r="AJ66" s="2054"/>
      <c r="AK66" s="467"/>
      <c r="AL66" s="464"/>
      <c r="AM66" s="464"/>
      <c r="AN66" s="459"/>
    </row>
    <row r="67" spans="1:42" s="460" customFormat="1" ht="12.75" customHeight="1">
      <c r="A67" s="462"/>
      <c r="B67" s="464"/>
      <c r="C67" s="464"/>
      <c r="E67" s="464"/>
      <c r="F67" s="464"/>
      <c r="G67" s="464"/>
      <c r="H67" s="464"/>
      <c r="I67" s="464"/>
      <c r="J67" s="464"/>
      <c r="K67" s="464"/>
      <c r="L67" s="464"/>
      <c r="M67" s="464"/>
      <c r="N67" s="464"/>
      <c r="O67" s="464"/>
      <c r="P67" s="464"/>
      <c r="Q67" s="464"/>
      <c r="R67" s="464"/>
      <c r="S67" s="464"/>
      <c r="T67" s="464"/>
      <c r="U67" s="464"/>
      <c r="V67" s="464"/>
      <c r="W67" s="464"/>
      <c r="X67" s="464"/>
      <c r="Y67" s="464"/>
      <c r="Z67" s="464"/>
      <c r="AA67" s="464"/>
      <c r="AB67" s="464"/>
      <c r="AC67" s="464"/>
      <c r="AD67" s="464"/>
      <c r="AE67" s="464"/>
      <c r="AF67" s="464"/>
      <c r="AG67" s="464"/>
      <c r="AH67" s="464"/>
      <c r="AI67" s="464"/>
      <c r="AJ67" s="464"/>
      <c r="AK67" s="467"/>
      <c r="AL67" s="464"/>
      <c r="AM67" s="464"/>
      <c r="AN67" s="459"/>
    </row>
    <row r="68" spans="1:42" s="460" customFormat="1" ht="12.75" customHeight="1">
      <c r="A68" s="462"/>
      <c r="B68" s="2030" t="s">
        <v>836</v>
      </c>
      <c r="C68" s="2030"/>
      <c r="D68" s="471" t="s">
        <v>1980</v>
      </c>
      <c r="E68" s="890" t="s">
        <v>1981</v>
      </c>
      <c r="F68" s="891"/>
      <c r="G68" s="891"/>
      <c r="H68" s="891"/>
      <c r="I68" s="891"/>
      <c r="J68" s="891"/>
      <c r="K68" s="891"/>
      <c r="L68" s="891"/>
      <c r="M68" s="891"/>
      <c r="N68" s="891"/>
      <c r="O68" s="891"/>
      <c r="P68" s="891"/>
      <c r="Q68" s="891"/>
      <c r="R68" s="891"/>
      <c r="S68" s="891"/>
      <c r="T68" s="891"/>
      <c r="U68" s="891"/>
      <c r="V68" s="891"/>
      <c r="W68" s="891"/>
      <c r="X68" s="891"/>
      <c r="Y68" s="891"/>
      <c r="Z68" s="891"/>
      <c r="AA68" s="891"/>
      <c r="AB68" s="891"/>
      <c r="AC68" s="891"/>
      <c r="AD68" s="891"/>
      <c r="AE68" s="891"/>
      <c r="AF68" s="891"/>
      <c r="AG68" s="891"/>
      <c r="AH68" s="891"/>
      <c r="AI68" s="891"/>
      <c r="AJ68" s="892"/>
      <c r="AK68" s="467"/>
      <c r="AL68" s="464"/>
      <c r="AM68" s="464"/>
      <c r="AN68" s="459"/>
    </row>
    <row r="69" spans="1:42" s="460" customFormat="1" ht="12.75" customHeight="1">
      <c r="A69" s="462"/>
      <c r="B69" s="464"/>
      <c r="C69" s="464"/>
      <c r="D69" s="474"/>
      <c r="E69" s="2055" t="s">
        <v>299</v>
      </c>
      <c r="F69" s="2030"/>
      <c r="G69" s="499"/>
      <c r="H69" s="482" t="s">
        <v>1982</v>
      </c>
      <c r="I69" s="829"/>
      <c r="J69" s="499"/>
      <c r="K69" s="499"/>
      <c r="L69" s="499"/>
      <c r="M69" s="499"/>
      <c r="N69" s="499"/>
      <c r="O69" s="499"/>
      <c r="P69" s="499"/>
      <c r="Q69" s="499"/>
      <c r="R69" s="499"/>
      <c r="S69" s="499"/>
      <c r="T69" s="499"/>
      <c r="U69" s="499"/>
      <c r="V69" s="499"/>
      <c r="W69" s="499"/>
      <c r="X69" s="499"/>
      <c r="Y69" s="499"/>
      <c r="Z69" s="499"/>
      <c r="AA69" s="499"/>
      <c r="AB69" s="499"/>
      <c r="AC69" s="499"/>
      <c r="AD69" s="499"/>
      <c r="AE69" s="499"/>
      <c r="AF69" s="499"/>
      <c r="AG69" s="499"/>
      <c r="AH69" s="499"/>
      <c r="AI69" s="499"/>
      <c r="AJ69" s="893"/>
      <c r="AK69" s="467"/>
      <c r="AL69" s="464"/>
      <c r="AM69" s="464"/>
      <c r="AN69" s="459"/>
    </row>
    <row r="70" spans="1:42" s="460" customFormat="1" ht="12.75" customHeight="1">
      <c r="A70" s="462"/>
      <c r="B70" s="464"/>
      <c r="C70" s="464"/>
      <c r="D70" s="474"/>
      <c r="E70" s="2050" t="s">
        <v>299</v>
      </c>
      <c r="F70" s="2051"/>
      <c r="G70" s="499"/>
      <c r="H70" s="482" t="s">
        <v>1983</v>
      </c>
      <c r="I70" s="499"/>
      <c r="J70" s="499"/>
      <c r="K70" s="499"/>
      <c r="L70" s="499"/>
      <c r="M70" s="499"/>
      <c r="N70" s="499"/>
      <c r="O70" s="499"/>
      <c r="P70" s="499"/>
      <c r="Q70" s="499"/>
      <c r="R70" s="499"/>
      <c r="S70" s="499"/>
      <c r="T70" s="499"/>
      <c r="U70" s="499"/>
      <c r="V70" s="499"/>
      <c r="W70" s="499"/>
      <c r="X70" s="499"/>
      <c r="Y70" s="499"/>
      <c r="Z70" s="499"/>
      <c r="AA70" s="499"/>
      <c r="AB70" s="499"/>
      <c r="AC70" s="499"/>
      <c r="AD70" s="499"/>
      <c r="AE70" s="499"/>
      <c r="AF70" s="499"/>
      <c r="AG70" s="499"/>
      <c r="AH70" s="499"/>
      <c r="AI70" s="499"/>
      <c r="AJ70" s="893"/>
      <c r="AK70" s="467"/>
      <c r="AL70" s="464"/>
      <c r="AM70" s="464"/>
      <c r="AN70" s="459"/>
    </row>
    <row r="71" spans="1:42" s="460" customFormat="1" ht="12.75" customHeight="1">
      <c r="A71" s="462"/>
      <c r="B71" s="464"/>
      <c r="C71" s="464"/>
      <c r="D71" s="474"/>
      <c r="E71" s="2050" t="s">
        <v>299</v>
      </c>
      <c r="F71" s="2051"/>
      <c r="G71" s="499"/>
      <c r="H71" s="482" t="s">
        <v>1984</v>
      </c>
      <c r="I71" s="499"/>
      <c r="J71" s="499"/>
      <c r="K71" s="499"/>
      <c r="L71" s="499"/>
      <c r="M71" s="499"/>
      <c r="N71" s="499"/>
      <c r="O71" s="499"/>
      <c r="P71" s="499"/>
      <c r="Q71" s="499"/>
      <c r="R71" s="499"/>
      <c r="S71" s="499"/>
      <c r="T71" s="499"/>
      <c r="U71" s="499"/>
      <c r="V71" s="499"/>
      <c r="W71" s="499"/>
      <c r="X71" s="499"/>
      <c r="Y71" s="499"/>
      <c r="Z71" s="499"/>
      <c r="AA71" s="499"/>
      <c r="AB71" s="499"/>
      <c r="AC71" s="499"/>
      <c r="AD71" s="499"/>
      <c r="AE71" s="499"/>
      <c r="AF71" s="499"/>
      <c r="AG71" s="499"/>
      <c r="AH71" s="499"/>
      <c r="AI71" s="499"/>
      <c r="AJ71" s="893"/>
      <c r="AK71" s="467"/>
      <c r="AL71" s="464"/>
      <c r="AM71" s="464"/>
      <c r="AN71" s="459"/>
    </row>
    <row r="72" spans="1:42" s="460" customFormat="1" ht="12.75" customHeight="1">
      <c r="A72" s="462"/>
      <c r="B72" s="464"/>
      <c r="C72" s="464"/>
      <c r="D72" s="474"/>
      <c r="E72" s="580"/>
      <c r="F72" s="499"/>
      <c r="G72" s="499"/>
      <c r="H72" s="499"/>
      <c r="I72" s="499"/>
      <c r="J72" s="499"/>
      <c r="K72" s="499"/>
      <c r="L72" s="499"/>
      <c r="M72" s="499"/>
      <c r="N72" s="499"/>
      <c r="O72" s="499"/>
      <c r="P72" s="499"/>
      <c r="Q72" s="499"/>
      <c r="R72" s="499"/>
      <c r="S72" s="499"/>
      <c r="T72" s="499"/>
      <c r="U72" s="499"/>
      <c r="V72" s="499"/>
      <c r="W72" s="499"/>
      <c r="X72" s="499"/>
      <c r="Y72" s="499"/>
      <c r="Z72" s="499"/>
      <c r="AA72" s="499"/>
      <c r="AB72" s="499"/>
      <c r="AC72" s="499"/>
      <c r="AD72" s="499"/>
      <c r="AE72" s="499"/>
      <c r="AF72" s="499"/>
      <c r="AG72" s="499"/>
      <c r="AH72" s="499"/>
      <c r="AI72" s="499"/>
      <c r="AJ72" s="893"/>
      <c r="AK72" s="467"/>
      <c r="AL72" s="464"/>
      <c r="AM72" s="464"/>
      <c r="AN72" s="459"/>
    </row>
    <row r="73" spans="1:42" s="460" customFormat="1" ht="12.75" customHeight="1">
      <c r="A73" s="462"/>
      <c r="B73" s="464"/>
      <c r="C73" s="464"/>
      <c r="D73" s="474"/>
      <c r="E73" s="2055" t="s">
        <v>836</v>
      </c>
      <c r="F73" s="2030"/>
      <c r="G73" s="827"/>
      <c r="H73" s="895" t="s">
        <v>1985</v>
      </c>
      <c r="I73" s="827"/>
      <c r="J73" s="827"/>
      <c r="K73" s="827"/>
      <c r="L73" s="827"/>
      <c r="M73" s="827"/>
      <c r="N73" s="827"/>
      <c r="O73" s="827"/>
      <c r="P73" s="827"/>
      <c r="Q73" s="827"/>
      <c r="R73" s="827"/>
      <c r="S73" s="827"/>
      <c r="T73" s="827"/>
      <c r="U73" s="827"/>
      <c r="V73" s="827"/>
      <c r="W73" s="827"/>
      <c r="X73" s="827"/>
      <c r="Y73" s="827"/>
      <c r="Z73" s="827"/>
      <c r="AA73" s="827"/>
      <c r="AB73" s="827"/>
      <c r="AC73" s="827"/>
      <c r="AD73" s="827"/>
      <c r="AE73" s="827"/>
      <c r="AF73" s="827"/>
      <c r="AG73" s="827"/>
      <c r="AH73" s="827"/>
      <c r="AI73" s="827"/>
      <c r="AJ73" s="828"/>
      <c r="AK73" s="467"/>
      <c r="AL73" s="464"/>
      <c r="AM73" s="464"/>
      <c r="AN73" s="459"/>
    </row>
    <row r="74" spans="1:42" s="460" customFormat="1" ht="12.75" customHeight="1">
      <c r="A74" s="462"/>
      <c r="B74" s="464"/>
      <c r="C74" s="464"/>
      <c r="D74" s="475"/>
      <c r="E74" s="464"/>
      <c r="F74" s="464"/>
      <c r="G74" s="464"/>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7"/>
      <c r="AL74" s="464"/>
      <c r="AM74" s="464"/>
      <c r="AN74" s="459"/>
    </row>
    <row r="75" spans="1:42" s="460" customFormat="1" ht="12.75" customHeight="1">
      <c r="A75" s="462"/>
      <c r="B75" s="2030" t="s">
        <v>299</v>
      </c>
      <c r="C75" s="2030"/>
      <c r="D75" s="471" t="s">
        <v>1986</v>
      </c>
      <c r="E75" s="1957" t="s">
        <v>1987</v>
      </c>
      <c r="F75" s="1958"/>
      <c r="G75" s="1958"/>
      <c r="H75" s="1958"/>
      <c r="I75" s="1958"/>
      <c r="J75" s="1958"/>
      <c r="K75" s="1958"/>
      <c r="L75" s="1958"/>
      <c r="M75" s="1958"/>
      <c r="N75" s="1958"/>
      <c r="O75" s="1958"/>
      <c r="P75" s="1958"/>
      <c r="Q75" s="1958"/>
      <c r="R75" s="1958"/>
      <c r="S75" s="1958"/>
      <c r="T75" s="1958"/>
      <c r="U75" s="1958"/>
      <c r="V75" s="1958"/>
      <c r="W75" s="1958"/>
      <c r="X75" s="1958"/>
      <c r="Y75" s="1958"/>
      <c r="Z75" s="1958"/>
      <c r="AA75" s="1958"/>
      <c r="AB75" s="1958"/>
      <c r="AC75" s="1958"/>
      <c r="AD75" s="1958"/>
      <c r="AE75" s="1958"/>
      <c r="AF75" s="1958"/>
      <c r="AG75" s="1958"/>
      <c r="AH75" s="1958"/>
      <c r="AI75" s="1958"/>
      <c r="AJ75" s="1959"/>
      <c r="AK75" s="467"/>
      <c r="AL75" s="464"/>
      <c r="AM75" s="464"/>
      <c r="AN75" s="459"/>
    </row>
    <row r="76" spans="1:42" s="460" customFormat="1" ht="12.75" customHeight="1">
      <c r="A76" s="462"/>
      <c r="B76" s="464"/>
      <c r="C76" s="464"/>
      <c r="D76" s="474"/>
      <c r="E76" s="1982"/>
      <c r="F76" s="1983"/>
      <c r="G76" s="1983"/>
      <c r="H76" s="1983"/>
      <c r="I76" s="1983"/>
      <c r="J76" s="1983"/>
      <c r="K76" s="1983"/>
      <c r="L76" s="1983"/>
      <c r="M76" s="1983"/>
      <c r="N76" s="1983"/>
      <c r="O76" s="1983"/>
      <c r="P76" s="1983"/>
      <c r="Q76" s="1983"/>
      <c r="R76" s="1983"/>
      <c r="S76" s="1983"/>
      <c r="T76" s="1983"/>
      <c r="U76" s="1983"/>
      <c r="V76" s="1983"/>
      <c r="W76" s="1983"/>
      <c r="X76" s="1983"/>
      <c r="Y76" s="1983"/>
      <c r="Z76" s="1983"/>
      <c r="AA76" s="1983"/>
      <c r="AB76" s="1983"/>
      <c r="AC76" s="1983"/>
      <c r="AD76" s="1983"/>
      <c r="AE76" s="1983"/>
      <c r="AF76" s="1983"/>
      <c r="AG76" s="1983"/>
      <c r="AH76" s="1983"/>
      <c r="AI76" s="1983"/>
      <c r="AJ76" s="1984"/>
      <c r="AK76" s="467"/>
      <c r="AL76" s="464"/>
      <c r="AM76" s="464"/>
      <c r="AN76" s="459"/>
    </row>
    <row r="77" spans="1:42" s="460" customFormat="1" ht="12.75" customHeight="1">
      <c r="A77" s="462"/>
      <c r="B77" s="464"/>
      <c r="C77" s="464"/>
      <c r="D77" s="474"/>
      <c r="E77" s="464"/>
      <c r="F77" s="464"/>
      <c r="G77" s="464"/>
      <c r="H77" s="464"/>
      <c r="I77" s="464"/>
      <c r="J77" s="464"/>
      <c r="K77" s="464"/>
      <c r="L77" s="464"/>
      <c r="M77" s="464"/>
      <c r="N77" s="464"/>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7"/>
      <c r="AL77" s="464"/>
      <c r="AM77" s="464"/>
      <c r="AN77" s="459"/>
    </row>
    <row r="78" spans="1:42" s="460" customFormat="1" ht="12.75" customHeight="1">
      <c r="A78" s="485"/>
      <c r="B78" s="486"/>
      <c r="C78" s="486"/>
      <c r="D78" s="486"/>
      <c r="E78" s="486"/>
      <c r="F78" s="486"/>
      <c r="G78" s="487"/>
      <c r="H78" s="488"/>
      <c r="I78" s="488"/>
      <c r="J78" s="488"/>
      <c r="K78" s="488"/>
      <c r="L78" s="488"/>
      <c r="M78" s="488"/>
      <c r="N78" s="488"/>
      <c r="O78" s="488"/>
      <c r="P78" s="488"/>
      <c r="Q78" s="488"/>
      <c r="R78" s="488"/>
      <c r="S78" s="488"/>
      <c r="T78" s="488"/>
      <c r="U78" s="488"/>
      <c r="V78" s="488"/>
      <c r="W78" s="488"/>
      <c r="X78" s="488"/>
      <c r="Y78" s="488"/>
      <c r="Z78" s="488"/>
      <c r="AA78" s="488"/>
      <c r="AB78" s="488"/>
      <c r="AC78" s="488"/>
      <c r="AD78" s="488"/>
      <c r="AE78" s="488"/>
      <c r="AF78" s="488"/>
      <c r="AG78" s="488"/>
      <c r="AH78" s="488"/>
      <c r="AI78" s="489"/>
      <c r="AJ78" s="489" t="s">
        <v>1988</v>
      </c>
      <c r="AK78" s="2003">
        <f>IF(AK56&gt;0,0,AO65)</f>
        <v>10</v>
      </c>
      <c r="AL78" s="2004"/>
      <c r="AM78" s="2005"/>
      <c r="AN78" s="459"/>
    </row>
    <row r="79" spans="1:42" s="460" customFormat="1" ht="12.75" customHeight="1" thickBot="1">
      <c r="A79" s="490"/>
      <c r="B79" s="491"/>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c r="AF79" s="492"/>
      <c r="AG79" s="492"/>
      <c r="AH79" s="492"/>
      <c r="AI79" s="492"/>
      <c r="AJ79" s="492"/>
      <c r="AK79" s="492"/>
      <c r="AL79" s="492"/>
      <c r="AM79" s="493"/>
      <c r="AN79" s="459"/>
    </row>
    <row r="80" spans="1:42" s="460" customFormat="1" ht="12.75" customHeight="1" thickTop="1">
      <c r="A80" s="494"/>
      <c r="B80" s="495"/>
      <c r="C80" s="496"/>
      <c r="D80" s="496"/>
      <c r="E80" s="496"/>
      <c r="F80" s="496"/>
      <c r="G80" s="496"/>
      <c r="H80" s="496"/>
      <c r="I80" s="497"/>
      <c r="J80" s="497"/>
      <c r="K80" s="497"/>
      <c r="L80" s="497"/>
      <c r="M80" s="497"/>
      <c r="N80" s="497"/>
      <c r="O80" s="497"/>
      <c r="P80" s="497"/>
      <c r="Q80" s="497"/>
      <c r="R80" s="494"/>
      <c r="S80" s="463"/>
      <c r="T80" s="463"/>
      <c r="U80" s="463"/>
      <c r="V80" s="463"/>
      <c r="W80" s="463"/>
      <c r="X80" s="463"/>
      <c r="Y80" s="463"/>
      <c r="Z80" s="463"/>
      <c r="AA80" s="463"/>
      <c r="AB80" s="463"/>
      <c r="AC80" s="463"/>
      <c r="AD80" s="463"/>
      <c r="AE80" s="463"/>
      <c r="AF80" s="494"/>
      <c r="AG80" s="463"/>
      <c r="AH80" s="463"/>
      <c r="AI80" s="463"/>
      <c r="AJ80" s="463"/>
      <c r="AK80" s="474"/>
      <c r="AL80" s="474"/>
      <c r="AM80" s="474"/>
      <c r="AN80" s="459"/>
    </row>
    <row r="81" spans="1:43" s="460" customFormat="1" ht="12.75" customHeight="1">
      <c r="A81" s="462" t="s">
        <v>1989</v>
      </c>
      <c r="B81" s="463" t="s">
        <v>1990</v>
      </c>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c r="AA81" s="463"/>
      <c r="AB81" s="463"/>
      <c r="AC81" s="463"/>
      <c r="AD81" s="463"/>
      <c r="AE81" s="1847" t="s">
        <v>1953</v>
      </c>
      <c r="AF81" s="1847"/>
      <c r="AG81" s="1847"/>
      <c r="AH81" s="1847"/>
      <c r="AI81" s="1847"/>
      <c r="AJ81" s="1847"/>
      <c r="AK81" s="1847"/>
      <c r="AL81" s="464"/>
      <c r="AM81" s="464"/>
      <c r="AN81" s="459"/>
    </row>
    <row r="82" spans="1:43" s="460" customFormat="1" ht="12.75" customHeight="1">
      <c r="A82" s="462"/>
      <c r="B82" s="463" t="s">
        <v>1991</v>
      </c>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c r="AA82" s="463"/>
      <c r="AB82" s="463"/>
      <c r="AC82" s="463"/>
      <c r="AD82" s="463"/>
      <c r="AE82" s="467"/>
      <c r="AF82" s="467"/>
      <c r="AG82" s="467"/>
      <c r="AH82" s="467"/>
      <c r="AI82" s="467"/>
      <c r="AJ82" s="467"/>
      <c r="AK82" s="467"/>
      <c r="AL82" s="464"/>
      <c r="AM82" s="464"/>
      <c r="AN82" s="459"/>
    </row>
    <row r="83" spans="1:43" s="460" customFormat="1" ht="12.75" customHeight="1">
      <c r="A83" s="462"/>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7"/>
      <c r="AF83" s="467"/>
      <c r="AG83" s="467"/>
      <c r="AH83" s="467"/>
      <c r="AI83" s="467"/>
      <c r="AJ83" s="467"/>
      <c r="AK83" s="467"/>
      <c r="AL83" s="464"/>
      <c r="AM83" s="464"/>
      <c r="AN83" s="459"/>
    </row>
    <row r="84" spans="1:43" s="460" customFormat="1" ht="12.75" customHeight="1">
      <c r="A84" s="462"/>
      <c r="B84" s="2030" t="s">
        <v>299</v>
      </c>
      <c r="C84" s="2030"/>
      <c r="D84" s="471" t="s">
        <v>1977</v>
      </c>
      <c r="E84" s="2022" t="s">
        <v>1992</v>
      </c>
      <c r="F84" s="2023"/>
      <c r="G84" s="2023"/>
      <c r="H84" s="2023"/>
      <c r="I84" s="2023"/>
      <c r="J84" s="2023"/>
      <c r="K84" s="2023"/>
      <c r="L84" s="2023"/>
      <c r="M84" s="2023"/>
      <c r="N84" s="2023"/>
      <c r="O84" s="2023"/>
      <c r="P84" s="2023"/>
      <c r="Q84" s="2023"/>
      <c r="R84" s="2023"/>
      <c r="S84" s="2023"/>
      <c r="T84" s="2023"/>
      <c r="U84" s="2023"/>
      <c r="V84" s="2023"/>
      <c r="W84" s="2023"/>
      <c r="X84" s="2023"/>
      <c r="Y84" s="2023"/>
      <c r="Z84" s="2023"/>
      <c r="AA84" s="2023"/>
      <c r="AB84" s="2023"/>
      <c r="AC84" s="2023"/>
      <c r="AD84" s="2023"/>
      <c r="AE84" s="2023"/>
      <c r="AF84" s="2023"/>
      <c r="AG84" s="2023"/>
      <c r="AH84" s="2023"/>
      <c r="AI84" s="2023"/>
      <c r="AJ84" s="2024"/>
      <c r="AK84" s="467"/>
      <c r="AL84" s="464"/>
      <c r="AM84" s="464"/>
      <c r="AN84" s="459"/>
    </row>
    <row r="85" spans="1:43" s="460" customFormat="1" ht="12.75" customHeight="1">
      <c r="A85" s="462"/>
      <c r="B85" s="463"/>
      <c r="C85" s="463"/>
      <c r="D85" s="463"/>
      <c r="E85" s="2025"/>
      <c r="F85" s="2026"/>
      <c r="G85" s="2026"/>
      <c r="H85" s="2026"/>
      <c r="I85" s="2026"/>
      <c r="J85" s="2026"/>
      <c r="K85" s="2026"/>
      <c r="L85" s="2026"/>
      <c r="M85" s="2026"/>
      <c r="N85" s="2026"/>
      <c r="O85" s="2026"/>
      <c r="P85" s="2026"/>
      <c r="Q85" s="2026"/>
      <c r="R85" s="2026"/>
      <c r="S85" s="2026"/>
      <c r="T85" s="2026"/>
      <c r="U85" s="2026"/>
      <c r="V85" s="2026"/>
      <c r="W85" s="2026"/>
      <c r="X85" s="2026"/>
      <c r="Y85" s="2026"/>
      <c r="Z85" s="2026"/>
      <c r="AA85" s="2026"/>
      <c r="AB85" s="2026"/>
      <c r="AC85" s="2026"/>
      <c r="AD85" s="2026"/>
      <c r="AE85" s="2026"/>
      <c r="AF85" s="2026"/>
      <c r="AG85" s="2026"/>
      <c r="AH85" s="2026"/>
      <c r="AI85" s="2026"/>
      <c r="AJ85" s="2027"/>
      <c r="AK85" s="467"/>
      <c r="AL85" s="464"/>
      <c r="AM85" s="464"/>
      <c r="AN85" s="459"/>
    </row>
    <row r="86" spans="1:43" s="460" customFormat="1" ht="12.75" customHeight="1">
      <c r="A86" s="462"/>
      <c r="B86" s="463"/>
      <c r="C86" s="463"/>
      <c r="D86" s="463"/>
      <c r="E86" s="500"/>
      <c r="F86" s="501"/>
      <c r="G86" s="501"/>
      <c r="H86" s="501"/>
      <c r="I86" s="501"/>
      <c r="J86" s="501"/>
      <c r="K86" s="501"/>
      <c r="L86" s="501"/>
      <c r="M86" s="501"/>
      <c r="N86" s="501"/>
      <c r="O86" s="501"/>
      <c r="P86" s="501"/>
      <c r="Q86" s="501"/>
      <c r="R86" s="501"/>
      <c r="S86" s="501"/>
      <c r="T86" s="501"/>
      <c r="U86" s="501"/>
      <c r="V86" s="501"/>
      <c r="W86" s="501"/>
      <c r="X86" s="501"/>
      <c r="Y86" s="501"/>
      <c r="Z86" s="502"/>
      <c r="AA86" s="502"/>
      <c r="AB86" s="502"/>
      <c r="AC86" s="501"/>
      <c r="AD86" s="501"/>
      <c r="AE86" s="501"/>
      <c r="AF86" s="501"/>
      <c r="AG86" s="501"/>
      <c r="AH86" s="501"/>
      <c r="AI86" s="501"/>
      <c r="AJ86" s="503"/>
      <c r="AK86" s="467"/>
      <c r="AL86" s="464"/>
      <c r="AM86" s="464"/>
      <c r="AN86" s="459"/>
    </row>
    <row r="87" spans="1:43" s="460" customFormat="1" ht="12.75" customHeight="1">
      <c r="A87" s="462"/>
      <c r="B87" s="463"/>
      <c r="C87" s="463"/>
      <c r="D87" s="463"/>
      <c r="E87" s="2018">
        <f>Application!AC753</f>
        <v>0.5</v>
      </c>
      <c r="F87" s="2019"/>
      <c r="G87" s="2019"/>
      <c r="H87" s="2019"/>
      <c r="I87" s="501"/>
      <c r="J87" s="504" t="s">
        <v>1993</v>
      </c>
      <c r="K87" s="501"/>
      <c r="L87" s="501"/>
      <c r="M87" s="501"/>
      <c r="N87" s="501"/>
      <c r="O87" s="501"/>
      <c r="P87" s="501"/>
      <c r="Q87" s="501"/>
      <c r="R87" s="501"/>
      <c r="S87" s="501"/>
      <c r="T87" s="501"/>
      <c r="U87" s="501"/>
      <c r="V87" s="501"/>
      <c r="W87" s="501"/>
      <c r="X87" s="501"/>
      <c r="Y87" s="501"/>
      <c r="Z87" s="505"/>
      <c r="AA87" s="505"/>
      <c r="AB87" s="505"/>
      <c r="AC87" s="501"/>
      <c r="AD87" s="501"/>
      <c r="AE87" s="501"/>
      <c r="AF87" s="501"/>
      <c r="AG87" s="501"/>
      <c r="AH87" s="501"/>
      <c r="AI87" s="501"/>
      <c r="AJ87" s="503"/>
      <c r="AK87" s="467"/>
      <c r="AL87" s="464"/>
      <c r="AM87" s="464"/>
      <c r="AN87" s="459"/>
    </row>
    <row r="88" spans="1:43" s="460" customFormat="1" ht="12.75" customHeight="1">
      <c r="A88" s="462"/>
      <c r="B88" s="463"/>
      <c r="C88" s="463"/>
      <c r="D88" s="463"/>
      <c r="E88" s="2049">
        <f>0.6-ROUNDUP(E87,2)</f>
        <v>9.9999999999999978E-2</v>
      </c>
      <c r="F88" s="1821"/>
      <c r="G88" s="1821"/>
      <c r="H88" s="1821"/>
      <c r="I88" s="501"/>
      <c r="J88" s="504" t="s">
        <v>1994</v>
      </c>
      <c r="K88" s="501"/>
      <c r="L88" s="501"/>
      <c r="M88" s="501"/>
      <c r="N88" s="501"/>
      <c r="O88" s="501"/>
      <c r="P88" s="501"/>
      <c r="Q88" s="501"/>
      <c r="R88" s="501"/>
      <c r="S88" s="501"/>
      <c r="T88" s="501"/>
      <c r="U88" s="501"/>
      <c r="V88" s="501"/>
      <c r="W88" s="501"/>
      <c r="X88" s="501"/>
      <c r="Y88" s="501"/>
      <c r="Z88" s="501"/>
      <c r="AA88" s="501"/>
      <c r="AB88" s="501"/>
      <c r="AC88" s="501"/>
      <c r="AD88" s="501"/>
      <c r="AE88" s="501"/>
      <c r="AF88" s="501"/>
      <c r="AG88" s="501"/>
      <c r="AH88" s="501"/>
      <c r="AI88" s="501"/>
      <c r="AJ88" s="503"/>
      <c r="AK88" s="467"/>
      <c r="AL88" s="464"/>
      <c r="AM88" s="464"/>
      <c r="AN88" s="459"/>
    </row>
    <row r="89" spans="1:43" s="460" customFormat="1" ht="12.75" customHeight="1">
      <c r="A89" s="462"/>
      <c r="B89" s="463"/>
      <c r="C89" s="463"/>
      <c r="D89" s="463"/>
      <c r="E89" s="2034">
        <f>IF(E88*200&gt;20,20,E88*200)</f>
        <v>19.999999999999996</v>
      </c>
      <c r="F89" s="2035"/>
      <c r="G89" s="2035"/>
      <c r="H89" s="2035"/>
      <c r="I89" s="501"/>
      <c r="J89" s="504" t="s">
        <v>1995</v>
      </c>
      <c r="K89" s="501"/>
      <c r="L89" s="501"/>
      <c r="M89" s="501"/>
      <c r="N89" s="501"/>
      <c r="O89" s="501"/>
      <c r="P89" s="501"/>
      <c r="Q89" s="501"/>
      <c r="R89" s="501"/>
      <c r="S89" s="501"/>
      <c r="T89" s="501"/>
      <c r="U89" s="501"/>
      <c r="V89" s="501"/>
      <c r="W89" s="501"/>
      <c r="X89" s="501"/>
      <c r="Y89" s="501"/>
      <c r="Z89" s="501"/>
      <c r="AA89" s="501"/>
      <c r="AB89" s="501"/>
      <c r="AC89" s="501"/>
      <c r="AD89" s="501"/>
      <c r="AE89" s="501"/>
      <c r="AF89" s="501"/>
      <c r="AG89" s="501"/>
      <c r="AH89" s="501"/>
      <c r="AI89" s="501"/>
      <c r="AJ89" s="503"/>
      <c r="AK89" s="467"/>
      <c r="AL89" s="464"/>
      <c r="AM89" s="464"/>
      <c r="AN89" s="459"/>
      <c r="AP89" s="460">
        <f>IF(B84="yes",E89,0)</f>
        <v>0</v>
      </c>
      <c r="AQ89" s="460" t="s">
        <v>1959</v>
      </c>
    </row>
    <row r="90" spans="1:43" s="460" customFormat="1" ht="12.75" customHeight="1">
      <c r="A90" s="462"/>
      <c r="B90" s="463"/>
      <c r="C90" s="463"/>
      <c r="D90" s="463"/>
      <c r="E90" s="506"/>
      <c r="F90" s="507"/>
      <c r="G90" s="507"/>
      <c r="H90" s="507"/>
      <c r="I90" s="507"/>
      <c r="J90" s="507"/>
      <c r="K90" s="507"/>
      <c r="L90" s="507"/>
      <c r="M90" s="507"/>
      <c r="N90" s="507"/>
      <c r="O90" s="507"/>
      <c r="P90" s="507"/>
      <c r="Q90" s="507"/>
      <c r="R90" s="507"/>
      <c r="S90" s="507"/>
      <c r="T90" s="507"/>
      <c r="U90" s="507"/>
      <c r="V90" s="507"/>
      <c r="W90" s="507"/>
      <c r="X90" s="507"/>
      <c r="Y90" s="507"/>
      <c r="Z90" s="507"/>
      <c r="AA90" s="507"/>
      <c r="AB90" s="507"/>
      <c r="AC90" s="507"/>
      <c r="AD90" s="507"/>
      <c r="AE90" s="508"/>
      <c r="AF90" s="508"/>
      <c r="AG90" s="508"/>
      <c r="AH90" s="508"/>
      <c r="AI90" s="508"/>
      <c r="AJ90" s="509"/>
      <c r="AK90" s="467"/>
      <c r="AL90" s="464"/>
      <c r="AM90" s="464"/>
      <c r="AN90" s="459"/>
    </row>
    <row r="91" spans="1:43" s="460" customFormat="1" ht="12.75" customHeight="1">
      <c r="A91" s="462"/>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7"/>
      <c r="AF91" s="467"/>
      <c r="AG91" s="467"/>
      <c r="AH91" s="467"/>
      <c r="AI91" s="467"/>
      <c r="AJ91" s="467"/>
      <c r="AK91" s="467"/>
      <c r="AL91" s="464"/>
      <c r="AM91" s="464"/>
      <c r="AN91" s="459"/>
    </row>
    <row r="92" spans="1:43" s="460" customFormat="1" ht="12.75" customHeight="1">
      <c r="A92" s="462"/>
      <c r="B92" s="2030" t="s">
        <v>836</v>
      </c>
      <c r="C92" s="2030"/>
      <c r="D92" s="471" t="s">
        <v>1980</v>
      </c>
      <c r="E92" s="2022" t="s">
        <v>1996</v>
      </c>
      <c r="F92" s="2023"/>
      <c r="G92" s="2023"/>
      <c r="H92" s="2023"/>
      <c r="I92" s="2023"/>
      <c r="J92" s="2023"/>
      <c r="K92" s="2023"/>
      <c r="L92" s="2023"/>
      <c r="M92" s="2023"/>
      <c r="N92" s="2023"/>
      <c r="O92" s="2023"/>
      <c r="P92" s="2023"/>
      <c r="Q92" s="2023"/>
      <c r="R92" s="2023"/>
      <c r="S92" s="2023"/>
      <c r="T92" s="2023"/>
      <c r="U92" s="2023"/>
      <c r="V92" s="2023"/>
      <c r="W92" s="2023"/>
      <c r="X92" s="2023"/>
      <c r="Y92" s="2023"/>
      <c r="Z92" s="2023"/>
      <c r="AA92" s="2023"/>
      <c r="AB92" s="2023"/>
      <c r="AC92" s="2023"/>
      <c r="AD92" s="2023"/>
      <c r="AE92" s="2023"/>
      <c r="AF92" s="2023"/>
      <c r="AG92" s="2023"/>
      <c r="AH92" s="2023"/>
      <c r="AI92" s="2023"/>
      <c r="AJ92" s="2024"/>
      <c r="AK92" s="467"/>
      <c r="AL92" s="464"/>
      <c r="AM92" s="464"/>
      <c r="AN92" s="459"/>
    </row>
    <row r="93" spans="1:43" s="460" customFormat="1" ht="12.75" customHeight="1">
      <c r="A93" s="462"/>
      <c r="B93" s="463"/>
      <c r="C93" s="463"/>
      <c r="D93" s="463"/>
      <c r="E93" s="2025"/>
      <c r="F93" s="2026"/>
      <c r="G93" s="2026"/>
      <c r="H93" s="2026"/>
      <c r="I93" s="2026"/>
      <c r="J93" s="2026"/>
      <c r="K93" s="2026"/>
      <c r="L93" s="2026"/>
      <c r="M93" s="2026"/>
      <c r="N93" s="2026"/>
      <c r="O93" s="2026"/>
      <c r="P93" s="2026"/>
      <c r="Q93" s="2026"/>
      <c r="R93" s="2026"/>
      <c r="S93" s="2026"/>
      <c r="T93" s="2026"/>
      <c r="U93" s="2026"/>
      <c r="V93" s="2026"/>
      <c r="W93" s="2026"/>
      <c r="X93" s="2026"/>
      <c r="Y93" s="2026"/>
      <c r="Z93" s="2026"/>
      <c r="AA93" s="2026"/>
      <c r="AB93" s="2026"/>
      <c r="AC93" s="2026"/>
      <c r="AD93" s="2026"/>
      <c r="AE93" s="2026"/>
      <c r="AF93" s="2026"/>
      <c r="AG93" s="2026"/>
      <c r="AH93" s="2026"/>
      <c r="AI93" s="2026"/>
      <c r="AJ93" s="2027"/>
      <c r="AK93" s="467"/>
      <c r="AL93" s="464"/>
      <c r="AM93" s="464"/>
      <c r="AN93" s="459"/>
    </row>
    <row r="94" spans="1:43" s="460" customFormat="1" ht="12.75" customHeight="1">
      <c r="A94" s="462"/>
      <c r="B94" s="463"/>
      <c r="C94" s="463"/>
      <c r="D94" s="463"/>
      <c r="E94" s="2025"/>
      <c r="F94" s="2026"/>
      <c r="G94" s="2026"/>
      <c r="H94" s="2026"/>
      <c r="I94" s="2026"/>
      <c r="J94" s="2026"/>
      <c r="K94" s="2026"/>
      <c r="L94" s="2026"/>
      <c r="M94" s="2026"/>
      <c r="N94" s="2026"/>
      <c r="O94" s="2026"/>
      <c r="P94" s="2026"/>
      <c r="Q94" s="2026"/>
      <c r="R94" s="2026"/>
      <c r="S94" s="2026"/>
      <c r="T94" s="2026"/>
      <c r="U94" s="2026"/>
      <c r="V94" s="2026"/>
      <c r="W94" s="2026"/>
      <c r="X94" s="2026"/>
      <c r="Y94" s="2026"/>
      <c r="Z94" s="2026"/>
      <c r="AA94" s="2026"/>
      <c r="AB94" s="2026"/>
      <c r="AC94" s="2026"/>
      <c r="AD94" s="2026"/>
      <c r="AE94" s="2026"/>
      <c r="AF94" s="2026"/>
      <c r="AG94" s="2026"/>
      <c r="AH94" s="2026"/>
      <c r="AI94" s="2026"/>
      <c r="AJ94" s="2027"/>
      <c r="AK94" s="467"/>
      <c r="AL94" s="464"/>
      <c r="AM94" s="464"/>
      <c r="AN94" s="459"/>
    </row>
    <row r="95" spans="1:43" s="460" customFormat="1" ht="12.75" customHeight="1">
      <c r="A95" s="462"/>
      <c r="B95" s="463"/>
      <c r="C95" s="463"/>
      <c r="D95" s="463"/>
      <c r="E95" s="2025"/>
      <c r="F95" s="2026"/>
      <c r="G95" s="2026"/>
      <c r="H95" s="2026"/>
      <c r="I95" s="2026"/>
      <c r="J95" s="2026"/>
      <c r="K95" s="2026"/>
      <c r="L95" s="2026"/>
      <c r="M95" s="2026"/>
      <c r="N95" s="2026"/>
      <c r="O95" s="2026"/>
      <c r="P95" s="2026"/>
      <c r="Q95" s="2026"/>
      <c r="R95" s="2026"/>
      <c r="S95" s="2026"/>
      <c r="T95" s="2026"/>
      <c r="U95" s="2026"/>
      <c r="V95" s="2026"/>
      <c r="W95" s="2026"/>
      <c r="X95" s="2026"/>
      <c r="Y95" s="2026"/>
      <c r="Z95" s="2026"/>
      <c r="AA95" s="2026"/>
      <c r="AB95" s="2026"/>
      <c r="AC95" s="2026"/>
      <c r="AD95" s="2026"/>
      <c r="AE95" s="2026"/>
      <c r="AF95" s="2026"/>
      <c r="AG95" s="2026"/>
      <c r="AH95" s="2026"/>
      <c r="AI95" s="2026"/>
      <c r="AJ95" s="2027"/>
      <c r="AK95" s="467"/>
      <c r="AL95" s="464"/>
      <c r="AM95" s="464"/>
      <c r="AN95" s="459"/>
    </row>
    <row r="96" spans="1:43" s="460" customFormat="1" ht="12.75" customHeight="1">
      <c r="A96" s="462"/>
      <c r="B96" s="463"/>
      <c r="C96" s="463"/>
      <c r="D96" s="463"/>
      <c r="E96" s="510"/>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78"/>
      <c r="AK96" s="467"/>
      <c r="AL96" s="464"/>
      <c r="AM96" s="464"/>
      <c r="AN96" s="459"/>
    </row>
    <row r="97" spans="1:49" s="460" customFormat="1" ht="12.75" customHeight="1">
      <c r="A97" s="462"/>
      <c r="B97" s="463"/>
      <c r="C97" s="463"/>
      <c r="D97" s="463"/>
      <c r="E97" s="2018">
        <f>Application!AC753</f>
        <v>0.5</v>
      </c>
      <c r="F97" s="2019"/>
      <c r="G97" s="2019"/>
      <c r="H97" s="2019"/>
      <c r="I97" s="501"/>
      <c r="J97" s="504" t="s">
        <v>1993</v>
      </c>
      <c r="K97" s="501"/>
      <c r="L97" s="501"/>
      <c r="M97" s="501"/>
      <c r="N97" s="501"/>
      <c r="O97" s="501"/>
      <c r="P97" s="501"/>
      <c r="Q97" s="501"/>
      <c r="R97" s="477"/>
      <c r="S97" s="477"/>
      <c r="T97" s="477"/>
      <c r="U97" s="477"/>
      <c r="V97" s="477"/>
      <c r="W97" s="477"/>
      <c r="X97" s="477"/>
      <c r="Y97" s="477"/>
      <c r="Z97" s="477"/>
      <c r="AA97" s="477"/>
      <c r="AB97" s="477"/>
      <c r="AC97" s="477"/>
      <c r="AD97" s="477"/>
      <c r="AE97" s="477"/>
      <c r="AF97" s="477"/>
      <c r="AG97" s="477"/>
      <c r="AH97" s="477"/>
      <c r="AI97" s="477"/>
      <c r="AJ97" s="478"/>
      <c r="AK97" s="467"/>
      <c r="AL97" s="464"/>
      <c r="AM97" s="464"/>
      <c r="AN97" s="459"/>
    </row>
    <row r="98" spans="1:49" s="460" customFormat="1" ht="12.75" customHeight="1">
      <c r="A98" s="462"/>
      <c r="B98" s="463"/>
      <c r="C98" s="463"/>
      <c r="D98" s="463"/>
      <c r="E98" s="2018">
        <f ca="1">SUMIF(Application!AC718:AG752,0.2,Application!G718:J752)/Application!G753+SUMIF(Application!AC718:AG752,0.25,Application!G718:J752)/Application!G753+SUMIF(Application!AC718:AG752,0.3,Application!G718:J752)/Application!G753</f>
        <v>0.5</v>
      </c>
      <c r="F98" s="2019"/>
      <c r="G98" s="2019"/>
      <c r="H98" s="2019"/>
      <c r="I98" s="501"/>
      <c r="J98" s="504" t="s">
        <v>1997</v>
      </c>
      <c r="K98" s="501"/>
      <c r="L98" s="501"/>
      <c r="M98" s="501"/>
      <c r="N98" s="501"/>
      <c r="O98" s="501"/>
      <c r="P98" s="501"/>
      <c r="Q98" s="501"/>
      <c r="R98" s="477"/>
      <c r="S98" s="477"/>
      <c r="T98" s="477"/>
      <c r="U98" s="477"/>
      <c r="V98" s="477"/>
      <c r="W98" s="477"/>
      <c r="X98" s="477"/>
      <c r="Y98" s="477"/>
      <c r="Z98" s="477"/>
      <c r="AA98" s="477"/>
      <c r="AB98" s="477"/>
      <c r="AC98" s="477"/>
      <c r="AD98" s="477"/>
      <c r="AE98" s="477"/>
      <c r="AF98" s="477"/>
      <c r="AG98" s="477"/>
      <c r="AH98" s="477"/>
      <c r="AI98" s="477"/>
      <c r="AJ98" s="478"/>
      <c r="AK98" s="467"/>
      <c r="AL98" s="464"/>
      <c r="AM98" s="464"/>
      <c r="AN98" s="459"/>
      <c r="AU98" s="785"/>
    </row>
    <row r="99" spans="1:49" s="460" customFormat="1" ht="12.75" customHeight="1">
      <c r="A99" s="462"/>
      <c r="B99" s="463"/>
      <c r="C99" s="463"/>
      <c r="D99" s="463"/>
      <c r="E99" s="2018">
        <f ca="1">SUMIF(Application!AC718:AG752,0.35,Application!G718:J752)/Application!G753+SUMIF(Application!AC718:AG752,0.4,Application!G718:J752)/Application!G753+SUMIF(Application!AC718:AG752,0.45,Application!G718:J752)/Application!G753+SUMIF(Application!AC718:AG752,0.5,Application!G718:J752)/Application!G753</f>
        <v>0</v>
      </c>
      <c r="F99" s="2019"/>
      <c r="G99" s="2019"/>
      <c r="H99" s="2019"/>
      <c r="I99" s="501"/>
      <c r="J99" s="504" t="s">
        <v>1998</v>
      </c>
      <c r="K99" s="501"/>
      <c r="L99" s="501"/>
      <c r="M99" s="501"/>
      <c r="N99" s="501"/>
      <c r="O99" s="501"/>
      <c r="P99" s="501"/>
      <c r="Q99" s="501"/>
      <c r="R99" s="477"/>
      <c r="S99" s="477"/>
      <c r="T99" s="477"/>
      <c r="U99" s="477"/>
      <c r="V99" s="477"/>
      <c r="W99" s="477"/>
      <c r="X99" s="477"/>
      <c r="Y99" s="477"/>
      <c r="Z99" s="477"/>
      <c r="AA99" s="477"/>
      <c r="AB99" s="477"/>
      <c r="AC99" s="477"/>
      <c r="AD99" s="477"/>
      <c r="AE99" s="477"/>
      <c r="AF99" s="477"/>
      <c r="AG99" s="477"/>
      <c r="AH99" s="477"/>
      <c r="AI99" s="477"/>
      <c r="AJ99" s="478"/>
      <c r="AK99" s="467"/>
      <c r="AL99" s="464"/>
      <c r="AM99" s="464"/>
      <c r="AN99" s="459"/>
      <c r="AU99" s="785"/>
    </row>
    <row r="100" spans="1:49" s="460" customFormat="1" ht="12.75" customHeight="1">
      <c r="A100" s="462"/>
      <c r="B100" s="463"/>
      <c r="C100" s="463"/>
      <c r="D100" s="463"/>
      <c r="E100" s="2016">
        <f ca="1">IF(AND(E97&lt;=0.6,OR(AND(E98&gt;=0.1,E99&gt;=0.1),AND(E98&gt;0.1,(E98+E99)&gt;=0.2))),20,0)</f>
        <v>20</v>
      </c>
      <c r="F100" s="2017"/>
      <c r="G100" s="2017"/>
      <c r="H100" s="2017"/>
      <c r="I100" s="477"/>
      <c r="J100" s="511" t="s">
        <v>1995</v>
      </c>
      <c r="K100" s="477"/>
      <c r="L100" s="477"/>
      <c r="M100" s="477"/>
      <c r="N100" s="477"/>
      <c r="O100" s="477"/>
      <c r="P100" s="477"/>
      <c r="Q100" s="477"/>
      <c r="R100" s="477"/>
      <c r="S100" s="477"/>
      <c r="T100" s="477"/>
      <c r="U100" s="477"/>
      <c r="V100" s="477"/>
      <c r="W100" s="477"/>
      <c r="X100" s="477"/>
      <c r="Y100" s="477"/>
      <c r="Z100" s="477"/>
      <c r="AA100" s="477"/>
      <c r="AB100" s="477"/>
      <c r="AC100" s="477"/>
      <c r="AD100" s="477"/>
      <c r="AE100" s="477"/>
      <c r="AF100" s="477"/>
      <c r="AG100" s="477"/>
      <c r="AH100" s="477"/>
      <c r="AI100" s="477"/>
      <c r="AJ100" s="478"/>
      <c r="AK100" s="467"/>
      <c r="AL100" s="464"/>
      <c r="AM100" s="464"/>
      <c r="AN100" s="459"/>
      <c r="AP100" s="460">
        <f ca="1">IF(B92="yes",E100,0)</f>
        <v>20</v>
      </c>
      <c r="AQ100" s="460" t="s">
        <v>1959</v>
      </c>
    </row>
    <row r="101" spans="1:49" s="460" customFormat="1" ht="12.75" customHeight="1">
      <c r="A101" s="462"/>
      <c r="B101" s="463"/>
      <c r="C101" s="463"/>
      <c r="D101" s="463"/>
      <c r="E101" s="506"/>
      <c r="F101" s="507"/>
      <c r="G101" s="507"/>
      <c r="H101" s="507"/>
      <c r="I101" s="507"/>
      <c r="J101" s="507"/>
      <c r="K101" s="507"/>
      <c r="L101" s="507"/>
      <c r="M101" s="507"/>
      <c r="N101" s="507"/>
      <c r="O101" s="507"/>
      <c r="P101" s="507"/>
      <c r="Q101" s="507"/>
      <c r="R101" s="507"/>
      <c r="S101" s="507"/>
      <c r="T101" s="507"/>
      <c r="U101" s="507"/>
      <c r="V101" s="507"/>
      <c r="W101" s="507"/>
      <c r="X101" s="507"/>
      <c r="Y101" s="507"/>
      <c r="Z101" s="507"/>
      <c r="AA101" s="507"/>
      <c r="AB101" s="507"/>
      <c r="AC101" s="507"/>
      <c r="AD101" s="507"/>
      <c r="AE101" s="508"/>
      <c r="AF101" s="508"/>
      <c r="AG101" s="508"/>
      <c r="AH101" s="508"/>
      <c r="AI101" s="508"/>
      <c r="AJ101" s="509"/>
      <c r="AK101" s="467"/>
      <c r="AL101" s="464"/>
      <c r="AM101" s="464"/>
      <c r="AN101" s="459"/>
    </row>
    <row r="102" spans="1:49" s="460" customFormat="1" ht="12.75" customHeight="1">
      <c r="A102" s="462"/>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c r="AA102" s="463"/>
      <c r="AB102" s="463"/>
      <c r="AC102" s="463"/>
      <c r="AD102" s="463"/>
      <c r="AE102" s="467"/>
      <c r="AF102" s="467"/>
      <c r="AG102" s="467"/>
      <c r="AH102" s="467"/>
      <c r="AI102" s="467"/>
      <c r="AJ102" s="467"/>
      <c r="AK102" s="467"/>
      <c r="AL102" s="464"/>
      <c r="AM102" s="464"/>
      <c r="AN102" s="459"/>
    </row>
    <row r="103" spans="1:49" s="460" customFormat="1" ht="12.75" customHeight="1">
      <c r="A103" s="485"/>
      <c r="B103" s="486"/>
      <c r="C103" s="486"/>
      <c r="D103" s="486"/>
      <c r="E103" s="486"/>
      <c r="F103" s="486"/>
      <c r="G103" s="487"/>
      <c r="H103" s="488"/>
      <c r="I103" s="488"/>
      <c r="J103" s="488"/>
      <c r="K103" s="488"/>
      <c r="L103" s="488"/>
      <c r="M103" s="488"/>
      <c r="N103" s="488"/>
      <c r="O103" s="488"/>
      <c r="P103" s="488"/>
      <c r="Q103" s="488"/>
      <c r="R103" s="488"/>
      <c r="S103" s="488"/>
      <c r="T103" s="488"/>
      <c r="U103" s="488"/>
      <c r="V103" s="488"/>
      <c r="W103" s="488"/>
      <c r="X103" s="488"/>
      <c r="Y103" s="488"/>
      <c r="Z103" s="488"/>
      <c r="AA103" s="488"/>
      <c r="AB103" s="488"/>
      <c r="AC103" s="488"/>
      <c r="AD103" s="488"/>
      <c r="AE103" s="488"/>
      <c r="AF103" s="488"/>
      <c r="AG103" s="488"/>
      <c r="AH103" s="488"/>
      <c r="AI103" s="489"/>
      <c r="AJ103" s="489" t="s">
        <v>1999</v>
      </c>
      <c r="AK103" s="2003">
        <f ca="1">MAX(AP89,AP100)</f>
        <v>20</v>
      </c>
      <c r="AL103" s="2004"/>
      <c r="AM103" s="2005"/>
      <c r="AN103" s="459"/>
    </row>
    <row r="104" spans="1:49" s="460" customFormat="1" ht="12.75" customHeight="1" thickBot="1">
      <c r="A104" s="490"/>
      <c r="B104" s="491"/>
      <c r="C104" s="492"/>
      <c r="D104" s="492"/>
      <c r="E104" s="492"/>
      <c r="F104" s="492"/>
      <c r="G104" s="492"/>
      <c r="H104" s="492"/>
      <c r="I104" s="492"/>
      <c r="J104" s="492"/>
      <c r="K104" s="492"/>
      <c r="L104" s="492"/>
      <c r="M104" s="492"/>
      <c r="N104" s="492"/>
      <c r="O104" s="492"/>
      <c r="P104" s="492"/>
      <c r="Q104" s="492"/>
      <c r="R104" s="492"/>
      <c r="S104" s="492"/>
      <c r="T104" s="492"/>
      <c r="U104" s="492"/>
      <c r="V104" s="492"/>
      <c r="W104" s="492"/>
      <c r="X104" s="492"/>
      <c r="Y104" s="492"/>
      <c r="Z104" s="492"/>
      <c r="AA104" s="492"/>
      <c r="AB104" s="492"/>
      <c r="AC104" s="492"/>
      <c r="AD104" s="492"/>
      <c r="AE104" s="492"/>
      <c r="AF104" s="492"/>
      <c r="AG104" s="492"/>
      <c r="AH104" s="492"/>
      <c r="AI104" s="492"/>
      <c r="AJ104" s="492"/>
      <c r="AK104" s="492"/>
      <c r="AL104" s="492"/>
      <c r="AM104" s="493"/>
      <c r="AN104" s="459"/>
    </row>
    <row r="105" spans="1:49" s="460" customFormat="1" ht="12.75" customHeight="1" thickTop="1">
      <c r="A105" s="494"/>
      <c r="B105" s="495"/>
      <c r="C105" s="496"/>
      <c r="D105" s="496"/>
      <c r="E105" s="496"/>
      <c r="F105" s="496"/>
      <c r="G105" s="496"/>
      <c r="H105" s="496"/>
      <c r="I105" s="497"/>
      <c r="J105" s="497"/>
      <c r="K105" s="497"/>
      <c r="L105" s="497"/>
      <c r="M105" s="497"/>
      <c r="N105" s="497"/>
      <c r="O105" s="497"/>
      <c r="P105" s="497"/>
      <c r="Q105" s="497"/>
      <c r="R105" s="494"/>
      <c r="S105" s="463"/>
      <c r="T105" s="463"/>
      <c r="U105" s="463"/>
      <c r="V105" s="463"/>
      <c r="W105" s="463"/>
      <c r="X105" s="463"/>
      <c r="Y105" s="463"/>
      <c r="Z105" s="463"/>
      <c r="AA105" s="463"/>
      <c r="AB105" s="463"/>
      <c r="AC105" s="463"/>
      <c r="AD105" s="463"/>
      <c r="AE105" s="463"/>
      <c r="AF105" s="494"/>
      <c r="AG105" s="463"/>
      <c r="AH105" s="463"/>
      <c r="AI105" s="463"/>
      <c r="AJ105" s="463"/>
      <c r="AK105" s="474"/>
      <c r="AL105" s="474"/>
      <c r="AM105" s="474"/>
      <c r="AN105" s="459"/>
    </row>
    <row r="106" spans="1:49" s="460" customFormat="1" ht="12.75" customHeight="1">
      <c r="A106" s="462" t="s">
        <v>2000</v>
      </c>
      <c r="B106" s="463" t="s">
        <v>2001</v>
      </c>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c r="AA106" s="463"/>
      <c r="AB106" s="463"/>
      <c r="AC106" s="463"/>
      <c r="AD106" s="463"/>
      <c r="AE106" s="1847" t="s">
        <v>1975</v>
      </c>
      <c r="AF106" s="1847"/>
      <c r="AG106" s="1847"/>
      <c r="AH106" s="1847"/>
      <c r="AI106" s="1847"/>
      <c r="AJ106" s="1847"/>
      <c r="AK106" s="1847"/>
      <c r="AL106" s="464"/>
      <c r="AM106" s="464"/>
      <c r="AN106" s="459"/>
      <c r="AO106" s="460" t="str">
        <f>Application!B718</f>
        <v>1 Bedroom</v>
      </c>
      <c r="AQ106" s="460">
        <f>Application!O718</f>
        <v>680</v>
      </c>
    </row>
    <row r="107" spans="1:49" s="460" customFormat="1" ht="12.75" customHeight="1">
      <c r="A107" s="464"/>
      <c r="B107" s="463" t="s">
        <v>1991</v>
      </c>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c r="AA107" s="463"/>
      <c r="AB107" s="463"/>
      <c r="AC107" s="463"/>
      <c r="AD107" s="463"/>
      <c r="AE107" s="467"/>
      <c r="AF107" s="467"/>
      <c r="AG107" s="467"/>
      <c r="AH107" s="467"/>
      <c r="AI107" s="467"/>
      <c r="AJ107" s="467"/>
      <c r="AK107" s="464"/>
      <c r="AL107" s="464"/>
      <c r="AM107" s="464"/>
      <c r="AN107" s="459"/>
      <c r="AO107" s="460" t="str">
        <f>Application!B719</f>
        <v>1 Bedroom</v>
      </c>
      <c r="AQ107" s="460">
        <f>Application!O719</f>
        <v>1460</v>
      </c>
    </row>
    <row r="108" spans="1:49" s="460" customFormat="1" ht="12.75" customHeight="1">
      <c r="A108" s="464"/>
      <c r="B108" s="463"/>
      <c r="C108" s="463"/>
      <c r="D108" s="463"/>
      <c r="E108" s="501"/>
      <c r="F108" s="501"/>
      <c r="G108" s="501"/>
      <c r="H108" s="501"/>
      <c r="I108" s="501"/>
      <c r="J108" s="501"/>
      <c r="K108" s="501"/>
      <c r="L108" s="501"/>
      <c r="M108" s="501"/>
      <c r="N108" s="501"/>
      <c r="O108" s="501"/>
      <c r="P108" s="501"/>
      <c r="Q108" s="501"/>
      <c r="R108" s="501"/>
      <c r="S108" s="501"/>
      <c r="T108" s="501"/>
      <c r="U108" s="501"/>
      <c r="V108" s="501"/>
      <c r="W108" s="501"/>
      <c r="X108" s="501"/>
      <c r="Y108" s="501"/>
      <c r="Z108" s="501"/>
      <c r="AA108" s="501"/>
      <c r="AB108" s="501"/>
      <c r="AC108" s="501"/>
      <c r="AD108" s="501"/>
      <c r="AE108" s="501"/>
      <c r="AF108" s="501"/>
      <c r="AG108" s="501"/>
      <c r="AH108" s="501"/>
      <c r="AI108" s="501"/>
      <c r="AJ108" s="501"/>
      <c r="AK108" s="464"/>
      <c r="AL108" s="464"/>
      <c r="AM108" s="464"/>
      <c r="AN108" s="459"/>
      <c r="AO108" s="460" t="str">
        <f>Application!B720</f>
        <v>1 Bedroom</v>
      </c>
      <c r="AQ108" s="460">
        <f>Application!O720</f>
        <v>1980</v>
      </c>
    </row>
    <row r="109" spans="1:49" s="460" customFormat="1" ht="12.75" customHeight="1">
      <c r="A109" s="464"/>
      <c r="B109" s="2030" t="s">
        <v>836</v>
      </c>
      <c r="C109" s="2030"/>
      <c r="D109" s="471" t="s">
        <v>1977</v>
      </c>
      <c r="E109" s="2022" t="s">
        <v>2002</v>
      </c>
      <c r="F109" s="2023"/>
      <c r="G109" s="2023"/>
      <c r="H109" s="2023"/>
      <c r="I109" s="2023"/>
      <c r="J109" s="2023"/>
      <c r="K109" s="2023"/>
      <c r="L109" s="2023"/>
      <c r="M109" s="2023"/>
      <c r="N109" s="2023"/>
      <c r="O109" s="2023"/>
      <c r="P109" s="2023"/>
      <c r="Q109" s="2023"/>
      <c r="R109" s="2023"/>
      <c r="S109" s="2023"/>
      <c r="T109" s="2023"/>
      <c r="U109" s="2023"/>
      <c r="V109" s="2023"/>
      <c r="W109" s="2023"/>
      <c r="X109" s="2023"/>
      <c r="Y109" s="2023"/>
      <c r="Z109" s="2023"/>
      <c r="AA109" s="2023"/>
      <c r="AB109" s="2023"/>
      <c r="AC109" s="2023"/>
      <c r="AD109" s="2023"/>
      <c r="AE109" s="2023"/>
      <c r="AF109" s="2023"/>
      <c r="AG109" s="2023"/>
      <c r="AH109" s="2023"/>
      <c r="AI109" s="2023"/>
      <c r="AJ109" s="2024"/>
      <c r="AK109" s="464"/>
      <c r="AL109" s="464"/>
      <c r="AM109" s="464"/>
      <c r="AN109" s="459"/>
      <c r="AO109" s="460" t="str">
        <f>Application!B721</f>
        <v>2 Bedrooms</v>
      </c>
      <c r="AQ109" s="460">
        <f>Application!O721</f>
        <v>2368</v>
      </c>
      <c r="AU109" s="460" t="s">
        <v>2003</v>
      </c>
      <c r="AV109" s="519" t="s">
        <v>2004</v>
      </c>
      <c r="AW109" s="460" t="s">
        <v>2005</v>
      </c>
    </row>
    <row r="110" spans="1:49" s="460" customFormat="1" ht="12.75" customHeight="1">
      <c r="A110" s="464"/>
      <c r="B110" s="463"/>
      <c r="C110" s="463"/>
      <c r="D110" s="463"/>
      <c r="E110" s="2025"/>
      <c r="F110" s="2026"/>
      <c r="G110" s="2026"/>
      <c r="H110" s="2026"/>
      <c r="I110" s="2026"/>
      <c r="J110" s="2026"/>
      <c r="K110" s="2026"/>
      <c r="L110" s="2026"/>
      <c r="M110" s="2026"/>
      <c r="N110" s="2026"/>
      <c r="O110" s="2026"/>
      <c r="P110" s="2026"/>
      <c r="Q110" s="2026"/>
      <c r="R110" s="2026"/>
      <c r="S110" s="2026"/>
      <c r="T110" s="2026"/>
      <c r="U110" s="2026"/>
      <c r="V110" s="2026"/>
      <c r="W110" s="2026"/>
      <c r="X110" s="2026"/>
      <c r="Y110" s="2026"/>
      <c r="Z110" s="2026"/>
      <c r="AA110" s="2026"/>
      <c r="AB110" s="2026"/>
      <c r="AC110" s="2026"/>
      <c r="AD110" s="2026"/>
      <c r="AE110" s="2026"/>
      <c r="AF110" s="2026"/>
      <c r="AG110" s="2026"/>
      <c r="AH110" s="2026"/>
      <c r="AI110" s="2026"/>
      <c r="AJ110" s="2027"/>
      <c r="AK110" s="464"/>
      <c r="AL110" s="464"/>
      <c r="AM110" s="464"/>
      <c r="AN110" s="459"/>
      <c r="AO110" s="460">
        <f>Application!B722</f>
        <v>0</v>
      </c>
      <c r="AQ110" s="460">
        <f>Application!O722</f>
        <v>0</v>
      </c>
      <c r="AU110" s="780" t="str">
        <f>E118</f>
        <v>Studio/SRO</v>
      </c>
      <c r="AV110" s="460">
        <f t="array" ref="AV110">SUM(IF(Application!B718:F752="SRO/Studio",Application!G718:J752))</f>
        <v>0</v>
      </c>
      <c r="AW110" s="930">
        <f>AV110/AV116</f>
        <v>0</v>
      </c>
    </row>
    <row r="111" spans="1:49" s="460" customFormat="1" ht="12.75" customHeight="1">
      <c r="A111" s="464"/>
      <c r="B111" s="463"/>
      <c r="C111" s="463"/>
      <c r="D111" s="463"/>
      <c r="E111" s="2025"/>
      <c r="F111" s="2026"/>
      <c r="G111" s="2026"/>
      <c r="H111" s="2026"/>
      <c r="I111" s="2026"/>
      <c r="J111" s="2026"/>
      <c r="K111" s="2026"/>
      <c r="L111" s="2026"/>
      <c r="M111" s="2026"/>
      <c r="N111" s="2026"/>
      <c r="O111" s="2026"/>
      <c r="P111" s="2026"/>
      <c r="Q111" s="2026"/>
      <c r="R111" s="2026"/>
      <c r="S111" s="2026"/>
      <c r="T111" s="2026"/>
      <c r="U111" s="2026"/>
      <c r="V111" s="2026"/>
      <c r="W111" s="2026"/>
      <c r="X111" s="2026"/>
      <c r="Y111" s="2026"/>
      <c r="Z111" s="2026"/>
      <c r="AA111" s="2026"/>
      <c r="AB111" s="2026"/>
      <c r="AC111" s="2026"/>
      <c r="AD111" s="2026"/>
      <c r="AE111" s="2026"/>
      <c r="AF111" s="2026"/>
      <c r="AG111" s="2026"/>
      <c r="AH111" s="2026"/>
      <c r="AI111" s="2026"/>
      <c r="AJ111" s="2027"/>
      <c r="AK111" s="464"/>
      <c r="AL111" s="464"/>
      <c r="AM111" s="464"/>
      <c r="AN111" s="459"/>
      <c r="AO111" s="460">
        <f>Application!B723</f>
        <v>0</v>
      </c>
      <c r="AQ111" s="460">
        <f>Application!O723</f>
        <v>0</v>
      </c>
      <c r="AU111" s="780" t="str">
        <f>J118</f>
        <v>1-bedroom</v>
      </c>
      <c r="AV111" s="460">
        <f t="array" ref="AV111">SUM(IF(Application!B718:F752="1 Bedroom",Application!G718:J752))</f>
        <v>97</v>
      </c>
      <c r="AW111" s="930">
        <f>AV111/AV116</f>
        <v>0.97</v>
      </c>
    </row>
    <row r="112" spans="1:49" s="460" customFormat="1" ht="12.75" customHeight="1">
      <c r="A112" s="464"/>
      <c r="B112" s="463"/>
      <c r="C112" s="463"/>
      <c r="D112" s="463"/>
      <c r="E112" s="2025"/>
      <c r="F112" s="2026"/>
      <c r="G112" s="2026"/>
      <c r="H112" s="2026"/>
      <c r="I112" s="2026"/>
      <c r="J112" s="2026"/>
      <c r="K112" s="2026"/>
      <c r="L112" s="2026"/>
      <c r="M112" s="2026"/>
      <c r="N112" s="2026"/>
      <c r="O112" s="2026"/>
      <c r="P112" s="2026"/>
      <c r="Q112" s="2026"/>
      <c r="R112" s="2026"/>
      <c r="S112" s="2026"/>
      <c r="T112" s="2026"/>
      <c r="U112" s="2026"/>
      <c r="V112" s="2026"/>
      <c r="W112" s="2026"/>
      <c r="X112" s="2026"/>
      <c r="Y112" s="2026"/>
      <c r="Z112" s="2026"/>
      <c r="AA112" s="2026"/>
      <c r="AB112" s="2026"/>
      <c r="AC112" s="2026"/>
      <c r="AD112" s="2026"/>
      <c r="AE112" s="2026"/>
      <c r="AF112" s="2026"/>
      <c r="AG112" s="2026"/>
      <c r="AH112" s="2026"/>
      <c r="AI112" s="2026"/>
      <c r="AJ112" s="2027"/>
      <c r="AK112" s="464"/>
      <c r="AL112" s="464"/>
      <c r="AM112" s="464"/>
      <c r="AN112" s="459"/>
      <c r="AO112" s="460">
        <f>Application!B724</f>
        <v>0</v>
      </c>
      <c r="AQ112" s="460">
        <f>Application!O724</f>
        <v>0</v>
      </c>
      <c r="AU112" s="780" t="str">
        <f>O118</f>
        <v>2-bedroom</v>
      </c>
      <c r="AV112" s="460">
        <f t="array" ref="AV112">SUM(IF(Application!B718:F752="2 Bedrooms",Application!G718:J752))</f>
        <v>3</v>
      </c>
      <c r="AW112" s="930">
        <f>AV112/AV116</f>
        <v>0.03</v>
      </c>
    </row>
    <row r="113" spans="1:52" s="460" customFormat="1" ht="12.75" customHeight="1">
      <c r="A113" s="464"/>
      <c r="B113" s="463"/>
      <c r="C113" s="463"/>
      <c r="D113" s="463"/>
      <c r="E113" s="2025"/>
      <c r="F113" s="2026"/>
      <c r="G113" s="2026"/>
      <c r="H113" s="2026"/>
      <c r="I113" s="2026"/>
      <c r="J113" s="2026"/>
      <c r="K113" s="2026"/>
      <c r="L113" s="2026"/>
      <c r="M113" s="2026"/>
      <c r="N113" s="2026"/>
      <c r="O113" s="2026"/>
      <c r="P113" s="2026"/>
      <c r="Q113" s="2026"/>
      <c r="R113" s="2026"/>
      <c r="S113" s="2026"/>
      <c r="T113" s="2026"/>
      <c r="U113" s="2026"/>
      <c r="V113" s="2026"/>
      <c r="W113" s="2026"/>
      <c r="X113" s="2026"/>
      <c r="Y113" s="2026"/>
      <c r="Z113" s="2026"/>
      <c r="AA113" s="2026"/>
      <c r="AB113" s="2026"/>
      <c r="AC113" s="2026"/>
      <c r="AD113" s="2026"/>
      <c r="AE113" s="2026"/>
      <c r="AF113" s="2026"/>
      <c r="AG113" s="2026"/>
      <c r="AH113" s="2026"/>
      <c r="AI113" s="2026"/>
      <c r="AJ113" s="2027"/>
      <c r="AK113" s="464"/>
      <c r="AL113" s="464"/>
      <c r="AM113" s="464"/>
      <c r="AN113" s="459"/>
      <c r="AO113" s="460">
        <f>Application!B725</f>
        <v>0</v>
      </c>
      <c r="AQ113" s="460">
        <f>Application!O725</f>
        <v>0</v>
      </c>
      <c r="AU113" s="780" t="str">
        <f>T118</f>
        <v>3-bedroom</v>
      </c>
      <c r="AV113" s="460">
        <f t="array" ref="AV113">SUM(IF(Application!B718:F752="3 Bedrooms",Application!G718:J752))</f>
        <v>0</v>
      </c>
      <c r="AW113" s="930">
        <f>AV113/AV116</f>
        <v>0</v>
      </c>
    </row>
    <row r="114" spans="1:52" s="460" customFormat="1" ht="12.75" customHeight="1">
      <c r="A114" s="464"/>
      <c r="B114" s="463"/>
      <c r="C114" s="463"/>
      <c r="D114" s="463"/>
      <c r="E114" s="2025"/>
      <c r="F114" s="2026"/>
      <c r="G114" s="2026"/>
      <c r="H114" s="2026"/>
      <c r="I114" s="2026"/>
      <c r="J114" s="2026"/>
      <c r="K114" s="2026"/>
      <c r="L114" s="2026"/>
      <c r="M114" s="2026"/>
      <c r="N114" s="2026"/>
      <c r="O114" s="2026"/>
      <c r="P114" s="2026"/>
      <c r="Q114" s="2026"/>
      <c r="R114" s="2026"/>
      <c r="S114" s="2026"/>
      <c r="T114" s="2026"/>
      <c r="U114" s="2026"/>
      <c r="V114" s="2026"/>
      <c r="W114" s="2026"/>
      <c r="X114" s="2026"/>
      <c r="Y114" s="2026"/>
      <c r="Z114" s="2026"/>
      <c r="AA114" s="2026"/>
      <c r="AB114" s="2026"/>
      <c r="AC114" s="2026"/>
      <c r="AD114" s="2026"/>
      <c r="AE114" s="2026"/>
      <c r="AF114" s="2026"/>
      <c r="AG114" s="2026"/>
      <c r="AH114" s="2026"/>
      <c r="AI114" s="2026"/>
      <c r="AJ114" s="2027"/>
      <c r="AK114" s="464"/>
      <c r="AL114" s="464"/>
      <c r="AM114" s="464"/>
      <c r="AN114" s="459"/>
      <c r="AO114" s="460">
        <f>Application!B726</f>
        <v>0</v>
      </c>
      <c r="AQ114" s="460">
        <f>Application!O726</f>
        <v>0</v>
      </c>
      <c r="AU114" s="780" t="str">
        <f>Y118</f>
        <v>4-bedroom</v>
      </c>
      <c r="AV114" s="460">
        <f t="array" ref="AV114">SUM(IF(Application!B718:F752="4 Bedrooms",Application!G718:J752))</f>
        <v>0</v>
      </c>
      <c r="AW114" s="930">
        <f>AV114/AV116</f>
        <v>0</v>
      </c>
    </row>
    <row r="115" spans="1:52" s="460" customFormat="1" ht="12.75" customHeight="1">
      <c r="A115" s="464"/>
      <c r="B115" s="463"/>
      <c r="C115" s="463"/>
      <c r="D115" s="463"/>
      <c r="E115" s="2025"/>
      <c r="F115" s="2026"/>
      <c r="G115" s="2026"/>
      <c r="H115" s="2026"/>
      <c r="I115" s="2026"/>
      <c r="J115" s="2026"/>
      <c r="K115" s="2026"/>
      <c r="L115" s="2026"/>
      <c r="M115" s="2026"/>
      <c r="N115" s="2026"/>
      <c r="O115" s="2026"/>
      <c r="P115" s="2026"/>
      <c r="Q115" s="2026"/>
      <c r="R115" s="2026"/>
      <c r="S115" s="2026"/>
      <c r="T115" s="2026"/>
      <c r="U115" s="2026"/>
      <c r="V115" s="2026"/>
      <c r="W115" s="2026"/>
      <c r="X115" s="2026"/>
      <c r="Y115" s="2026"/>
      <c r="Z115" s="2026"/>
      <c r="AA115" s="2026"/>
      <c r="AB115" s="2026"/>
      <c r="AC115" s="2026"/>
      <c r="AD115" s="2026"/>
      <c r="AE115" s="2026"/>
      <c r="AF115" s="2026"/>
      <c r="AG115" s="2026"/>
      <c r="AH115" s="2026"/>
      <c r="AI115" s="2026"/>
      <c r="AJ115" s="2027"/>
      <c r="AK115" s="464"/>
      <c r="AL115" s="464"/>
      <c r="AM115" s="464"/>
      <c r="AN115" s="459"/>
      <c r="AO115" s="460">
        <f>Application!B727</f>
        <v>0</v>
      </c>
      <c r="AQ115" s="460">
        <f>Application!O727</f>
        <v>0</v>
      </c>
      <c r="AU115" s="780" t="str">
        <f>AD118</f>
        <v>5-bedroom</v>
      </c>
      <c r="AV115" s="460">
        <f t="array" ref="AV115">SUM(IF(Application!B718:F752="5 Bedrooms",Application!G718:J752))</f>
        <v>0</v>
      </c>
      <c r="AW115" s="930">
        <f>AV115/AV116</f>
        <v>0</v>
      </c>
    </row>
    <row r="116" spans="1:52" s="460" customFormat="1" ht="12.75" customHeight="1">
      <c r="A116" s="464"/>
      <c r="B116" s="463"/>
      <c r="C116" s="463"/>
      <c r="D116" s="463"/>
      <c r="E116" s="2025"/>
      <c r="F116" s="2026"/>
      <c r="G116" s="2026"/>
      <c r="H116" s="2026"/>
      <c r="I116" s="2026"/>
      <c r="J116" s="2026"/>
      <c r="K116" s="2026"/>
      <c r="L116" s="2026"/>
      <c r="M116" s="2026"/>
      <c r="N116" s="2026"/>
      <c r="O116" s="2026"/>
      <c r="P116" s="2026"/>
      <c r="Q116" s="2026"/>
      <c r="R116" s="2026"/>
      <c r="S116" s="2026"/>
      <c r="T116" s="2026"/>
      <c r="U116" s="2026"/>
      <c r="V116" s="2026"/>
      <c r="W116" s="2026"/>
      <c r="X116" s="2026"/>
      <c r="Y116" s="2026"/>
      <c r="Z116" s="2026"/>
      <c r="AA116" s="2026"/>
      <c r="AB116" s="2026"/>
      <c r="AC116" s="2026"/>
      <c r="AD116" s="2026"/>
      <c r="AE116" s="2026"/>
      <c r="AF116" s="2026"/>
      <c r="AG116" s="2026"/>
      <c r="AH116" s="2026"/>
      <c r="AI116" s="2026"/>
      <c r="AJ116" s="2027"/>
      <c r="AK116" s="464"/>
      <c r="AL116" s="464"/>
      <c r="AM116" s="464"/>
      <c r="AN116" s="459"/>
      <c r="AO116" s="460">
        <f>Application!B728</f>
        <v>0</v>
      </c>
      <c r="AQ116" s="460">
        <f>Application!O728</f>
        <v>0</v>
      </c>
      <c r="AV116" s="460">
        <f>SUM(AV110:AV115)</f>
        <v>100</v>
      </c>
      <c r="AW116" s="930">
        <f>SUM(AW110:AW115)</f>
        <v>1</v>
      </c>
    </row>
    <row r="117" spans="1:52" s="460" customFormat="1" ht="12.75" customHeight="1">
      <c r="A117" s="464"/>
      <c r="B117" s="463"/>
      <c r="C117" s="463"/>
      <c r="D117" s="463"/>
      <c r="E117" s="510"/>
      <c r="F117" s="477"/>
      <c r="G117" s="477"/>
      <c r="H117" s="477"/>
      <c r="I117" s="477"/>
      <c r="J117" s="477"/>
      <c r="K117" s="477"/>
      <c r="L117" s="477"/>
      <c r="M117" s="477"/>
      <c r="N117" s="477"/>
      <c r="O117" s="477"/>
      <c r="P117" s="477"/>
      <c r="Q117" s="477"/>
      <c r="R117" s="477"/>
      <c r="S117" s="477"/>
      <c r="T117" s="477"/>
      <c r="U117" s="477"/>
      <c r="V117" s="477"/>
      <c r="W117" s="477"/>
      <c r="X117" s="477"/>
      <c r="Y117" s="477"/>
      <c r="Z117" s="477"/>
      <c r="AA117" s="477"/>
      <c r="AB117" s="477"/>
      <c r="AC117" s="477"/>
      <c r="AD117" s="477"/>
      <c r="AE117" s="477"/>
      <c r="AF117" s="477"/>
      <c r="AG117" s="477"/>
      <c r="AH117" s="477"/>
      <c r="AI117" s="477"/>
      <c r="AJ117" s="478"/>
      <c r="AK117" s="464"/>
      <c r="AL117" s="464"/>
      <c r="AM117" s="464"/>
      <c r="AN117" s="459"/>
      <c r="AO117" s="460">
        <f>Application!B729</f>
        <v>0</v>
      </c>
      <c r="AQ117" s="460">
        <f>Application!O729</f>
        <v>0</v>
      </c>
    </row>
    <row r="118" spans="1:52" s="460" customFormat="1" ht="12.75" customHeight="1">
      <c r="A118" s="464"/>
      <c r="B118" s="463"/>
      <c r="C118" s="464"/>
      <c r="D118" s="464"/>
      <c r="E118" s="2018" t="s">
        <v>2006</v>
      </c>
      <c r="F118" s="2019"/>
      <c r="G118" s="2019"/>
      <c r="H118" s="2019"/>
      <c r="I118" s="501"/>
      <c r="J118" s="2019" t="s">
        <v>2007</v>
      </c>
      <c r="K118" s="2019"/>
      <c r="L118" s="2019"/>
      <c r="M118" s="2019"/>
      <c r="N118" s="501"/>
      <c r="O118" s="2019" t="s">
        <v>2008</v>
      </c>
      <c r="P118" s="2019"/>
      <c r="Q118" s="2019"/>
      <c r="R118" s="2019"/>
      <c r="S118" s="501"/>
      <c r="T118" s="2019" t="s">
        <v>2009</v>
      </c>
      <c r="U118" s="2019"/>
      <c r="V118" s="2019"/>
      <c r="W118" s="2019"/>
      <c r="X118" s="501"/>
      <c r="Y118" s="2019" t="s">
        <v>2010</v>
      </c>
      <c r="Z118" s="2019"/>
      <c r="AA118" s="2019"/>
      <c r="AB118" s="2019"/>
      <c r="AC118" s="501"/>
      <c r="AD118" s="2019" t="s">
        <v>2011</v>
      </c>
      <c r="AE118" s="2019"/>
      <c r="AF118" s="2019"/>
      <c r="AG118" s="2019"/>
      <c r="AH118" s="501"/>
      <c r="AI118" s="501"/>
      <c r="AJ118" s="503"/>
      <c r="AK118" s="464"/>
      <c r="AL118" s="464"/>
      <c r="AM118" s="464"/>
      <c r="AN118" s="459"/>
      <c r="AO118" s="460">
        <f>Application!B730</f>
        <v>0</v>
      </c>
      <c r="AQ118" s="460">
        <f>Application!O730</f>
        <v>0</v>
      </c>
    </row>
    <row r="119" spans="1:52" s="460" customFormat="1" ht="12.75" customHeight="1">
      <c r="A119" s="464"/>
      <c r="B119" s="463"/>
      <c r="C119" s="464"/>
      <c r="D119" s="464"/>
      <c r="E119" s="788"/>
      <c r="F119" s="786"/>
      <c r="G119" s="786"/>
      <c r="H119" s="786"/>
      <c r="I119" s="501"/>
      <c r="J119" s="786"/>
      <c r="K119" s="786"/>
      <c r="L119" s="786"/>
      <c r="M119" s="786"/>
      <c r="N119" s="501"/>
      <c r="O119" s="786"/>
      <c r="P119" s="786"/>
      <c r="Q119" s="786"/>
      <c r="R119" s="786"/>
      <c r="S119" s="501"/>
      <c r="T119" s="786"/>
      <c r="U119" s="786"/>
      <c r="V119" s="786"/>
      <c r="W119" s="786"/>
      <c r="X119" s="501"/>
      <c r="Y119" s="786"/>
      <c r="Z119" s="786"/>
      <c r="AA119" s="786"/>
      <c r="AB119" s="786"/>
      <c r="AC119" s="501"/>
      <c r="AD119" s="786"/>
      <c r="AE119" s="786"/>
      <c r="AF119" s="786"/>
      <c r="AG119" s="786"/>
      <c r="AH119" s="501"/>
      <c r="AI119" s="501"/>
      <c r="AJ119" s="503"/>
      <c r="AK119" s="464"/>
      <c r="AL119" s="464"/>
      <c r="AM119" s="464"/>
      <c r="AN119" s="459"/>
      <c r="AO119" s="460">
        <f>Application!B731</f>
        <v>0</v>
      </c>
      <c r="AQ119" s="460">
        <f>Application!O731</f>
        <v>0</v>
      </c>
    </row>
    <row r="120" spans="1:52" s="460" customFormat="1" ht="12.75" customHeight="1">
      <c r="A120" s="464"/>
      <c r="B120" s="463"/>
      <c r="C120" s="464"/>
      <c r="D120" s="464"/>
      <c r="E120" s="789" t="s">
        <v>2012</v>
      </c>
      <c r="F120" s="786"/>
      <c r="G120" s="786"/>
      <c r="H120" s="786"/>
      <c r="I120" s="501"/>
      <c r="J120" s="786"/>
      <c r="K120" s="786"/>
      <c r="L120" s="786"/>
      <c r="M120" s="786"/>
      <c r="N120" s="501"/>
      <c r="O120" s="786"/>
      <c r="P120" s="786"/>
      <c r="Q120" s="786"/>
      <c r="R120" s="786"/>
      <c r="S120" s="501"/>
      <c r="T120" s="786"/>
      <c r="U120" s="786"/>
      <c r="V120" s="786"/>
      <c r="W120" s="786"/>
      <c r="X120" s="501"/>
      <c r="Y120" s="786"/>
      <c r="Z120" s="786"/>
      <c r="AA120" s="786"/>
      <c r="AB120" s="786"/>
      <c r="AC120" s="501"/>
      <c r="AD120" s="786"/>
      <c r="AE120" s="786"/>
      <c r="AF120" s="786"/>
      <c r="AG120" s="786"/>
      <c r="AH120" s="501"/>
      <c r="AI120" s="501"/>
      <c r="AJ120" s="503"/>
      <c r="AK120" s="464"/>
      <c r="AL120" s="464"/>
      <c r="AM120" s="464"/>
      <c r="AN120" s="459"/>
      <c r="AO120" s="460">
        <f>Application!B732</f>
        <v>0</v>
      </c>
      <c r="AQ120" s="460">
        <f>Application!O732</f>
        <v>0</v>
      </c>
    </row>
    <row r="121" spans="1:52" s="460" customFormat="1" ht="12.75" customHeight="1">
      <c r="A121" s="464"/>
      <c r="B121" s="463"/>
      <c r="C121" s="464"/>
      <c r="D121" s="464"/>
      <c r="E121" s="2020"/>
      <c r="F121" s="2021"/>
      <c r="G121" s="2021"/>
      <c r="H121" s="2021"/>
      <c r="I121" s="787"/>
      <c r="J121" s="2021">
        <v>3262</v>
      </c>
      <c r="K121" s="2021"/>
      <c r="L121" s="2021"/>
      <c r="M121" s="2021"/>
      <c r="N121" s="787"/>
      <c r="O121" s="2021">
        <v>4124</v>
      </c>
      <c r="P121" s="2021"/>
      <c r="Q121" s="2021"/>
      <c r="R121" s="2021"/>
      <c r="S121" s="787"/>
      <c r="T121" s="2021"/>
      <c r="U121" s="2021"/>
      <c r="V121" s="2021"/>
      <c r="W121" s="2021"/>
      <c r="X121" s="787"/>
      <c r="Y121" s="2021"/>
      <c r="Z121" s="2021"/>
      <c r="AA121" s="2021"/>
      <c r="AB121" s="2021"/>
      <c r="AC121" s="787"/>
      <c r="AD121" s="2021"/>
      <c r="AE121" s="2021"/>
      <c r="AF121" s="2021"/>
      <c r="AG121" s="2021"/>
      <c r="AH121" s="501"/>
      <c r="AI121" s="501"/>
      <c r="AJ121" s="503"/>
      <c r="AK121" s="464"/>
      <c r="AL121" s="464"/>
      <c r="AM121" s="464"/>
      <c r="AN121" s="459"/>
      <c r="AO121" s="460">
        <f>Application!B733</f>
        <v>0</v>
      </c>
      <c r="AQ121" s="460">
        <f>Application!O733</f>
        <v>0</v>
      </c>
    </row>
    <row r="122" spans="1:52" s="460" customFormat="1" ht="12.75" customHeight="1">
      <c r="A122" s="464"/>
      <c r="B122" s="463"/>
      <c r="C122" s="464"/>
      <c r="D122" s="464"/>
      <c r="E122" s="788"/>
      <c r="F122" s="786"/>
      <c r="G122" s="786"/>
      <c r="H122" s="786"/>
      <c r="I122" s="501"/>
      <c r="J122" s="786"/>
      <c r="K122" s="786"/>
      <c r="L122" s="786"/>
      <c r="M122" s="786"/>
      <c r="N122" s="501"/>
      <c r="O122" s="786"/>
      <c r="P122" s="786"/>
      <c r="Q122" s="786"/>
      <c r="R122" s="786"/>
      <c r="S122" s="501"/>
      <c r="T122" s="786"/>
      <c r="U122" s="786"/>
      <c r="V122" s="786"/>
      <c r="W122" s="786"/>
      <c r="X122" s="501"/>
      <c r="Y122" s="786"/>
      <c r="Z122" s="786"/>
      <c r="AA122" s="786"/>
      <c r="AB122" s="786"/>
      <c r="AC122" s="501"/>
      <c r="AD122" s="786"/>
      <c r="AE122" s="786"/>
      <c r="AF122" s="786"/>
      <c r="AG122" s="786"/>
      <c r="AH122" s="501"/>
      <c r="AI122" s="501"/>
      <c r="AJ122" s="503"/>
      <c r="AK122" s="464"/>
      <c r="AL122" s="464"/>
      <c r="AM122" s="464"/>
      <c r="AN122" s="459"/>
      <c r="AO122" s="460">
        <f>Application!B734</f>
        <v>0</v>
      </c>
      <c r="AQ122" s="460">
        <f>Application!O734</f>
        <v>0</v>
      </c>
      <c r="AU122" s="928"/>
      <c r="AV122" s="928"/>
      <c r="AW122" s="928"/>
      <c r="AX122" s="928"/>
      <c r="AY122" s="928"/>
      <c r="AZ122" s="928"/>
    </row>
    <row r="123" spans="1:52" s="460" customFormat="1" ht="12.75" customHeight="1">
      <c r="A123" s="464"/>
      <c r="B123" s="463"/>
      <c r="C123" s="464"/>
      <c r="D123" s="464"/>
      <c r="E123" s="789" t="s">
        <v>2013</v>
      </c>
      <c r="F123" s="786"/>
      <c r="G123" s="786"/>
      <c r="H123" s="786"/>
      <c r="I123" s="501"/>
      <c r="J123" s="786"/>
      <c r="K123" s="786"/>
      <c r="L123" s="786"/>
      <c r="M123" s="786"/>
      <c r="N123" s="501"/>
      <c r="O123" s="786"/>
      <c r="P123" s="786"/>
      <c r="Q123" s="786"/>
      <c r="R123" s="786"/>
      <c r="S123" s="501"/>
      <c r="T123" s="786"/>
      <c r="U123" s="786"/>
      <c r="V123" s="786"/>
      <c r="W123" s="786"/>
      <c r="X123" s="501"/>
      <c r="Y123" s="786"/>
      <c r="Z123" s="786"/>
      <c r="AA123" s="786"/>
      <c r="AB123" s="786"/>
      <c r="AC123" s="501"/>
      <c r="AD123" s="786"/>
      <c r="AE123" s="786"/>
      <c r="AF123" s="786"/>
      <c r="AG123" s="786"/>
      <c r="AH123" s="501"/>
      <c r="AI123" s="501"/>
      <c r="AJ123" s="503"/>
      <c r="AK123" s="464"/>
      <c r="AL123" s="464"/>
      <c r="AM123" s="464"/>
      <c r="AN123" s="459"/>
      <c r="AO123" s="460">
        <f>Application!B735</f>
        <v>0</v>
      </c>
      <c r="AQ123" s="460">
        <f>Application!O735</f>
        <v>0</v>
      </c>
      <c r="AU123" s="928"/>
      <c r="AV123" s="928"/>
      <c r="AW123" s="928"/>
      <c r="AX123" s="928"/>
      <c r="AY123" s="928"/>
      <c r="AZ123" s="928"/>
    </row>
    <row r="124" spans="1:52" s="460" customFormat="1" ht="12.75" customHeight="1">
      <c r="A124" s="464"/>
      <c r="B124" s="463"/>
      <c r="C124" s="464"/>
      <c r="D124" s="464"/>
      <c r="E124" s="2028">
        <f>Application!DX670</f>
        <v>0</v>
      </c>
      <c r="F124" s="2029"/>
      <c r="G124" s="2029"/>
      <c r="H124" s="2029"/>
      <c r="I124" s="787"/>
      <c r="J124" s="2029">
        <f>Application!EC670</f>
        <v>1175.8762886597938</v>
      </c>
      <c r="K124" s="2029"/>
      <c r="L124" s="2029"/>
      <c r="M124" s="2029"/>
      <c r="N124" s="787"/>
      <c r="O124" s="2029">
        <f>Application!EH670</f>
        <v>2368</v>
      </c>
      <c r="P124" s="2029"/>
      <c r="Q124" s="2029"/>
      <c r="R124" s="2029"/>
      <c r="S124" s="791"/>
      <c r="T124" s="2029">
        <f>Application!EM670</f>
        <v>0</v>
      </c>
      <c r="U124" s="2029"/>
      <c r="V124" s="2029"/>
      <c r="W124" s="2029"/>
      <c r="X124" s="791"/>
      <c r="Y124" s="2029">
        <f>Application!ER670</f>
        <v>0</v>
      </c>
      <c r="Z124" s="2029"/>
      <c r="AA124" s="2029"/>
      <c r="AB124" s="2029"/>
      <c r="AC124" s="791"/>
      <c r="AD124" s="2029">
        <f>Application!EW670</f>
        <v>0</v>
      </c>
      <c r="AE124" s="2029"/>
      <c r="AF124" s="2029"/>
      <c r="AG124" s="2029"/>
      <c r="AH124" s="501"/>
      <c r="AI124" s="501"/>
      <c r="AJ124" s="503"/>
      <c r="AK124" s="464"/>
      <c r="AL124" s="464"/>
      <c r="AM124" s="464"/>
      <c r="AN124" s="459"/>
      <c r="AO124" s="460">
        <f>Application!B736</f>
        <v>0</v>
      </c>
      <c r="AQ124" s="460">
        <f>Application!O736</f>
        <v>0</v>
      </c>
      <c r="AU124" s="928"/>
      <c r="AV124" s="928"/>
      <c r="AW124" s="929"/>
      <c r="AX124" s="929"/>
      <c r="AY124" s="928"/>
      <c r="AZ124" s="928"/>
    </row>
    <row r="125" spans="1:52" s="460" customFormat="1" ht="12.75" customHeight="1">
      <c r="A125" s="464"/>
      <c r="B125" s="463"/>
      <c r="C125" s="464"/>
      <c r="D125" s="464"/>
      <c r="E125" s="790"/>
      <c r="F125" s="786"/>
      <c r="G125" s="786"/>
      <c r="H125" s="786"/>
      <c r="I125" s="501"/>
      <c r="J125" s="504"/>
      <c r="K125" s="501"/>
      <c r="L125" s="501"/>
      <c r="M125" s="501"/>
      <c r="N125" s="501"/>
      <c r="O125" s="501"/>
      <c r="P125" s="501"/>
      <c r="Q125" s="501"/>
      <c r="R125" s="501"/>
      <c r="S125" s="501"/>
      <c r="T125" s="501"/>
      <c r="U125" s="501"/>
      <c r="V125" s="501"/>
      <c r="W125" s="501"/>
      <c r="X125" s="501"/>
      <c r="Y125" s="501"/>
      <c r="Z125" s="501"/>
      <c r="AA125" s="501"/>
      <c r="AB125" s="501"/>
      <c r="AC125" s="501"/>
      <c r="AD125" s="501"/>
      <c r="AE125" s="501"/>
      <c r="AF125" s="501"/>
      <c r="AG125" s="501"/>
      <c r="AH125" s="501"/>
      <c r="AI125" s="501"/>
      <c r="AJ125" s="503"/>
      <c r="AK125" s="464"/>
      <c r="AL125" s="464"/>
      <c r="AM125" s="464"/>
      <c r="AN125" s="459"/>
      <c r="AO125" s="460">
        <f>Application!B737</f>
        <v>0</v>
      </c>
      <c r="AQ125" s="460">
        <f>Application!O737</f>
        <v>0</v>
      </c>
      <c r="AU125" s="928"/>
      <c r="AV125" s="928"/>
      <c r="AW125" s="929"/>
      <c r="AX125" s="929"/>
      <c r="AY125" s="928"/>
      <c r="AZ125" s="928"/>
    </row>
    <row r="126" spans="1:52" s="460" customFormat="1" ht="12.75" customHeight="1">
      <c r="A126" s="464"/>
      <c r="B126" s="463"/>
      <c r="C126" s="464"/>
      <c r="D126" s="464"/>
      <c r="E126" s="789" t="s">
        <v>2014</v>
      </c>
      <c r="F126" s="786"/>
      <c r="G126" s="786"/>
      <c r="H126" s="786"/>
      <c r="I126" s="501"/>
      <c r="J126" s="504"/>
      <c r="K126" s="501"/>
      <c r="L126" s="501"/>
      <c r="M126" s="501"/>
      <c r="N126" s="501"/>
      <c r="O126" s="501"/>
      <c r="P126" s="501"/>
      <c r="Q126" s="501"/>
      <c r="R126" s="501"/>
      <c r="S126" s="501"/>
      <c r="T126" s="501"/>
      <c r="U126" s="501"/>
      <c r="V126" s="501"/>
      <c r="W126" s="501"/>
      <c r="X126" s="501"/>
      <c r="Y126" s="501"/>
      <c r="Z126" s="501"/>
      <c r="AA126" s="501"/>
      <c r="AB126" s="501"/>
      <c r="AC126" s="501"/>
      <c r="AD126" s="501"/>
      <c r="AE126" s="501"/>
      <c r="AF126" s="501"/>
      <c r="AG126" s="501"/>
      <c r="AH126" s="501"/>
      <c r="AI126" s="501"/>
      <c r="AJ126" s="503"/>
      <c r="AK126" s="464"/>
      <c r="AL126" s="464"/>
      <c r="AM126" s="464"/>
      <c r="AN126" s="459"/>
      <c r="AO126" s="460">
        <f>Application!B738</f>
        <v>0</v>
      </c>
      <c r="AQ126" s="460">
        <f>Application!O738</f>
        <v>0</v>
      </c>
      <c r="AU126" s="928"/>
      <c r="AV126" s="928"/>
      <c r="AW126" s="929"/>
      <c r="AX126" s="929"/>
      <c r="AY126" s="928"/>
      <c r="AZ126" s="928"/>
    </row>
    <row r="127" spans="1:52" s="460" customFormat="1" ht="12.75" customHeight="1">
      <c r="A127" s="464"/>
      <c r="B127" s="463"/>
      <c r="C127" s="464"/>
      <c r="D127" s="464"/>
      <c r="E127" s="1820" t="e">
        <f>(E121-E124)/E121</f>
        <v>#DIV/0!</v>
      </c>
      <c r="F127" s="1821"/>
      <c r="G127" s="1821"/>
      <c r="H127" s="1822"/>
      <c r="I127" s="501"/>
      <c r="J127" s="1820">
        <f>(J121-J124)/J121</f>
        <v>0.63952290353777019</v>
      </c>
      <c r="K127" s="1821"/>
      <c r="L127" s="1821"/>
      <c r="M127" s="1822"/>
      <c r="N127" s="501"/>
      <c r="O127" s="1820">
        <f>(O121-O124)/O121</f>
        <v>0.42580019398642094</v>
      </c>
      <c r="P127" s="1821"/>
      <c r="Q127" s="1821"/>
      <c r="R127" s="1822"/>
      <c r="S127" s="501"/>
      <c r="T127" s="1820" t="e">
        <f>(T121-T124)/T121</f>
        <v>#DIV/0!</v>
      </c>
      <c r="U127" s="1821"/>
      <c r="V127" s="1821"/>
      <c r="W127" s="1822"/>
      <c r="X127" s="501"/>
      <c r="Y127" s="1820" t="e">
        <f>(Y121-Y124)/Y121</f>
        <v>#DIV/0!</v>
      </c>
      <c r="Z127" s="1821"/>
      <c r="AA127" s="1821"/>
      <c r="AB127" s="1822"/>
      <c r="AC127" s="501"/>
      <c r="AD127" s="1820" t="e">
        <f>(AD121-AD124)/AD121</f>
        <v>#DIV/0!</v>
      </c>
      <c r="AE127" s="1821"/>
      <c r="AF127" s="1821"/>
      <c r="AG127" s="1822"/>
      <c r="AH127" s="501"/>
      <c r="AI127" s="501"/>
      <c r="AJ127" s="503"/>
      <c r="AK127" s="464"/>
      <c r="AL127" s="464"/>
      <c r="AM127" s="464"/>
      <c r="AN127" s="459"/>
      <c r="AO127" s="460">
        <f>Application!B739</f>
        <v>0</v>
      </c>
      <c r="AQ127" s="460">
        <f>Application!O739</f>
        <v>0</v>
      </c>
      <c r="AU127" s="928"/>
      <c r="AV127" s="928"/>
      <c r="AW127" s="929"/>
      <c r="AX127" s="929"/>
      <c r="AY127" s="928"/>
      <c r="AZ127" s="928"/>
    </row>
    <row r="128" spans="1:52" s="460" customFormat="1" ht="12.75" customHeight="1">
      <c r="A128" s="464"/>
      <c r="B128" s="463"/>
      <c r="C128" s="464"/>
      <c r="D128" s="464"/>
      <c r="E128" s="923"/>
      <c r="F128" s="922"/>
      <c r="G128" s="922"/>
      <c r="H128" s="922"/>
      <c r="I128" s="501"/>
      <c r="J128" s="922"/>
      <c r="K128" s="922"/>
      <c r="L128" s="922"/>
      <c r="M128" s="922"/>
      <c r="N128" s="501"/>
      <c r="O128" s="922"/>
      <c r="P128" s="922"/>
      <c r="Q128" s="922"/>
      <c r="R128" s="922"/>
      <c r="S128" s="501"/>
      <c r="T128" s="922"/>
      <c r="U128" s="922"/>
      <c r="V128" s="922"/>
      <c r="W128" s="922"/>
      <c r="X128" s="501"/>
      <c r="Y128" s="922"/>
      <c r="Z128" s="922"/>
      <c r="AA128" s="922"/>
      <c r="AB128" s="922"/>
      <c r="AC128" s="501"/>
      <c r="AD128" s="922"/>
      <c r="AE128" s="922"/>
      <c r="AF128" s="922"/>
      <c r="AG128" s="922"/>
      <c r="AH128" s="501"/>
      <c r="AI128" s="501"/>
      <c r="AJ128" s="503"/>
      <c r="AK128" s="464"/>
      <c r="AL128" s="464"/>
      <c r="AM128" s="464"/>
      <c r="AN128" s="459"/>
      <c r="AO128" s="460">
        <f>Application!B740</f>
        <v>0</v>
      </c>
      <c r="AQ128" s="460">
        <f>Application!O740</f>
        <v>0</v>
      </c>
      <c r="AU128" s="928"/>
      <c r="AV128" s="928"/>
      <c r="AW128" s="929"/>
      <c r="AX128" s="929"/>
      <c r="AY128" s="928"/>
      <c r="AZ128" s="928"/>
    </row>
    <row r="129" spans="1:52" s="460" customFormat="1" ht="12.75" customHeight="1">
      <c r="A129" s="464"/>
      <c r="B129" s="463"/>
      <c r="C129" s="464"/>
      <c r="D129" s="464"/>
      <c r="E129" s="924" t="s">
        <v>2015</v>
      </c>
      <c r="F129" s="922"/>
      <c r="G129" s="922"/>
      <c r="H129" s="922"/>
      <c r="I129" s="501"/>
      <c r="J129" s="922"/>
      <c r="K129" s="922"/>
      <c r="L129" s="922"/>
      <c r="M129" s="922"/>
      <c r="N129" s="501"/>
      <c r="O129" s="922"/>
      <c r="P129" s="922"/>
      <c r="Q129" s="922"/>
      <c r="R129" s="922"/>
      <c r="S129" s="501"/>
      <c r="T129" s="922"/>
      <c r="U129" s="922"/>
      <c r="V129" s="922"/>
      <c r="W129" s="922"/>
      <c r="X129" s="501"/>
      <c r="Y129" s="922"/>
      <c r="Z129" s="922"/>
      <c r="AA129" s="922"/>
      <c r="AB129" s="922"/>
      <c r="AC129" s="501"/>
      <c r="AD129" s="922"/>
      <c r="AE129" s="922"/>
      <c r="AF129" s="922"/>
      <c r="AG129" s="922"/>
      <c r="AH129" s="501"/>
      <c r="AI129" s="501"/>
      <c r="AJ129" s="503"/>
      <c r="AK129" s="464"/>
      <c r="AL129" s="464"/>
      <c r="AM129" s="464"/>
      <c r="AN129" s="459"/>
      <c r="AO129" s="460">
        <f>Application!B741</f>
        <v>0</v>
      </c>
      <c r="AQ129" s="460">
        <f>Application!O741</f>
        <v>0</v>
      </c>
      <c r="AU129" s="929"/>
      <c r="AV129" s="928"/>
      <c r="AW129" s="929"/>
      <c r="AX129" s="929"/>
      <c r="AY129" s="928"/>
      <c r="AZ129" s="928"/>
    </row>
    <row r="130" spans="1:52" s="460" customFormat="1" ht="12.75" customHeight="1">
      <c r="A130" s="464"/>
      <c r="B130" s="463"/>
      <c r="C130" s="464"/>
      <c r="D130" s="464"/>
      <c r="E130" s="2031" t="e">
        <f>IF(((E127-0.1)*AW110)&gt;0,((E127-0.1)*AW110),0)</f>
        <v>#DIV/0!</v>
      </c>
      <c r="F130" s="2032"/>
      <c r="G130" s="2032"/>
      <c r="H130" s="2033"/>
      <c r="I130" s="501"/>
      <c r="J130" s="2031">
        <f>IF(((J127-0.1)*AW111)&gt;0,((J127-0.1)*AW111),0)</f>
        <v>0.52333721643163711</v>
      </c>
      <c r="K130" s="2032"/>
      <c r="L130" s="2032"/>
      <c r="M130" s="2033"/>
      <c r="N130" s="501"/>
      <c r="O130" s="2031">
        <f>IF(((O127-0.1)*AW112)&gt;0,((O127-0.1)*AW112),0)</f>
        <v>9.7740058195926269E-3</v>
      </c>
      <c r="P130" s="2032"/>
      <c r="Q130" s="2032"/>
      <c r="R130" s="2033"/>
      <c r="S130" s="501"/>
      <c r="T130" s="2031" t="e">
        <f>IF(((T127-0.1)*AW113)&gt;0,((T127-0.1)*AW113),0)</f>
        <v>#DIV/0!</v>
      </c>
      <c r="U130" s="2032"/>
      <c r="V130" s="2032"/>
      <c r="W130" s="2033"/>
      <c r="X130" s="501"/>
      <c r="Y130" s="2031" t="e">
        <f>IF(((Y127-0.1)*AW114)&gt;0,((Y127-0.1)*AW114),0)</f>
        <v>#DIV/0!</v>
      </c>
      <c r="Z130" s="2032"/>
      <c r="AA130" s="2032"/>
      <c r="AB130" s="2033"/>
      <c r="AC130" s="501"/>
      <c r="AD130" s="2031" t="e">
        <f>IF(((AD127-0.1)*AW115)&gt;0,((AD127-0.1)*AW115),0)</f>
        <v>#DIV/0!</v>
      </c>
      <c r="AE130" s="2032"/>
      <c r="AF130" s="2032"/>
      <c r="AG130" s="2033"/>
      <c r="AH130" s="501"/>
      <c r="AI130" s="501"/>
      <c r="AJ130" s="503"/>
      <c r="AK130" s="464"/>
      <c r="AL130" s="464"/>
      <c r="AM130" s="464"/>
      <c r="AN130" s="459"/>
      <c r="AO130" s="460">
        <f>Application!B752</f>
        <v>0</v>
      </c>
      <c r="AQ130" s="460">
        <f>Application!O752</f>
        <v>0</v>
      </c>
      <c r="AU130" s="928"/>
      <c r="AV130" s="928"/>
      <c r="AW130" s="928"/>
      <c r="AX130" s="929"/>
      <c r="AY130" s="928"/>
      <c r="AZ130" s="928"/>
    </row>
    <row r="131" spans="1:52" s="460" customFormat="1" ht="12.75" customHeight="1">
      <c r="A131" s="464"/>
      <c r="B131" s="463"/>
      <c r="C131" s="464"/>
      <c r="D131" s="464"/>
      <c r="E131" s="790"/>
      <c r="F131" s="786"/>
      <c r="G131" s="786"/>
      <c r="H131" s="786"/>
      <c r="I131" s="501"/>
      <c r="J131" s="504"/>
      <c r="K131" s="501"/>
      <c r="L131" s="501"/>
      <c r="M131" s="501"/>
      <c r="N131" s="501"/>
      <c r="O131" s="501"/>
      <c r="P131" s="501"/>
      <c r="Q131" s="501"/>
      <c r="R131" s="501"/>
      <c r="S131" s="501"/>
      <c r="T131" s="501"/>
      <c r="U131" s="501"/>
      <c r="V131" s="501"/>
      <c r="W131" s="501"/>
      <c r="X131" s="501"/>
      <c r="Y131" s="501"/>
      <c r="Z131" s="501"/>
      <c r="AA131" s="501"/>
      <c r="AB131" s="501"/>
      <c r="AC131" s="501"/>
      <c r="AD131" s="501"/>
      <c r="AE131" s="501"/>
      <c r="AF131" s="501"/>
      <c r="AG131" s="501"/>
      <c r="AH131" s="501"/>
      <c r="AI131" s="501"/>
      <c r="AJ131" s="503"/>
      <c r="AK131" s="464"/>
      <c r="AL131" s="464"/>
      <c r="AM131" s="464"/>
      <c r="AN131" s="459"/>
      <c r="AU131" s="928"/>
      <c r="AV131" s="928"/>
      <c r="AW131" s="928"/>
      <c r="AX131" s="928"/>
      <c r="AY131" s="928"/>
      <c r="AZ131" s="928"/>
    </row>
    <row r="132" spans="1:52" s="460" customFormat="1" ht="12.75" customHeight="1">
      <c r="A132" s="464"/>
      <c r="B132" s="463"/>
      <c r="C132" s="464"/>
      <c r="D132" s="464"/>
      <c r="E132" s="1820">
        <f>ROUNDDOWN(SUMIF(E130:AG130,"&gt;0"),2)</f>
        <v>0.53</v>
      </c>
      <c r="F132" s="1821"/>
      <c r="G132" s="1821"/>
      <c r="H132" s="1822"/>
      <c r="I132" s="501"/>
      <c r="J132" s="504" t="s">
        <v>2016</v>
      </c>
      <c r="K132" s="501"/>
      <c r="L132" s="501"/>
      <c r="M132" s="501"/>
      <c r="N132" s="501"/>
      <c r="O132" s="501"/>
      <c r="P132" s="501"/>
      <c r="Q132" s="501"/>
      <c r="R132" s="501"/>
      <c r="S132" s="501"/>
      <c r="T132" s="501"/>
      <c r="U132" s="501"/>
      <c r="V132" s="501"/>
      <c r="W132" s="501"/>
      <c r="X132" s="501"/>
      <c r="Y132" s="501"/>
      <c r="Z132" s="501"/>
      <c r="AA132" s="501"/>
      <c r="AB132" s="501"/>
      <c r="AC132" s="501"/>
      <c r="AD132" s="792"/>
      <c r="AE132" s="792"/>
      <c r="AF132" s="792"/>
      <c r="AG132" s="792"/>
      <c r="AH132" s="501"/>
      <c r="AI132" s="501"/>
      <c r="AJ132" s="503"/>
      <c r="AK132" s="464"/>
      <c r="AL132" s="464"/>
      <c r="AM132" s="464"/>
      <c r="AN132" s="459"/>
      <c r="AU132" s="928"/>
      <c r="AV132" s="928"/>
      <c r="AW132" s="928"/>
      <c r="AX132" s="929"/>
      <c r="AY132" s="928"/>
      <c r="AZ132" s="928"/>
    </row>
    <row r="133" spans="1:52" s="460" customFormat="1" ht="12.75" customHeight="1">
      <c r="A133" s="464"/>
      <c r="B133" s="463"/>
      <c r="C133" s="464"/>
      <c r="D133" s="464"/>
      <c r="E133" s="2003">
        <f>IF((E132*100)&gt;10,10,E132*100)</f>
        <v>10</v>
      </c>
      <c r="F133" s="2004"/>
      <c r="G133" s="2004"/>
      <c r="H133" s="2005"/>
      <c r="I133" s="501"/>
      <c r="J133" s="504" t="s">
        <v>1995</v>
      </c>
      <c r="K133" s="501"/>
      <c r="L133" s="501"/>
      <c r="M133" s="501"/>
      <c r="N133" s="501"/>
      <c r="O133" s="501"/>
      <c r="P133" s="501"/>
      <c r="Q133" s="501"/>
      <c r="R133" s="501"/>
      <c r="S133" s="501"/>
      <c r="T133" s="501"/>
      <c r="U133" s="501"/>
      <c r="V133" s="501"/>
      <c r="W133" s="501"/>
      <c r="X133" s="501"/>
      <c r="Y133" s="501"/>
      <c r="Z133" s="501"/>
      <c r="AA133" s="501"/>
      <c r="AB133" s="501"/>
      <c r="AC133" s="501"/>
      <c r="AD133" s="501"/>
      <c r="AE133" s="501"/>
      <c r="AF133" s="501"/>
      <c r="AG133" s="501"/>
      <c r="AH133" s="501"/>
      <c r="AI133" s="501"/>
      <c r="AJ133" s="503"/>
      <c r="AK133" s="464"/>
      <c r="AL133" s="464"/>
      <c r="AM133" s="464"/>
      <c r="AN133" s="459"/>
      <c r="AU133" s="928"/>
      <c r="AV133" s="928"/>
      <c r="AW133" s="928"/>
      <c r="AX133" s="928"/>
      <c r="AY133" s="928"/>
      <c r="AZ133" s="928"/>
    </row>
    <row r="134" spans="1:52" s="460" customFormat="1" ht="12.75" customHeight="1">
      <c r="A134" s="464"/>
      <c r="B134" s="464"/>
      <c r="C134" s="464"/>
      <c r="D134" s="464"/>
      <c r="E134" s="512"/>
      <c r="F134" s="513"/>
      <c r="G134" s="513"/>
      <c r="H134" s="513"/>
      <c r="I134" s="513"/>
      <c r="J134" s="513"/>
      <c r="K134" s="513"/>
      <c r="L134" s="513"/>
      <c r="M134" s="513"/>
      <c r="N134" s="513"/>
      <c r="O134" s="513"/>
      <c r="P134" s="513"/>
      <c r="Q134" s="513"/>
      <c r="R134" s="513"/>
      <c r="S134" s="513"/>
      <c r="T134" s="513"/>
      <c r="U134" s="513"/>
      <c r="V134" s="513"/>
      <c r="W134" s="513"/>
      <c r="X134" s="513"/>
      <c r="Y134" s="513"/>
      <c r="Z134" s="513"/>
      <c r="AA134" s="513"/>
      <c r="AB134" s="513"/>
      <c r="AC134" s="513"/>
      <c r="AD134" s="513"/>
      <c r="AE134" s="513"/>
      <c r="AF134" s="513"/>
      <c r="AG134" s="513"/>
      <c r="AH134" s="513"/>
      <c r="AI134" s="513"/>
      <c r="AJ134" s="514"/>
      <c r="AK134" s="464"/>
      <c r="AL134" s="464"/>
      <c r="AM134" s="464"/>
      <c r="AN134" s="459"/>
      <c r="AT134" s="921"/>
      <c r="AU134" s="928"/>
      <c r="AV134" s="928"/>
      <c r="AW134" s="929"/>
      <c r="AX134" s="928"/>
      <c r="AY134" s="928"/>
      <c r="AZ134" s="928"/>
    </row>
    <row r="135" spans="1:52" s="460" customFormat="1" ht="12.75" customHeight="1">
      <c r="A135" s="464"/>
      <c r="B135" s="464"/>
      <c r="C135" s="464"/>
      <c r="D135" s="464"/>
      <c r="E135" s="464"/>
      <c r="F135" s="464"/>
      <c r="G135" s="464"/>
      <c r="H135" s="464"/>
      <c r="I135" s="464"/>
      <c r="J135" s="464"/>
      <c r="K135" s="464"/>
      <c r="L135" s="464"/>
      <c r="M135" s="464"/>
      <c r="N135" s="464"/>
      <c r="O135" s="464"/>
      <c r="P135" s="464"/>
      <c r="Q135" s="464"/>
      <c r="R135" s="464"/>
      <c r="S135" s="464"/>
      <c r="T135" s="464"/>
      <c r="U135" s="464"/>
      <c r="V135" s="464"/>
      <c r="W135" s="464"/>
      <c r="X135" s="464"/>
      <c r="Y135" s="464"/>
      <c r="Z135" s="464"/>
      <c r="AA135" s="464"/>
      <c r="AB135" s="464"/>
      <c r="AC135" s="464"/>
      <c r="AD135" s="464"/>
      <c r="AE135" s="464"/>
      <c r="AF135" s="464"/>
      <c r="AG135" s="464"/>
      <c r="AH135" s="464"/>
      <c r="AI135" s="464"/>
      <c r="AJ135" s="464"/>
      <c r="AK135" s="464"/>
      <c r="AL135" s="464"/>
      <c r="AM135" s="464"/>
      <c r="AN135" s="459"/>
      <c r="AU135" s="928"/>
      <c r="AV135" s="928"/>
      <c r="AW135" s="928"/>
      <c r="AX135" s="928"/>
      <c r="AY135" s="928"/>
      <c r="AZ135" s="928"/>
    </row>
    <row r="136" spans="1:52" s="460" customFormat="1" ht="12.75" customHeight="1">
      <c r="A136" s="464"/>
      <c r="B136" s="464"/>
      <c r="C136" s="464"/>
      <c r="D136" s="464"/>
      <c r="E136" s="464"/>
      <c r="F136" s="464"/>
      <c r="G136" s="464"/>
      <c r="H136" s="464"/>
      <c r="I136" s="464"/>
      <c r="J136" s="464"/>
      <c r="K136" s="464"/>
      <c r="L136" s="464"/>
      <c r="M136" s="464"/>
      <c r="N136" s="464"/>
      <c r="O136" s="464"/>
      <c r="P136" s="464"/>
      <c r="Q136" s="464"/>
      <c r="R136" s="464"/>
      <c r="S136" s="464"/>
      <c r="T136" s="464"/>
      <c r="U136" s="464"/>
      <c r="V136" s="464"/>
      <c r="W136" s="464"/>
      <c r="X136" s="464"/>
      <c r="Y136" s="464"/>
      <c r="Z136" s="464"/>
      <c r="AA136" s="464"/>
      <c r="AB136" s="464"/>
      <c r="AC136" s="464"/>
      <c r="AD136" s="464"/>
      <c r="AE136" s="464"/>
      <c r="AF136" s="464"/>
      <c r="AG136" s="464"/>
      <c r="AH136" s="464"/>
      <c r="AI136" s="464"/>
      <c r="AJ136" s="464"/>
      <c r="AK136" s="464"/>
      <c r="AL136" s="464"/>
      <c r="AM136" s="464"/>
      <c r="AN136" s="459"/>
    </row>
    <row r="137" spans="1:52" s="460" customFormat="1" ht="12.75" customHeight="1">
      <c r="A137" s="485"/>
      <c r="B137" s="486"/>
      <c r="C137" s="486"/>
      <c r="D137" s="486"/>
      <c r="E137" s="486"/>
      <c r="F137" s="486"/>
      <c r="G137" s="487"/>
      <c r="H137" s="488"/>
      <c r="I137" s="488"/>
      <c r="J137" s="488"/>
      <c r="K137" s="488"/>
      <c r="L137" s="488"/>
      <c r="M137" s="488"/>
      <c r="N137" s="488"/>
      <c r="O137" s="488"/>
      <c r="P137" s="488"/>
      <c r="Q137" s="488"/>
      <c r="R137" s="488"/>
      <c r="S137" s="488"/>
      <c r="T137" s="488"/>
      <c r="U137" s="488"/>
      <c r="V137" s="488"/>
      <c r="W137" s="488"/>
      <c r="X137" s="488"/>
      <c r="Y137" s="488"/>
      <c r="Z137" s="488"/>
      <c r="AA137" s="488"/>
      <c r="AB137" s="488"/>
      <c r="AC137" s="488"/>
      <c r="AD137" s="488"/>
      <c r="AE137" s="488"/>
      <c r="AF137" s="488"/>
      <c r="AG137" s="488"/>
      <c r="AH137" s="488"/>
      <c r="AI137" s="489"/>
      <c r="AJ137" s="489" t="s">
        <v>2017</v>
      </c>
      <c r="AK137" s="2003">
        <f>E133</f>
        <v>10</v>
      </c>
      <c r="AL137" s="2004"/>
      <c r="AM137" s="2005"/>
      <c r="AN137" s="459"/>
    </row>
    <row r="138" spans="1:52" s="460" customFormat="1" ht="12.75" customHeight="1" thickBot="1">
      <c r="A138" s="490"/>
      <c r="B138" s="491"/>
      <c r="C138" s="492"/>
      <c r="D138" s="492"/>
      <c r="E138" s="492"/>
      <c r="F138" s="492"/>
      <c r="G138" s="492"/>
      <c r="H138" s="492"/>
      <c r="I138" s="492"/>
      <c r="J138" s="492"/>
      <c r="K138" s="492"/>
      <c r="L138" s="492"/>
      <c r="M138" s="492"/>
      <c r="N138" s="492"/>
      <c r="O138" s="492"/>
      <c r="P138" s="492"/>
      <c r="Q138" s="492"/>
      <c r="R138" s="492"/>
      <c r="S138" s="492"/>
      <c r="T138" s="492"/>
      <c r="U138" s="492"/>
      <c r="V138" s="492"/>
      <c r="W138" s="492"/>
      <c r="X138" s="492"/>
      <c r="Y138" s="492"/>
      <c r="Z138" s="492"/>
      <c r="AA138" s="492"/>
      <c r="AB138" s="492"/>
      <c r="AC138" s="492"/>
      <c r="AD138" s="492"/>
      <c r="AE138" s="492"/>
      <c r="AF138" s="492"/>
      <c r="AG138" s="492"/>
      <c r="AH138" s="492"/>
      <c r="AI138" s="492"/>
      <c r="AJ138" s="492"/>
      <c r="AK138" s="492"/>
      <c r="AL138" s="492"/>
      <c r="AM138" s="493"/>
      <c r="AN138" s="459"/>
    </row>
    <row r="139" spans="1:52" s="460" customFormat="1" ht="12.75" customHeight="1" thickTop="1">
      <c r="A139" s="494"/>
      <c r="B139" s="495"/>
      <c r="C139" s="496"/>
      <c r="D139" s="496"/>
      <c r="E139" s="496"/>
      <c r="F139" s="496"/>
      <c r="G139" s="496"/>
      <c r="H139" s="496"/>
      <c r="I139" s="497"/>
      <c r="J139" s="497"/>
      <c r="K139" s="497"/>
      <c r="L139" s="497"/>
      <c r="M139" s="497"/>
      <c r="N139" s="497"/>
      <c r="O139" s="497"/>
      <c r="P139" s="497"/>
      <c r="Q139" s="497"/>
      <c r="R139" s="494"/>
      <c r="S139" s="463"/>
      <c r="T139" s="463"/>
      <c r="U139" s="463"/>
      <c r="V139" s="463"/>
      <c r="W139" s="463"/>
      <c r="X139" s="463"/>
      <c r="Y139" s="463"/>
      <c r="Z139" s="463"/>
      <c r="AA139" s="463"/>
      <c r="AB139" s="463"/>
      <c r="AC139" s="463"/>
      <c r="AD139" s="463"/>
      <c r="AE139" s="463"/>
      <c r="AF139" s="494"/>
      <c r="AG139" s="463"/>
      <c r="AH139" s="463"/>
      <c r="AI139" s="463"/>
      <c r="AJ139" s="463"/>
      <c r="AK139" s="474"/>
      <c r="AL139" s="474"/>
      <c r="AM139" s="474"/>
      <c r="AN139" s="459"/>
    </row>
    <row r="140" spans="1:52" s="463" customFormat="1" ht="12.75" customHeight="1">
      <c r="A140" s="462" t="s">
        <v>2018</v>
      </c>
      <c r="AE140" s="1847" t="s">
        <v>1975</v>
      </c>
      <c r="AF140" s="1847"/>
      <c r="AG140" s="1847"/>
      <c r="AH140" s="1847"/>
      <c r="AI140" s="1847"/>
      <c r="AJ140" s="1847"/>
      <c r="AK140" s="1847"/>
      <c r="AL140" s="515"/>
      <c r="AN140" s="516"/>
      <c r="AO140" s="460"/>
    </row>
    <row r="141" spans="1:52" s="463" customFormat="1" ht="13.2" customHeight="1">
      <c r="A141" s="462"/>
      <c r="AE141" s="515"/>
      <c r="AF141" s="515"/>
      <c r="AG141" s="515"/>
      <c r="AH141" s="515"/>
      <c r="AI141" s="515"/>
      <c r="AJ141" s="515"/>
      <c r="AK141" s="515"/>
      <c r="AL141" s="515"/>
      <c r="AN141" s="516"/>
    </row>
    <row r="142" spans="1:52" s="460" customFormat="1" ht="12.75" customHeight="1">
      <c r="A142" s="462"/>
      <c r="B142" s="462" t="s">
        <v>2019</v>
      </c>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c r="AA142" s="463"/>
      <c r="AB142" s="463"/>
      <c r="AC142" s="463"/>
      <c r="AD142" s="463"/>
      <c r="AF142" s="1914" t="s">
        <v>2020</v>
      </c>
      <c r="AG142" s="1914"/>
      <c r="AH142" s="1914"/>
      <c r="AI142" s="1914"/>
      <c r="AJ142" s="1914"/>
      <c r="AK142" s="1914"/>
      <c r="AL142" s="1914"/>
      <c r="AM142" s="463"/>
      <c r="AN142" s="459"/>
    </row>
    <row r="143" spans="1:52" s="460" customFormat="1" ht="12.75" customHeight="1">
      <c r="A143" s="462"/>
      <c r="B143" s="462" t="s">
        <v>1128</v>
      </c>
      <c r="C143" s="529"/>
      <c r="D143" s="529"/>
      <c r="E143" s="529"/>
      <c r="F143" s="52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463"/>
      <c r="AL143" s="518"/>
      <c r="AM143" s="463"/>
      <c r="AN143" s="459"/>
    </row>
    <row r="144" spans="1:52" s="460" customFormat="1" ht="15" customHeight="1">
      <c r="A144" s="462"/>
      <c r="B144" s="2008" t="s">
        <v>2021</v>
      </c>
      <c r="C144" s="2008"/>
      <c r="D144" s="2008"/>
      <c r="E144" s="2008"/>
      <c r="F144" s="2008"/>
      <c r="G144" s="2008"/>
      <c r="H144" s="2008"/>
      <c r="I144" s="2008"/>
      <c r="J144" s="2008"/>
      <c r="K144" s="2008"/>
      <c r="L144" s="2008"/>
      <c r="M144" s="2008"/>
      <c r="N144" s="2008"/>
      <c r="O144" s="2008"/>
      <c r="P144" s="2008"/>
      <c r="Q144" s="2008"/>
      <c r="R144" s="2008"/>
      <c r="S144" s="2008"/>
      <c r="T144" s="2008"/>
      <c r="U144" s="2008"/>
      <c r="V144" s="2008"/>
      <c r="W144" s="2008"/>
      <c r="X144" s="2008"/>
      <c r="Y144" s="2008"/>
      <c r="Z144" s="2008"/>
      <c r="AA144" s="2008"/>
      <c r="AB144" s="2008"/>
      <c r="AC144" s="2008"/>
      <c r="AD144" s="463"/>
      <c r="AE144" s="518"/>
      <c r="AF144" s="518"/>
      <c r="AG144" s="518"/>
      <c r="AH144" s="518"/>
      <c r="AI144" s="518"/>
      <c r="AJ144" s="518"/>
      <c r="AK144" s="518"/>
      <c r="AL144" s="518"/>
      <c r="AM144" s="463"/>
      <c r="AN144" s="459"/>
      <c r="AP144" s="519"/>
    </row>
    <row r="145" spans="1:42" s="460" customFormat="1" ht="12.75" customHeight="1">
      <c r="A145" s="462"/>
      <c r="B145" s="462"/>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c r="AA145" s="463"/>
      <c r="AB145" s="463"/>
      <c r="AC145" s="463"/>
      <c r="AD145" s="463"/>
      <c r="AE145" s="518"/>
      <c r="AF145" s="518"/>
      <c r="AG145" s="518"/>
      <c r="AH145" s="518"/>
      <c r="AI145" s="518"/>
      <c r="AJ145" s="518"/>
      <c r="AK145" s="518"/>
      <c r="AL145" s="518"/>
      <c r="AM145" s="463"/>
      <c r="AN145" s="459"/>
      <c r="AO145" s="373" t="s">
        <v>294</v>
      </c>
      <c r="AP145" s="469"/>
    </row>
    <row r="146" spans="1:42" s="460" customFormat="1" ht="12.75" customHeight="1">
      <c r="A146" s="462"/>
      <c r="B146" s="463" t="s">
        <v>2022</v>
      </c>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c r="AI146" s="463"/>
      <c r="AJ146" s="463"/>
      <c r="AK146" s="463"/>
      <c r="AL146" s="463"/>
      <c r="AM146" s="463"/>
      <c r="AN146" s="459"/>
      <c r="AO146" s="401" t="s">
        <v>2023</v>
      </c>
      <c r="AP146" s="414">
        <v>5</v>
      </c>
    </row>
    <row r="147" spans="1:42" s="460" customFormat="1" ht="12.75" customHeight="1">
      <c r="A147" s="462"/>
      <c r="B147" s="2009" t="s">
        <v>2024</v>
      </c>
      <c r="C147" s="2009"/>
      <c r="D147" s="2009"/>
      <c r="E147" s="2009"/>
      <c r="F147" s="2009"/>
      <c r="G147" s="2009"/>
      <c r="H147" s="2009"/>
      <c r="I147" s="2009"/>
      <c r="J147" s="2009"/>
      <c r="K147" s="2009"/>
      <c r="L147" s="2009"/>
      <c r="M147" s="2009"/>
      <c r="N147" s="2009"/>
      <c r="O147" s="2009"/>
      <c r="P147" s="2009"/>
      <c r="Q147" s="2009"/>
      <c r="R147" s="2009"/>
      <c r="S147" s="2009"/>
      <c r="T147" s="2009"/>
      <c r="U147" s="2009"/>
      <c r="V147" s="2009"/>
      <c r="W147" s="2009"/>
      <c r="X147" s="2009"/>
      <c r="Y147" s="2009"/>
      <c r="Z147" s="2009"/>
      <c r="AA147" s="2009"/>
      <c r="AB147" s="2009"/>
      <c r="AC147" s="2009"/>
      <c r="AD147" s="2009"/>
      <c r="AE147" s="2009"/>
      <c r="AF147" s="2009"/>
      <c r="AG147" s="2009"/>
      <c r="AH147" s="2009"/>
      <c r="AI147" s="2009"/>
      <c r="AM147" s="463"/>
      <c r="AN147" s="459"/>
      <c r="AO147" s="401" t="s">
        <v>2024</v>
      </c>
      <c r="AP147" s="414">
        <v>7</v>
      </c>
    </row>
    <row r="148" spans="1:42" s="460" customFormat="1" ht="13.2" customHeight="1">
      <c r="A148" s="462"/>
      <c r="B148" s="529"/>
      <c r="C148" s="529"/>
      <c r="D148" s="529"/>
      <c r="E148" s="529"/>
      <c r="F148" s="529"/>
      <c r="G148" s="529"/>
      <c r="H148" s="529"/>
      <c r="I148" s="529"/>
      <c r="J148" s="529"/>
      <c r="K148" s="529"/>
      <c r="L148" s="529"/>
      <c r="M148" s="529"/>
      <c r="N148" s="529"/>
      <c r="O148" s="529"/>
      <c r="P148" s="529"/>
      <c r="Q148" s="529"/>
      <c r="R148" s="529"/>
      <c r="S148" s="529"/>
      <c r="T148" s="529"/>
      <c r="U148" s="529"/>
      <c r="V148" s="529"/>
      <c r="W148" s="529"/>
      <c r="X148" s="529"/>
      <c r="Y148" s="529"/>
      <c r="Z148" s="529"/>
      <c r="AA148" s="529"/>
      <c r="AB148" s="529"/>
      <c r="AC148" s="529"/>
      <c r="AD148" s="515"/>
      <c r="AM148" s="463"/>
      <c r="AN148" s="459"/>
      <c r="AO148" s="401" t="s">
        <v>2025</v>
      </c>
      <c r="AP148" s="414">
        <v>7</v>
      </c>
    </row>
    <row r="149" spans="1:42" s="460" customFormat="1" ht="12.75" customHeight="1">
      <c r="A149" s="462"/>
      <c r="B149" s="463" t="s">
        <v>2026</v>
      </c>
      <c r="AB149" s="1950" t="s">
        <v>299</v>
      </c>
      <c r="AC149" s="1950"/>
      <c r="AD149" s="515"/>
      <c r="AM149" s="463"/>
      <c r="AN149" s="459"/>
      <c r="AO149" s="401"/>
      <c r="AP149" s="401"/>
    </row>
    <row r="150" spans="1:42" s="460" customFormat="1" ht="9" customHeight="1">
      <c r="A150" s="462"/>
      <c r="B150" s="529"/>
      <c r="C150" s="529"/>
      <c r="D150" s="529"/>
      <c r="E150" s="529"/>
      <c r="F150" s="529"/>
      <c r="G150" s="529"/>
      <c r="H150" s="529"/>
      <c r="I150" s="529"/>
      <c r="J150" s="529"/>
      <c r="K150" s="529"/>
      <c r="L150" s="529"/>
      <c r="M150" s="529"/>
      <c r="N150" s="529"/>
      <c r="O150" s="529"/>
      <c r="P150" s="529"/>
      <c r="Q150" s="529"/>
      <c r="R150" s="529"/>
      <c r="S150" s="529"/>
      <c r="T150" s="529"/>
      <c r="U150" s="529"/>
      <c r="V150" s="529"/>
      <c r="W150" s="529"/>
      <c r="X150" s="529"/>
      <c r="Y150" s="529"/>
      <c r="Z150" s="529"/>
      <c r="AA150" s="529"/>
      <c r="AB150" s="529"/>
      <c r="AC150" s="529"/>
      <c r="AD150" s="515"/>
      <c r="AM150" s="463"/>
      <c r="AN150" s="459"/>
      <c r="AO150" s="373" t="s">
        <v>2027</v>
      </c>
      <c r="AP150" s="414"/>
    </row>
    <row r="151" spans="1:42" s="460" customFormat="1" ht="12.75" customHeight="1">
      <c r="A151" s="462"/>
      <c r="B151" s="462" t="s">
        <v>2028</v>
      </c>
      <c r="C151" s="529"/>
      <c r="D151" s="529"/>
      <c r="E151" s="529"/>
      <c r="F151" s="529"/>
      <c r="G151" s="529"/>
      <c r="H151" s="529"/>
      <c r="I151" s="529"/>
      <c r="J151" s="529"/>
      <c r="K151" s="529"/>
      <c r="L151" s="529"/>
      <c r="M151" s="529"/>
      <c r="N151" s="529"/>
      <c r="O151" s="529"/>
      <c r="P151" s="529"/>
      <c r="Q151" s="529"/>
      <c r="R151" s="529"/>
      <c r="S151" s="529"/>
      <c r="T151" s="529"/>
      <c r="U151" s="529"/>
      <c r="V151" s="529"/>
      <c r="W151" s="529"/>
      <c r="X151" s="529"/>
      <c r="Y151" s="529"/>
      <c r="Z151" s="529"/>
      <c r="AA151" s="529"/>
      <c r="AB151" s="529"/>
      <c r="AC151" s="529"/>
      <c r="AD151" s="515"/>
      <c r="AM151" s="463"/>
      <c r="AN151" s="459"/>
      <c r="AO151" s="401" t="s">
        <v>2029</v>
      </c>
      <c r="AP151" s="414">
        <v>5</v>
      </c>
    </row>
    <row r="152" spans="1:42" s="460" customFormat="1" ht="12.75" customHeight="1">
      <c r="A152" s="462"/>
      <c r="B152" s="2009" t="s">
        <v>2027</v>
      </c>
      <c r="C152" s="2009"/>
      <c r="D152" s="2009"/>
      <c r="E152" s="2009"/>
      <c r="F152" s="2009"/>
      <c r="G152" s="2009"/>
      <c r="H152" s="2009"/>
      <c r="I152" s="2009"/>
      <c r="J152" s="2009"/>
      <c r="K152" s="2009"/>
      <c r="L152" s="2009"/>
      <c r="M152" s="2009"/>
      <c r="N152" s="2009"/>
      <c r="O152" s="2009"/>
      <c r="P152" s="2009"/>
      <c r="Q152" s="2009"/>
      <c r="R152" s="2009"/>
      <c r="S152" s="2009"/>
      <c r="T152" s="2009"/>
      <c r="U152" s="2009"/>
      <c r="V152" s="2009"/>
      <c r="W152" s="2009"/>
      <c r="X152" s="2009"/>
      <c r="Y152" s="2009"/>
      <c r="Z152" s="2009"/>
      <c r="AA152" s="2009"/>
      <c r="AB152" s="2009"/>
      <c r="AC152" s="2009"/>
      <c r="AD152" s="2009"/>
      <c r="AE152" s="2009"/>
      <c r="AF152" s="2009"/>
      <c r="AG152" s="2009"/>
      <c r="AH152" s="2009"/>
      <c r="AI152" s="2009"/>
      <c r="AJ152" s="2009"/>
      <c r="AN152" s="459"/>
      <c r="AO152" s="401" t="s">
        <v>2030</v>
      </c>
      <c r="AP152" s="414">
        <v>7</v>
      </c>
    </row>
    <row r="153" spans="1:42" s="460" customFormat="1" ht="12.75" customHeight="1">
      <c r="B153" s="463" t="s">
        <v>2031</v>
      </c>
      <c r="C153" s="529"/>
      <c r="D153" s="529"/>
      <c r="E153" s="529"/>
      <c r="F153" s="529"/>
      <c r="G153" s="529"/>
      <c r="H153" s="529"/>
      <c r="I153" s="529"/>
      <c r="J153" s="529"/>
      <c r="K153" s="529"/>
      <c r="L153" s="529"/>
      <c r="M153" s="529"/>
      <c r="N153" s="529"/>
      <c r="O153" s="529"/>
      <c r="P153" s="529"/>
      <c r="Q153" s="529"/>
      <c r="R153" s="529"/>
      <c r="S153" s="529"/>
      <c r="T153" s="529"/>
      <c r="U153" s="529"/>
      <c r="AM153" s="463"/>
      <c r="AN153" s="459"/>
      <c r="AO153" s="401"/>
      <c r="AP153" s="414"/>
    </row>
    <row r="154" spans="1:42" s="460" customFormat="1" ht="12.75" customHeight="1">
      <c r="AM154" s="463"/>
      <c r="AN154" s="459"/>
    </row>
    <row r="155" spans="1:42" s="474" customFormat="1" ht="12.75" customHeight="1">
      <c r="A155" s="524"/>
      <c r="B155" s="525"/>
      <c r="C155" s="525"/>
      <c r="D155" s="525"/>
      <c r="E155" s="525"/>
      <c r="F155" s="525"/>
      <c r="G155" s="525"/>
      <c r="H155" s="525"/>
      <c r="I155" s="525"/>
      <c r="J155" s="525"/>
      <c r="K155" s="525"/>
      <c r="L155" s="525"/>
      <c r="M155" s="525"/>
      <c r="N155" s="525"/>
      <c r="O155" s="525"/>
      <c r="P155" s="525"/>
      <c r="Q155" s="525"/>
      <c r="R155" s="525"/>
      <c r="S155" s="525"/>
      <c r="T155" s="525"/>
      <c r="U155" s="525"/>
      <c r="V155" s="525"/>
      <c r="W155" s="525"/>
      <c r="X155" s="525"/>
      <c r="Y155" s="525"/>
      <c r="Z155" s="525"/>
      <c r="AA155" s="525"/>
      <c r="AB155" s="525"/>
      <c r="AC155" s="525"/>
      <c r="AD155" s="525"/>
      <c r="AE155" s="525"/>
      <c r="AF155" s="525"/>
      <c r="AG155" s="525"/>
      <c r="AH155" s="525"/>
      <c r="AI155" s="489" t="s">
        <v>2032</v>
      </c>
      <c r="AJ155" s="1874">
        <f>IF($AB$149="N/A",VLOOKUP($B$147,$AO$145:$AP$148,2,FALSE),VLOOKUP($B$152,$AO$150:$AP$152,2,FALSE))</f>
        <v>7</v>
      </c>
      <c r="AK155" s="1874"/>
      <c r="AL155" s="519"/>
      <c r="AM155" s="460"/>
      <c r="AN155" s="522"/>
    </row>
    <row r="156" spans="1:42" s="474" customFormat="1" ht="12.75" customHeight="1">
      <c r="A156" s="519"/>
      <c r="B156" s="519"/>
      <c r="C156" s="460"/>
      <c r="D156" s="460"/>
      <c r="E156" s="460"/>
      <c r="F156" s="460"/>
      <c r="G156" s="460"/>
      <c r="H156" s="460"/>
      <c r="I156" s="460"/>
      <c r="J156" s="460"/>
      <c r="K156" s="460"/>
      <c r="L156" s="460"/>
      <c r="M156" s="460"/>
      <c r="N156" s="460"/>
      <c r="O156" s="460"/>
      <c r="P156" s="460"/>
      <c r="Q156" s="460"/>
      <c r="R156" s="460"/>
      <c r="S156" s="460"/>
      <c r="T156" s="460"/>
      <c r="U156" s="460"/>
      <c r="V156" s="460"/>
      <c r="W156" s="460"/>
      <c r="X156" s="460"/>
      <c r="Y156" s="460"/>
      <c r="Z156" s="460"/>
      <c r="AA156" s="460"/>
      <c r="AB156" s="460"/>
      <c r="AC156" s="460"/>
      <c r="AD156" s="460"/>
      <c r="AE156" s="460"/>
      <c r="AF156" s="460"/>
      <c r="AG156" s="460"/>
      <c r="AH156" s="460"/>
      <c r="AI156" s="460"/>
      <c r="AJ156" s="460"/>
      <c r="AK156" s="460"/>
      <c r="AL156" s="460"/>
      <c r="AM156" s="460"/>
      <c r="AN156" s="522"/>
    </row>
    <row r="157" spans="1:42" s="474" customFormat="1" ht="12.75" customHeight="1">
      <c r="A157" s="460"/>
      <c r="B157" s="462" t="s">
        <v>2033</v>
      </c>
      <c r="C157" s="463"/>
      <c r="D157" s="460"/>
      <c r="E157" s="566"/>
      <c r="F157" s="566"/>
      <c r="G157" s="566"/>
      <c r="H157" s="566"/>
      <c r="I157" s="566"/>
      <c r="J157" s="566"/>
      <c r="K157" s="566"/>
      <c r="L157" s="566"/>
      <c r="M157" s="566"/>
      <c r="N157" s="566"/>
      <c r="O157" s="566"/>
      <c r="P157" s="566"/>
      <c r="Q157" s="566"/>
      <c r="R157" s="566"/>
      <c r="S157" s="566"/>
      <c r="T157" s="566"/>
      <c r="U157" s="566"/>
      <c r="V157" s="566"/>
      <c r="W157" s="566"/>
      <c r="X157" s="566"/>
      <c r="Y157" s="566"/>
      <c r="Z157" s="566"/>
      <c r="AA157" s="566"/>
      <c r="AB157" s="566"/>
      <c r="AC157" s="566"/>
      <c r="AD157" s="566"/>
      <c r="AE157" s="460"/>
      <c r="AF157" s="1914" t="s">
        <v>2034</v>
      </c>
      <c r="AG157" s="1914"/>
      <c r="AH157" s="1914"/>
      <c r="AI157" s="1914"/>
      <c r="AJ157" s="1914"/>
      <c r="AK157" s="1914"/>
      <c r="AL157" s="1914"/>
      <c r="AM157" s="527"/>
      <c r="AN157" s="522"/>
    </row>
    <row r="158" spans="1:42" s="474" customFormat="1" ht="12.75" customHeight="1">
      <c r="A158" s="460"/>
      <c r="B158" s="463" t="s">
        <v>2035</v>
      </c>
      <c r="C158" s="460"/>
      <c r="D158" s="460"/>
      <c r="E158" s="460"/>
      <c r="F158" s="460"/>
      <c r="G158" s="460"/>
      <c r="H158" s="460"/>
      <c r="I158" s="460"/>
      <c r="J158" s="460"/>
      <c r="K158" s="460"/>
      <c r="L158" s="460"/>
      <c r="M158" s="460"/>
      <c r="N158" s="460"/>
      <c r="O158" s="460"/>
      <c r="P158" s="460"/>
      <c r="Q158" s="460"/>
      <c r="R158" s="460"/>
      <c r="S158" s="460"/>
      <c r="T158" s="460"/>
      <c r="U158" s="460"/>
      <c r="V158" s="460"/>
      <c r="W158" s="460"/>
      <c r="X158" s="460"/>
      <c r="Y158" s="460"/>
      <c r="Z158" s="460"/>
      <c r="AA158" s="463"/>
      <c r="AB158" s="463"/>
      <c r="AC158" s="463"/>
      <c r="AD158" s="463"/>
      <c r="AE158" s="460"/>
      <c r="AF158" s="460"/>
      <c r="AG158" s="460"/>
      <c r="AH158" s="460"/>
      <c r="AI158" s="460"/>
      <c r="AJ158" s="460"/>
      <c r="AK158" s="460"/>
      <c r="AL158" s="460"/>
      <c r="AM158" s="527"/>
      <c r="AN158" s="522"/>
    </row>
    <row r="159" spans="1:42" s="474" customFormat="1" ht="12.75" customHeight="1">
      <c r="A159" s="460"/>
      <c r="B159" s="460"/>
      <c r="C159" s="2009" t="s">
        <v>2036</v>
      </c>
      <c r="D159" s="2009"/>
      <c r="E159" s="2009"/>
      <c r="F159" s="2009"/>
      <c r="G159" s="2009"/>
      <c r="H159" s="2009"/>
      <c r="I159" s="2009"/>
      <c r="J159" s="2009"/>
      <c r="K159" s="2009"/>
      <c r="L159" s="2009"/>
      <c r="M159" s="2009"/>
      <c r="N159" s="2009"/>
      <c r="O159" s="2009"/>
      <c r="P159" s="2009"/>
      <c r="Q159" s="2009"/>
      <c r="R159" s="2009"/>
      <c r="S159" s="2009"/>
      <c r="T159" s="2009"/>
      <c r="U159" s="2009"/>
      <c r="V159" s="2009"/>
      <c r="W159" s="2009"/>
      <c r="X159" s="2009"/>
      <c r="Y159" s="2009"/>
      <c r="Z159" s="2009"/>
      <c r="AA159" s="2009"/>
      <c r="AB159" s="2009"/>
      <c r="AC159" s="2009"/>
      <c r="AD159" s="2009"/>
      <c r="AE159" s="2009"/>
      <c r="AF159" s="2009"/>
      <c r="AG159" s="2009"/>
      <c r="AH159" s="2009"/>
      <c r="AI159" s="2009"/>
      <c r="AJ159" s="460"/>
      <c r="AK159" s="460"/>
      <c r="AL159" s="460"/>
      <c r="AM159" s="527"/>
      <c r="AN159" s="521"/>
      <c r="AO159" s="401" t="s">
        <v>294</v>
      </c>
      <c r="AP159" s="401"/>
    </row>
    <row r="160" spans="1:42" s="474" customFormat="1" ht="13.2" customHeight="1">
      <c r="A160" s="460"/>
      <c r="B160" s="460"/>
      <c r="C160" s="529"/>
      <c r="D160" s="529"/>
      <c r="E160" s="529"/>
      <c r="F160" s="529"/>
      <c r="G160" s="529"/>
      <c r="H160" s="529"/>
      <c r="I160" s="529"/>
      <c r="J160" s="529"/>
      <c r="K160" s="529"/>
      <c r="L160" s="529"/>
      <c r="M160" s="529"/>
      <c r="N160" s="529"/>
      <c r="O160" s="529"/>
      <c r="P160" s="529"/>
      <c r="Q160" s="529"/>
      <c r="R160" s="529"/>
      <c r="S160" s="529"/>
      <c r="T160" s="529"/>
      <c r="U160" s="529"/>
      <c r="V160" s="529"/>
      <c r="W160" s="529"/>
      <c r="X160" s="529"/>
      <c r="Y160" s="529"/>
      <c r="Z160" s="529"/>
      <c r="AA160" s="529"/>
      <c r="AB160" s="529"/>
      <c r="AC160" s="529"/>
      <c r="AD160" s="529"/>
      <c r="AE160" s="460"/>
      <c r="AF160" s="460"/>
      <c r="AG160" s="460"/>
      <c r="AH160" s="460"/>
      <c r="AI160" s="460"/>
      <c r="AJ160" s="460"/>
      <c r="AK160" s="460"/>
      <c r="AL160" s="460"/>
      <c r="AM160" s="527"/>
      <c r="AN160" s="521"/>
      <c r="AO160" s="401" t="s">
        <v>2037</v>
      </c>
      <c r="AP160" s="523">
        <v>2</v>
      </c>
    </row>
    <row r="161" spans="1:73" s="474" customFormat="1" ht="12.75" customHeight="1">
      <c r="A161" s="460"/>
      <c r="B161" s="460"/>
      <c r="C161" s="463" t="s">
        <v>2038</v>
      </c>
      <c r="D161" s="460"/>
      <c r="E161" s="460"/>
      <c r="F161" s="460"/>
      <c r="G161" s="460"/>
      <c r="H161" s="460"/>
      <c r="I161" s="460"/>
      <c r="J161" s="460"/>
      <c r="K161" s="460"/>
      <c r="L161" s="460"/>
      <c r="M161" s="460"/>
      <c r="N161" s="460"/>
      <c r="O161" s="460"/>
      <c r="P161" s="460"/>
      <c r="Q161" s="460"/>
      <c r="R161" s="460"/>
      <c r="S161" s="460"/>
      <c r="T161" s="460"/>
      <c r="U161" s="460"/>
      <c r="V161" s="460"/>
      <c r="W161" s="460"/>
      <c r="X161" s="460"/>
      <c r="Y161" s="460"/>
      <c r="Z161" s="460"/>
      <c r="AA161" s="460"/>
      <c r="AB161" s="460"/>
      <c r="AE161" s="460"/>
      <c r="AF161" s="1950" t="s">
        <v>299</v>
      </c>
      <c r="AG161" s="1950"/>
      <c r="AH161" s="460"/>
      <c r="AI161" s="460"/>
      <c r="AJ161" s="460"/>
      <c r="AK161" s="460"/>
      <c r="AL161" s="460"/>
      <c r="AM161" s="527"/>
      <c r="AN161" s="521"/>
      <c r="AO161" s="401" t="s">
        <v>2036</v>
      </c>
      <c r="AP161" s="523">
        <v>3</v>
      </c>
    </row>
    <row r="162" spans="1:73" s="474" customFormat="1" ht="9" customHeight="1">
      <c r="A162" s="460"/>
      <c r="B162" s="460"/>
      <c r="C162" s="529"/>
      <c r="D162" s="529"/>
      <c r="E162" s="529"/>
      <c r="F162" s="529"/>
      <c r="G162" s="529"/>
      <c r="H162" s="529"/>
      <c r="I162" s="529"/>
      <c r="J162" s="529"/>
      <c r="K162" s="529"/>
      <c r="L162" s="529"/>
      <c r="M162" s="529"/>
      <c r="N162" s="529"/>
      <c r="O162" s="529"/>
      <c r="P162" s="529"/>
      <c r="Q162" s="529"/>
      <c r="R162" s="529"/>
      <c r="S162" s="529"/>
      <c r="T162" s="529"/>
      <c r="U162" s="529"/>
      <c r="V162" s="529"/>
      <c r="W162" s="529"/>
      <c r="X162" s="529"/>
      <c r="Y162" s="529"/>
      <c r="Z162" s="529"/>
      <c r="AA162" s="529"/>
      <c r="AB162" s="529"/>
      <c r="AC162" s="529"/>
      <c r="AD162" s="529"/>
      <c r="AE162" s="460"/>
      <c r="AF162" s="460"/>
      <c r="AG162" s="460"/>
      <c r="AJ162" s="460"/>
      <c r="AK162" s="460"/>
      <c r="AL162" s="460"/>
      <c r="AM162" s="527"/>
      <c r="AN162" s="521"/>
      <c r="AO162" s="526" t="s">
        <v>2039</v>
      </c>
      <c r="AP162" s="523">
        <v>3</v>
      </c>
    </row>
    <row r="163" spans="1:73" s="474" customFormat="1" ht="12.75" customHeight="1">
      <c r="A163" s="460"/>
      <c r="B163" s="460"/>
      <c r="C163" s="2009" t="s">
        <v>2027</v>
      </c>
      <c r="D163" s="2009"/>
      <c r="E163" s="2009"/>
      <c r="F163" s="2009"/>
      <c r="G163" s="2009"/>
      <c r="H163" s="2009"/>
      <c r="I163" s="2009"/>
      <c r="J163" s="2009"/>
      <c r="K163" s="2009"/>
      <c r="L163" s="2009"/>
      <c r="M163" s="2009"/>
      <c r="N163" s="2009"/>
      <c r="O163" s="2009"/>
      <c r="P163" s="2009"/>
      <c r="Q163" s="2009"/>
      <c r="R163" s="2009"/>
      <c r="S163" s="2009"/>
      <c r="T163" s="2009"/>
      <c r="U163" s="2009"/>
      <c r="V163" s="2009"/>
      <c r="W163" s="2009"/>
      <c r="X163" s="2009"/>
      <c r="Y163" s="2009"/>
      <c r="Z163" s="2009"/>
      <c r="AA163" s="2009"/>
      <c r="AB163" s="2009"/>
      <c r="AC163" s="2009"/>
      <c r="AD163" s="2009"/>
      <c r="AE163" s="460"/>
      <c r="AF163" s="460"/>
      <c r="AG163" s="460"/>
      <c r="AH163" s="460"/>
      <c r="AI163" s="460"/>
      <c r="AJ163" s="460"/>
      <c r="AK163" s="460"/>
      <c r="AL163" s="460"/>
      <c r="AM163" s="527"/>
      <c r="AN163" s="521"/>
      <c r="AO163" s="526"/>
      <c r="AP163" s="523"/>
    </row>
    <row r="164" spans="1:73" s="474" customFormat="1" ht="12.75" customHeight="1">
      <c r="A164" s="460"/>
      <c r="B164" s="460"/>
      <c r="C164" s="463" t="s">
        <v>2031</v>
      </c>
      <c r="D164" s="463"/>
      <c r="E164" s="463"/>
      <c r="F164" s="463"/>
      <c r="G164" s="463"/>
      <c r="H164" s="463"/>
      <c r="I164" s="463"/>
      <c r="J164" s="463"/>
      <c r="K164" s="463"/>
      <c r="L164" s="463"/>
      <c r="M164" s="463"/>
      <c r="N164" s="463"/>
      <c r="O164" s="463"/>
      <c r="P164" s="463"/>
      <c r="Q164" s="463"/>
      <c r="R164" s="463"/>
      <c r="S164" s="463"/>
      <c r="T164" s="463"/>
      <c r="U164" s="463"/>
      <c r="V164" s="463"/>
      <c r="W164" s="463"/>
      <c r="X164" s="463"/>
      <c r="Y164" s="463"/>
      <c r="Z164" s="463"/>
      <c r="AA164" s="463"/>
      <c r="AB164" s="463"/>
      <c r="AC164" s="463"/>
      <c r="AD164" s="463"/>
      <c r="AE164" s="463"/>
      <c r="AF164" s="463"/>
      <c r="AG164" s="463"/>
      <c r="AH164" s="463"/>
      <c r="AI164" s="463"/>
      <c r="AJ164" s="463"/>
      <c r="AK164" s="463"/>
      <c r="AL164" s="460"/>
      <c r="AM164" s="527"/>
      <c r="AN164" s="521"/>
      <c r="AO164" s="528"/>
      <c r="AP164" s="528"/>
    </row>
    <row r="165" spans="1:73" s="474" customFormat="1" ht="12.75" customHeight="1">
      <c r="A165" s="460"/>
      <c r="B165" s="460"/>
      <c r="C165" s="460"/>
      <c r="D165" s="460"/>
      <c r="E165" s="460"/>
      <c r="F165" s="460"/>
      <c r="G165" s="460"/>
      <c r="H165" s="460"/>
      <c r="I165" s="460"/>
      <c r="J165" s="460"/>
      <c r="K165" s="460"/>
      <c r="L165" s="460"/>
      <c r="M165" s="460"/>
      <c r="N165" s="460"/>
      <c r="O165" s="460"/>
      <c r="P165" s="460"/>
      <c r="Q165" s="460"/>
      <c r="R165" s="460"/>
      <c r="S165" s="460"/>
      <c r="T165" s="460"/>
      <c r="U165" s="460"/>
      <c r="V165" s="460"/>
      <c r="W165" s="460"/>
      <c r="X165" s="460"/>
      <c r="Y165" s="460"/>
      <c r="Z165" s="460"/>
      <c r="AA165" s="460"/>
      <c r="AB165" s="460"/>
      <c r="AC165" s="460"/>
      <c r="AD165" s="460"/>
      <c r="AE165" s="460"/>
      <c r="AF165" s="460"/>
      <c r="AG165" s="460"/>
      <c r="AH165" s="460"/>
      <c r="AI165" s="460"/>
      <c r="AJ165" s="460"/>
      <c r="AK165" s="460"/>
      <c r="AL165" s="460"/>
      <c r="AM165" s="527"/>
      <c r="AN165" s="521"/>
    </row>
    <row r="166" spans="1:73" s="474" customFormat="1" ht="12.75" customHeight="1">
      <c r="A166" s="460"/>
      <c r="B166" s="460"/>
      <c r="C166" s="462" t="s">
        <v>2040</v>
      </c>
      <c r="D166" s="529"/>
      <c r="E166" s="529"/>
      <c r="F166" s="529"/>
      <c r="G166" s="529"/>
      <c r="H166" s="529"/>
      <c r="I166" s="529"/>
      <c r="J166" s="529"/>
      <c r="K166" s="529"/>
      <c r="L166" s="529"/>
      <c r="M166" s="529"/>
      <c r="N166" s="529"/>
      <c r="O166" s="529"/>
      <c r="P166" s="529"/>
      <c r="Q166" s="529"/>
      <c r="R166" s="529"/>
      <c r="S166" s="529"/>
      <c r="T166" s="529"/>
      <c r="U166" s="529"/>
      <c r="V166" s="529"/>
      <c r="W166" s="529"/>
      <c r="X166" s="529"/>
      <c r="Y166" s="529"/>
      <c r="Z166" s="529"/>
      <c r="AA166" s="529"/>
      <c r="AB166" s="529"/>
      <c r="AC166" s="529"/>
      <c r="AD166" s="529"/>
      <c r="AE166" s="460"/>
      <c r="AF166" s="460"/>
      <c r="AG166" s="460"/>
      <c r="AH166" s="460"/>
      <c r="AI166" s="460"/>
      <c r="AJ166" s="460"/>
      <c r="AK166" s="460"/>
      <c r="AL166" s="460"/>
      <c r="AM166" s="527"/>
      <c r="AN166" s="521"/>
      <c r="AO166" s="401" t="s">
        <v>2027</v>
      </c>
      <c r="AP166" s="401"/>
    </row>
    <row r="167" spans="1:73" s="474" customFormat="1" ht="12.75" customHeight="1">
      <c r="A167" s="460"/>
      <c r="B167" s="460"/>
      <c r="C167" s="2010" t="str">
        <f>Application!AA335</f>
        <v>Thomas Safran &amp; Associates, Inc.</v>
      </c>
      <c r="D167" s="2010"/>
      <c r="E167" s="2010"/>
      <c r="F167" s="2010"/>
      <c r="G167" s="2010"/>
      <c r="H167" s="2010"/>
      <c r="I167" s="2010"/>
      <c r="J167" s="2010"/>
      <c r="K167" s="2010"/>
      <c r="L167" s="2010"/>
      <c r="M167" s="2010"/>
      <c r="N167" s="2010"/>
      <c r="O167" s="2010"/>
      <c r="P167" s="2010"/>
      <c r="Q167" s="2010"/>
      <c r="R167" s="2010"/>
      <c r="S167" s="2010"/>
      <c r="T167" s="2010"/>
      <c r="U167" s="2010"/>
      <c r="V167" s="2010"/>
      <c r="W167" s="2010"/>
      <c r="X167" s="2010"/>
      <c r="Y167" s="2010"/>
      <c r="Z167" s="2010"/>
      <c r="AA167" s="2010"/>
      <c r="AB167" s="2010"/>
      <c r="AC167" s="2010"/>
      <c r="AD167" s="2010"/>
      <c r="AE167" s="460"/>
      <c r="AF167" s="460"/>
      <c r="AG167" s="460"/>
      <c r="AH167" s="460"/>
      <c r="AI167" s="460"/>
      <c r="AJ167" s="460"/>
      <c r="AK167" s="460"/>
      <c r="AL167" s="460"/>
      <c r="AM167" s="527"/>
      <c r="AN167" s="521"/>
      <c r="AO167" s="401" t="s">
        <v>2041</v>
      </c>
      <c r="AP167" s="523">
        <v>2</v>
      </c>
    </row>
    <row r="168" spans="1:73" s="474" customFormat="1" ht="12.75" customHeight="1">
      <c r="A168" s="460"/>
      <c r="B168" s="460"/>
      <c r="C168" s="529"/>
      <c r="D168" s="529"/>
      <c r="E168" s="529"/>
      <c r="F168" s="529"/>
      <c r="G168" s="529"/>
      <c r="H168" s="529"/>
      <c r="I168" s="529"/>
      <c r="J168" s="529"/>
      <c r="K168" s="529"/>
      <c r="L168" s="529"/>
      <c r="M168" s="529"/>
      <c r="N168" s="529"/>
      <c r="O168" s="529"/>
      <c r="P168" s="529"/>
      <c r="Q168" s="529"/>
      <c r="R168" s="529"/>
      <c r="S168" s="529"/>
      <c r="T168" s="529"/>
      <c r="U168" s="529"/>
      <c r="V168" s="529"/>
      <c r="W168" s="529"/>
      <c r="X168" s="529"/>
      <c r="Y168" s="529"/>
      <c r="Z168" s="529"/>
      <c r="AA168" s="529"/>
      <c r="AB168" s="529"/>
      <c r="AC168" s="529"/>
      <c r="AD168" s="529"/>
      <c r="AE168" s="460"/>
      <c r="AF168" s="460"/>
      <c r="AG168" s="460"/>
      <c r="AH168" s="460"/>
      <c r="AI168" s="460"/>
      <c r="AJ168" s="460"/>
      <c r="AK168" s="460"/>
      <c r="AL168" s="460"/>
      <c r="AM168" s="527"/>
      <c r="AN168" s="521"/>
      <c r="AO168" s="401" t="s">
        <v>2042</v>
      </c>
      <c r="AP168" s="523">
        <v>3</v>
      </c>
    </row>
    <row r="169" spans="1:73" s="474" customFormat="1" ht="12.75" customHeight="1">
      <c r="A169" s="530"/>
      <c r="B169" s="488"/>
      <c r="C169" s="488"/>
      <c r="D169" s="487"/>
      <c r="E169" s="488"/>
      <c r="F169" s="488"/>
      <c r="G169" s="488"/>
      <c r="H169" s="488"/>
      <c r="I169" s="488"/>
      <c r="J169" s="488"/>
      <c r="K169" s="488"/>
      <c r="L169" s="488"/>
      <c r="M169" s="488"/>
      <c r="N169" s="488"/>
      <c r="O169" s="488"/>
      <c r="P169" s="488"/>
      <c r="Q169" s="525"/>
      <c r="R169" s="531"/>
      <c r="S169" s="488"/>
      <c r="T169" s="488"/>
      <c r="U169" s="488"/>
      <c r="V169" s="488"/>
      <c r="W169" s="488"/>
      <c r="X169" s="488"/>
      <c r="Y169" s="488"/>
      <c r="Z169" s="488"/>
      <c r="AA169" s="488"/>
      <c r="AB169" s="488"/>
      <c r="AC169" s="488"/>
      <c r="AD169" s="488"/>
      <c r="AE169" s="488"/>
      <c r="AF169" s="488"/>
      <c r="AG169" s="488"/>
      <c r="AH169" s="488"/>
      <c r="AI169" s="489" t="s">
        <v>2043</v>
      </c>
      <c r="AJ169" s="1873">
        <f>IF($AF$161="N/A",VLOOKUP($C$159,$AO$159:$AP$162,2,FALSE),VLOOKUP($C$163,$AO$166:$AP$168,2,FALSE))</f>
        <v>3</v>
      </c>
      <c r="AK169" s="1873"/>
      <c r="AL169" s="532"/>
      <c r="AM169" s="533"/>
      <c r="AN169" s="521"/>
      <c r="AO169" s="526"/>
      <c r="AP169" s="523"/>
    </row>
    <row r="170" spans="1:73" s="474" customFormat="1" ht="12.75" customHeight="1">
      <c r="A170" s="460"/>
      <c r="B170" s="534"/>
      <c r="R170" s="460"/>
      <c r="S170" s="534"/>
      <c r="AN170" s="521"/>
    </row>
    <row r="171" spans="1:73" s="474" customFormat="1" ht="12.75" customHeight="1">
      <c r="A171" s="535"/>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c r="AD171" s="527"/>
      <c r="AE171" s="527"/>
      <c r="AF171" s="527"/>
      <c r="AG171" s="527"/>
      <c r="AH171" s="527"/>
      <c r="AI171" s="527"/>
      <c r="AJ171" s="527"/>
      <c r="AK171" s="527"/>
      <c r="AL171" s="527"/>
      <c r="AM171" s="527"/>
      <c r="AN171" s="521"/>
    </row>
    <row r="172" spans="1:73" s="474" customFormat="1" ht="12.75" customHeight="1">
      <c r="A172" s="485"/>
      <c r="B172" s="486"/>
      <c r="C172" s="486"/>
      <c r="D172" s="486"/>
      <c r="E172" s="486"/>
      <c r="F172" s="486"/>
      <c r="G172" s="487"/>
      <c r="H172" s="488"/>
      <c r="I172" s="488"/>
      <c r="J172" s="488"/>
      <c r="K172" s="488"/>
      <c r="L172" s="488"/>
      <c r="M172" s="488"/>
      <c r="N172" s="488"/>
      <c r="O172" s="488"/>
      <c r="P172" s="488"/>
      <c r="Q172" s="488"/>
      <c r="R172" s="488"/>
      <c r="S172" s="488"/>
      <c r="T172" s="488"/>
      <c r="U172" s="488"/>
      <c r="V172" s="488"/>
      <c r="W172" s="488"/>
      <c r="X172" s="488"/>
      <c r="Y172" s="488"/>
      <c r="Z172" s="488"/>
      <c r="AA172" s="488"/>
      <c r="AB172" s="488"/>
      <c r="AC172" s="488"/>
      <c r="AD172" s="488"/>
      <c r="AE172" s="488"/>
      <c r="AF172" s="488"/>
      <c r="AG172" s="488"/>
      <c r="AH172" s="488"/>
      <c r="AI172" s="489"/>
      <c r="AJ172" s="489" t="s">
        <v>2044</v>
      </c>
      <c r="AK172" s="2003">
        <f>$AJ$155+$AJ$169</f>
        <v>10</v>
      </c>
      <c r="AL172" s="2004"/>
      <c r="AM172" s="2005"/>
      <c r="AN172" s="521"/>
    </row>
    <row r="173" spans="1:73" s="474" customFormat="1" ht="12.75" customHeight="1" thickBot="1">
      <c r="A173" s="490"/>
      <c r="B173" s="491"/>
      <c r="C173" s="492"/>
      <c r="D173" s="492"/>
      <c r="E173" s="492"/>
      <c r="F173" s="492"/>
      <c r="G173" s="492"/>
      <c r="H173" s="492"/>
      <c r="I173" s="492"/>
      <c r="J173" s="492"/>
      <c r="K173" s="492"/>
      <c r="L173" s="492"/>
      <c r="M173" s="492"/>
      <c r="N173" s="492"/>
      <c r="O173" s="492"/>
      <c r="P173" s="492"/>
      <c r="Q173" s="492"/>
      <c r="R173" s="492"/>
      <c r="S173" s="492"/>
      <c r="T173" s="492"/>
      <c r="U173" s="492"/>
      <c r="V173" s="492"/>
      <c r="W173" s="492"/>
      <c r="X173" s="492"/>
      <c r="Y173" s="492"/>
      <c r="Z173" s="492"/>
      <c r="AA173" s="492"/>
      <c r="AB173" s="492"/>
      <c r="AC173" s="492"/>
      <c r="AD173" s="492"/>
      <c r="AE173" s="492"/>
      <c r="AF173" s="492"/>
      <c r="AG173" s="492"/>
      <c r="AH173" s="492"/>
      <c r="AI173" s="492"/>
      <c r="AJ173" s="492"/>
      <c r="AK173" s="492"/>
      <c r="AL173" s="492"/>
      <c r="AM173" s="493"/>
      <c r="AN173" s="521"/>
      <c r="AO173" s="492"/>
      <c r="AR173" s="492"/>
      <c r="AS173" s="492"/>
      <c r="AT173" s="492"/>
      <c r="AU173" s="492"/>
      <c r="AV173" s="492"/>
      <c r="AW173" s="492"/>
      <c r="AX173" s="492"/>
      <c r="AY173" s="492"/>
      <c r="AZ173" s="492"/>
      <c r="BA173" s="492"/>
      <c r="BB173" s="492"/>
      <c r="BC173" s="492"/>
      <c r="BD173" s="492"/>
      <c r="BE173" s="492"/>
      <c r="BF173" s="492"/>
      <c r="BG173" s="492"/>
      <c r="BH173" s="492"/>
      <c r="BI173" s="492"/>
      <c r="BJ173" s="492"/>
      <c r="BK173" s="492"/>
      <c r="BL173" s="492"/>
      <c r="BM173" s="492"/>
      <c r="BN173" s="492"/>
      <c r="BO173" s="492"/>
      <c r="BP173" s="492"/>
      <c r="BQ173" s="492"/>
      <c r="BR173" s="492"/>
      <c r="BS173" s="492"/>
      <c r="BT173" s="492"/>
      <c r="BU173" s="492"/>
    </row>
    <row r="174" spans="1:73" s="474" customFormat="1" ht="12.75" customHeight="1" thickTop="1">
      <c r="A174" s="494"/>
      <c r="B174" s="495"/>
      <c r="C174" s="496"/>
      <c r="D174" s="496"/>
      <c r="E174" s="496"/>
      <c r="F174" s="496"/>
      <c r="G174" s="496"/>
      <c r="H174" s="496"/>
      <c r="I174" s="497"/>
      <c r="J174" s="497"/>
      <c r="K174" s="497"/>
      <c r="L174" s="497"/>
      <c r="M174" s="497"/>
      <c r="N174" s="497"/>
      <c r="O174" s="497"/>
      <c r="P174" s="497"/>
      <c r="Q174" s="497"/>
      <c r="R174" s="494"/>
      <c r="S174" s="463"/>
      <c r="T174" s="463"/>
      <c r="U174" s="463"/>
      <c r="V174" s="463"/>
      <c r="W174" s="463"/>
      <c r="X174" s="463"/>
      <c r="Y174" s="463"/>
      <c r="Z174" s="463"/>
      <c r="AA174" s="463"/>
      <c r="AB174" s="463"/>
      <c r="AC174" s="463"/>
      <c r="AD174" s="463"/>
      <c r="AE174" s="463"/>
      <c r="AF174" s="494"/>
      <c r="AG174" s="463"/>
      <c r="AH174" s="463"/>
      <c r="AI174" s="463"/>
      <c r="AJ174" s="463"/>
      <c r="AN174" s="521"/>
      <c r="AP174" s="536" t="s">
        <v>2045</v>
      </c>
      <c r="AQ174" s="536">
        <v>0</v>
      </c>
    </row>
    <row r="175" spans="1:73" s="474" customFormat="1" ht="12.75" customHeight="1">
      <c r="A175" s="462" t="s">
        <v>2046</v>
      </c>
      <c r="B175" s="462" t="s">
        <v>2047</v>
      </c>
      <c r="C175" s="537"/>
      <c r="D175" s="538"/>
      <c r="E175" s="538"/>
      <c r="F175" s="538"/>
      <c r="G175" s="538"/>
      <c r="H175" s="538"/>
      <c r="I175" s="538"/>
      <c r="J175" s="538"/>
      <c r="K175" s="460"/>
      <c r="L175" s="460"/>
      <c r="M175" s="460"/>
      <c r="N175" s="460"/>
      <c r="O175" s="460"/>
      <c r="P175" s="460"/>
      <c r="Q175" s="460"/>
      <c r="R175" s="460"/>
      <c r="S175" s="460"/>
      <c r="T175" s="460"/>
      <c r="U175" s="460"/>
      <c r="V175" s="460"/>
      <c r="W175" s="460"/>
      <c r="X175" s="460"/>
      <c r="Y175" s="539"/>
      <c r="Z175" s="539"/>
      <c r="AA175" s="539"/>
      <c r="AB175" s="539"/>
      <c r="AC175" s="460"/>
      <c r="AD175" s="460"/>
      <c r="AE175" s="1847" t="s">
        <v>1975</v>
      </c>
      <c r="AF175" s="1847"/>
      <c r="AG175" s="1847"/>
      <c r="AH175" s="1847"/>
      <c r="AI175" s="1847"/>
      <c r="AJ175" s="1847"/>
      <c r="AK175" s="1847"/>
      <c r="AL175" s="515"/>
      <c r="AN175" s="521"/>
      <c r="AP175" s="474" t="s">
        <v>985</v>
      </c>
      <c r="AQ175" s="474">
        <v>10</v>
      </c>
    </row>
    <row r="176" spans="1:73" s="474" customFormat="1" ht="12.75" customHeight="1">
      <c r="A176" s="462"/>
      <c r="B176" s="540"/>
      <c r="C176" s="541"/>
      <c r="D176" s="538"/>
      <c r="E176" s="538"/>
      <c r="F176" s="538"/>
      <c r="G176" s="538"/>
      <c r="H176" s="460"/>
      <c r="I176" s="460"/>
      <c r="J176" s="460"/>
      <c r="K176" s="460"/>
      <c r="L176" s="460"/>
      <c r="M176" s="460"/>
      <c r="N176" s="460"/>
      <c r="O176" s="460"/>
      <c r="P176" s="460"/>
      <c r="Q176" s="460"/>
      <c r="R176" s="539"/>
      <c r="S176" s="539"/>
      <c r="T176" s="539"/>
      <c r="U176" s="539"/>
      <c r="V176" s="539"/>
      <c r="W176" s="539"/>
      <c r="X176" s="539"/>
      <c r="Y176" s="539"/>
      <c r="Z176" s="539"/>
      <c r="AA176" s="539"/>
      <c r="AB176" s="539"/>
      <c r="AC176" s="515"/>
      <c r="AD176" s="515"/>
      <c r="AE176" s="460"/>
      <c r="AF176" s="460"/>
      <c r="AG176" s="460"/>
      <c r="AH176" s="460"/>
      <c r="AI176" s="460"/>
      <c r="AJ176" s="460"/>
      <c r="AK176" s="460"/>
      <c r="AL176" s="460"/>
      <c r="AN176" s="521"/>
      <c r="AP176" s="474" t="s">
        <v>2048</v>
      </c>
      <c r="AQ176" s="474">
        <v>10</v>
      </c>
    </row>
    <row r="177" spans="1:45" s="474" customFormat="1" ht="12.75" customHeight="1">
      <c r="A177" s="460"/>
      <c r="B177" s="2006" t="s">
        <v>993</v>
      </c>
      <c r="C177" s="2006"/>
      <c r="D177" s="2006"/>
      <c r="E177" s="2006"/>
      <c r="F177" s="2006"/>
      <c r="G177" s="2006"/>
      <c r="H177" s="2006"/>
      <c r="I177" s="2006"/>
      <c r="J177" s="2006"/>
      <c r="K177" s="2006"/>
      <c r="L177" s="2006"/>
      <c r="M177" s="2006"/>
      <c r="N177" s="2006"/>
      <c r="O177" s="2006"/>
      <c r="P177" s="2006"/>
      <c r="Q177" s="2006"/>
      <c r="R177" s="2006"/>
      <c r="S177" s="2006"/>
      <c r="T177" s="2006"/>
      <c r="U177" s="2006"/>
      <c r="V177" s="2006"/>
      <c r="W177" s="2006"/>
      <c r="X177" s="2006"/>
      <c r="Y177" s="2006"/>
      <c r="Z177" s="2006"/>
      <c r="AA177" s="2006"/>
      <c r="AB177" s="2006"/>
      <c r="AC177" s="2006"/>
      <c r="AD177" s="460"/>
      <c r="AE177" s="460"/>
      <c r="AF177" s="1914" t="s">
        <v>2049</v>
      </c>
      <c r="AG177" s="1914"/>
      <c r="AH177" s="1914"/>
      <c r="AI177" s="1914"/>
      <c r="AJ177" s="1914"/>
      <c r="AK177" s="1914"/>
      <c r="AL177" s="1914"/>
      <c r="AN177" s="521"/>
      <c r="AP177" s="474" t="s">
        <v>993</v>
      </c>
      <c r="AQ177" s="474">
        <v>10</v>
      </c>
    </row>
    <row r="178" spans="1:45" s="474" customFormat="1" ht="12.75" customHeight="1">
      <c r="A178" s="460"/>
      <c r="B178" s="2007" t="s">
        <v>2050</v>
      </c>
      <c r="C178" s="2007"/>
      <c r="D178" s="2007"/>
      <c r="E178" s="2007"/>
      <c r="F178" s="2007"/>
      <c r="G178" s="2007"/>
      <c r="H178" s="2007"/>
      <c r="I178" s="2007"/>
      <c r="J178" s="2007"/>
      <c r="K178" s="2007"/>
      <c r="L178" s="2007"/>
      <c r="M178" s="2007"/>
      <c r="N178" s="2007"/>
      <c r="O178" s="2007"/>
      <c r="P178" s="2007"/>
      <c r="Q178" s="2007"/>
      <c r="R178" s="2007"/>
      <c r="S178" s="2007"/>
      <c r="T178" s="2008" t="s">
        <v>299</v>
      </c>
      <c r="U178" s="2008"/>
      <c r="V178" s="2008"/>
      <c r="W178" s="2008"/>
      <c r="X178" s="2008"/>
      <c r="Y178" s="2008"/>
      <c r="Z178" s="2008"/>
      <c r="AA178" s="2008"/>
      <c r="AB178" s="2008"/>
      <c r="AC178" s="2008"/>
      <c r="AD178" s="460"/>
      <c r="AE178" s="460"/>
      <c r="AF178" s="460"/>
      <c r="AG178" s="460"/>
      <c r="AH178" s="460"/>
      <c r="AI178" s="460"/>
      <c r="AJ178" s="467"/>
      <c r="AK178" s="519"/>
      <c r="AL178" s="519"/>
      <c r="AM178" s="519"/>
      <c r="AN178" s="521"/>
      <c r="AP178" s="474" t="s">
        <v>994</v>
      </c>
      <c r="AQ178" s="474">
        <v>10</v>
      </c>
      <c r="AS178" s="474" t="s">
        <v>299</v>
      </c>
    </row>
    <row r="179" spans="1:45" s="474" customFormat="1" ht="12.75" customHeight="1">
      <c r="A179" s="460"/>
      <c r="B179" s="529"/>
      <c r="C179" s="529"/>
      <c r="D179" s="529"/>
      <c r="E179" s="529"/>
      <c r="F179" s="529"/>
      <c r="G179" s="529"/>
      <c r="H179" s="529"/>
      <c r="I179" s="529"/>
      <c r="J179" s="529"/>
      <c r="K179" s="529"/>
      <c r="L179" s="529"/>
      <c r="M179" s="529"/>
      <c r="N179" s="529"/>
      <c r="O179" s="529"/>
      <c r="P179" s="529"/>
      <c r="Q179" s="529"/>
      <c r="R179" s="529"/>
      <c r="S179" s="529"/>
      <c r="T179" s="529"/>
      <c r="U179" s="529"/>
      <c r="V179" s="529"/>
      <c r="W179" s="529"/>
      <c r="X179" s="529"/>
      <c r="Y179" s="529"/>
      <c r="Z179" s="529"/>
      <c r="AA179" s="529"/>
      <c r="AB179" s="529"/>
      <c r="AC179" s="529"/>
      <c r="AD179" s="529"/>
      <c r="AE179" s="460"/>
      <c r="AF179" s="460"/>
      <c r="AG179" s="460"/>
      <c r="AH179" s="460"/>
      <c r="AI179" s="460"/>
      <c r="AJ179" s="467"/>
      <c r="AK179" s="519"/>
      <c r="AL179" s="519"/>
      <c r="AM179" s="542"/>
      <c r="AP179" s="474" t="s">
        <v>2051</v>
      </c>
      <c r="AQ179" s="474">
        <v>10</v>
      </c>
      <c r="AS179" s="474" t="s">
        <v>2052</v>
      </c>
    </row>
    <row r="180" spans="1:45" s="474" customFormat="1" ht="12.75" customHeight="1">
      <c r="A180" s="530"/>
      <c r="B180" s="488"/>
      <c r="C180" s="488"/>
      <c r="D180" s="488"/>
      <c r="E180" s="488"/>
      <c r="F180" s="488"/>
      <c r="G180" s="488"/>
      <c r="H180" s="488"/>
      <c r="I180" s="488"/>
      <c r="J180" s="488"/>
      <c r="K180" s="488"/>
      <c r="L180" s="488"/>
      <c r="M180" s="488"/>
      <c r="N180" s="488"/>
      <c r="O180" s="488"/>
      <c r="P180" s="488"/>
      <c r="Q180" s="488"/>
      <c r="R180" s="488"/>
      <c r="S180" s="488"/>
      <c r="T180" s="488"/>
      <c r="U180" s="488"/>
      <c r="V180" s="488"/>
      <c r="W180" s="488"/>
      <c r="X180" s="488"/>
      <c r="Y180" s="488"/>
      <c r="Z180" s="488"/>
      <c r="AA180" s="488"/>
      <c r="AB180" s="488"/>
      <c r="AC180" s="488"/>
      <c r="AD180" s="488"/>
      <c r="AE180" s="488"/>
      <c r="AF180" s="488"/>
      <c r="AG180" s="488"/>
      <c r="AH180" s="488"/>
      <c r="AI180" s="489"/>
      <c r="AJ180" s="489" t="s">
        <v>2053</v>
      </c>
      <c r="AK180" s="1841">
        <f>IF(AK78&gt;0,VLOOKUP($B$177,AP174:AQ180,2,FALSE),0)</f>
        <v>10</v>
      </c>
      <c r="AL180" s="1842"/>
      <c r="AM180" s="1843"/>
      <c r="AN180" s="459"/>
      <c r="AP180" s="474" t="s">
        <v>2054</v>
      </c>
      <c r="AQ180" s="474">
        <v>10</v>
      </c>
      <c r="AS180" s="474" t="s">
        <v>2055</v>
      </c>
    </row>
    <row r="181" spans="1:45" s="474" customFormat="1" ht="12.75" customHeight="1" thickBot="1">
      <c r="A181" s="543"/>
      <c r="B181" s="543"/>
      <c r="C181" s="544"/>
      <c r="D181" s="545"/>
      <c r="E181" s="545"/>
      <c r="F181" s="545"/>
      <c r="G181" s="545"/>
      <c r="H181" s="545"/>
      <c r="I181" s="545"/>
      <c r="J181" s="545"/>
      <c r="K181" s="545"/>
      <c r="L181" s="545"/>
      <c r="M181" s="545"/>
      <c r="N181" s="545"/>
      <c r="O181" s="545"/>
      <c r="P181" s="545"/>
      <c r="Q181" s="545"/>
      <c r="R181" s="545"/>
      <c r="S181" s="545"/>
      <c r="T181" s="545"/>
      <c r="U181" s="545"/>
      <c r="V181" s="545"/>
      <c r="W181" s="545"/>
      <c r="X181" s="545"/>
      <c r="Y181" s="545"/>
      <c r="Z181" s="545"/>
      <c r="AA181" s="545"/>
      <c r="AB181" s="545"/>
      <c r="AC181" s="545"/>
      <c r="AD181" s="545"/>
      <c r="AE181" s="545"/>
      <c r="AF181" s="545"/>
      <c r="AG181" s="545"/>
      <c r="AH181" s="545"/>
      <c r="AI181" s="545"/>
      <c r="AJ181" s="545"/>
      <c r="AK181" s="545"/>
      <c r="AL181" s="545"/>
      <c r="AM181" s="545"/>
      <c r="AN181" s="521"/>
    </row>
    <row r="182" spans="1:45" s="474" customFormat="1" ht="12.75" customHeight="1" thickTop="1">
      <c r="A182" s="494"/>
      <c r="B182" s="495"/>
      <c r="C182" s="496"/>
      <c r="D182" s="496"/>
      <c r="E182" s="496"/>
      <c r="F182" s="496"/>
      <c r="G182" s="496"/>
      <c r="H182" s="496"/>
      <c r="I182" s="497"/>
      <c r="J182" s="497"/>
      <c r="K182" s="497"/>
      <c r="L182" s="497"/>
      <c r="M182" s="497"/>
      <c r="N182" s="497"/>
      <c r="O182" s="497"/>
      <c r="P182" s="497"/>
      <c r="Q182" s="497"/>
      <c r="R182" s="494"/>
      <c r="S182" s="463"/>
      <c r="T182" s="463"/>
      <c r="U182" s="463"/>
      <c r="V182" s="463"/>
      <c r="W182" s="463"/>
      <c r="X182" s="463"/>
      <c r="Y182" s="463"/>
      <c r="Z182" s="463"/>
      <c r="AA182" s="463"/>
      <c r="AB182" s="463"/>
      <c r="AC182" s="463"/>
      <c r="AD182" s="463"/>
      <c r="AE182" s="463"/>
      <c r="AF182" s="494"/>
      <c r="AG182" s="463"/>
      <c r="AH182" s="463"/>
      <c r="AI182" s="463"/>
      <c r="AJ182" s="463"/>
      <c r="AN182" s="521"/>
    </row>
    <row r="183" spans="1:45">
      <c r="A183" s="462" t="s">
        <v>2056</v>
      </c>
      <c r="B183" s="462" t="s">
        <v>2057</v>
      </c>
      <c r="C183" s="537"/>
      <c r="D183" s="538"/>
      <c r="E183" s="538"/>
      <c r="F183" s="538"/>
      <c r="G183" s="538"/>
      <c r="H183" s="538"/>
      <c r="I183" s="538"/>
      <c r="J183" s="538"/>
      <c r="K183" s="474"/>
      <c r="L183" s="474"/>
      <c r="M183" s="474"/>
      <c r="N183" s="474"/>
      <c r="O183" s="474"/>
      <c r="P183" s="474"/>
      <c r="Q183" s="474"/>
      <c r="R183" s="474"/>
      <c r="S183" s="474"/>
      <c r="T183" s="474"/>
      <c r="U183" s="474"/>
      <c r="V183" s="474"/>
      <c r="W183" s="474"/>
      <c r="X183" s="474"/>
      <c r="Y183" s="539"/>
      <c r="Z183" s="539"/>
      <c r="AA183" s="539"/>
      <c r="AB183" s="539"/>
      <c r="AC183" s="474"/>
      <c r="AD183" s="474"/>
      <c r="AE183" s="1847" t="s">
        <v>2058</v>
      </c>
      <c r="AF183" s="1847"/>
      <c r="AG183" s="1847"/>
      <c r="AH183" s="1847"/>
      <c r="AI183" s="1847"/>
      <c r="AJ183" s="1847"/>
      <c r="AK183" s="1847"/>
    </row>
    <row r="184" spans="1:45">
      <c r="A184" s="462"/>
      <c r="B184" s="462"/>
      <c r="C184" s="537"/>
      <c r="D184" s="538"/>
      <c r="E184" s="538"/>
      <c r="F184" s="538"/>
      <c r="G184" s="538"/>
      <c r="H184" s="538"/>
      <c r="I184" s="538"/>
      <c r="J184" s="538"/>
      <c r="K184" s="460"/>
      <c r="L184" s="460"/>
      <c r="M184" s="460"/>
      <c r="N184" s="460"/>
      <c r="O184" s="460"/>
      <c r="P184" s="460"/>
      <c r="Q184" s="460"/>
      <c r="R184" s="460"/>
      <c r="S184" s="460"/>
      <c r="T184" s="460"/>
      <c r="U184" s="460"/>
      <c r="V184" s="460"/>
      <c r="W184" s="460"/>
      <c r="X184" s="460"/>
      <c r="Y184" s="539"/>
      <c r="Z184" s="539"/>
      <c r="AA184" s="539"/>
      <c r="AB184" s="539"/>
      <c r="AC184" s="460"/>
      <c r="AD184" s="460"/>
      <c r="AE184" s="467"/>
      <c r="AF184" s="467"/>
      <c r="AG184" s="467"/>
      <c r="AH184" s="467"/>
      <c r="AI184" s="467"/>
      <c r="AJ184" s="467"/>
      <c r="AK184" s="467"/>
    </row>
    <row r="185" spans="1:45">
      <c r="A185" s="462"/>
      <c r="B185" s="768" t="s">
        <v>2059</v>
      </c>
      <c r="C185" s="537"/>
      <c r="D185" s="538"/>
      <c r="E185" s="538"/>
      <c r="F185" s="538"/>
      <c r="G185" s="538"/>
      <c r="H185" s="538"/>
      <c r="I185" s="538"/>
      <c r="J185" s="538"/>
      <c r="K185" s="460"/>
      <c r="L185" s="460"/>
      <c r="M185" s="460"/>
      <c r="N185" s="460"/>
      <c r="O185" s="460"/>
      <c r="P185" s="460"/>
      <c r="Q185" s="460"/>
      <c r="R185" s="460"/>
      <c r="S185" s="460"/>
      <c r="T185" s="460"/>
      <c r="U185" s="460"/>
      <c r="V185" s="460"/>
      <c r="W185" s="460"/>
      <c r="X185" s="460"/>
      <c r="Y185" s="539"/>
      <c r="Z185" s="539"/>
      <c r="AA185" s="539"/>
      <c r="AB185" s="539"/>
      <c r="AC185" s="460"/>
      <c r="AD185" s="460"/>
      <c r="AE185" s="467"/>
      <c r="AF185" s="467"/>
      <c r="AG185" s="467"/>
      <c r="AH185" s="467"/>
      <c r="AI185" s="467"/>
      <c r="AJ185" s="467"/>
      <c r="AK185" s="467"/>
    </row>
    <row r="186" spans="1:45">
      <c r="A186" s="529"/>
      <c r="C186" s="587"/>
      <c r="D186" s="751"/>
      <c r="E186" s="751"/>
      <c r="F186" s="751"/>
      <c r="G186" s="751"/>
      <c r="H186" s="751"/>
      <c r="I186" s="751"/>
      <c r="J186" s="751"/>
      <c r="K186" s="460"/>
      <c r="L186" s="460"/>
      <c r="M186" s="460"/>
      <c r="N186" s="460"/>
      <c r="O186" s="460"/>
      <c r="P186" s="460"/>
      <c r="Q186" s="460"/>
      <c r="R186" s="460"/>
      <c r="S186" s="460"/>
      <c r="T186" s="460"/>
      <c r="U186" s="460"/>
      <c r="V186" s="460"/>
      <c r="W186" s="460"/>
      <c r="X186" s="460"/>
      <c r="Y186" s="567"/>
      <c r="Z186" s="567"/>
      <c r="AA186" s="567"/>
      <c r="AB186" s="567"/>
      <c r="AC186" s="460"/>
      <c r="AD186" s="460"/>
      <c r="AE186" s="534"/>
      <c r="AF186" s="534"/>
      <c r="AG186" s="534"/>
      <c r="AH186" s="534"/>
      <c r="AI186" s="534"/>
      <c r="AJ186" s="534"/>
      <c r="AK186" s="534"/>
    </row>
    <row r="187" spans="1:45">
      <c r="A187" s="529"/>
      <c r="B187" s="769" t="s">
        <v>2060</v>
      </c>
      <c r="C187" s="587"/>
      <c r="D187" s="751"/>
      <c r="E187" s="751"/>
      <c r="F187" s="751"/>
      <c r="G187" s="751"/>
      <c r="H187" s="751"/>
      <c r="I187" s="751"/>
      <c r="J187" s="751"/>
      <c r="K187" s="460"/>
      <c r="L187" s="460"/>
      <c r="M187" s="460"/>
      <c r="N187" s="460"/>
      <c r="O187" s="460"/>
      <c r="P187" s="460"/>
      <c r="Q187" s="460"/>
      <c r="R187" s="460"/>
      <c r="S187" s="460"/>
      <c r="T187" s="460"/>
      <c r="U187" s="460"/>
      <c r="V187" s="460"/>
      <c r="W187" s="460"/>
      <c r="X187" s="460"/>
      <c r="Y187" s="567"/>
      <c r="Z187" s="567"/>
      <c r="AA187" s="567"/>
      <c r="AB187" s="567"/>
      <c r="AC187" s="460"/>
      <c r="AD187" s="460"/>
      <c r="AE187" s="534"/>
      <c r="AF187" s="534"/>
      <c r="AG187" s="534"/>
      <c r="AH187" s="534"/>
      <c r="AI187" s="534"/>
      <c r="AJ187" s="534"/>
      <c r="AK187" s="534"/>
    </row>
    <row r="188" spans="1:45">
      <c r="A188" s="529"/>
      <c r="B188" s="2000" t="s">
        <v>1466</v>
      </c>
      <c r="C188" s="2000"/>
      <c r="D188" s="2000"/>
      <c r="E188" s="2000"/>
      <c r="F188" s="2000"/>
      <c r="G188" s="2000"/>
      <c r="H188" s="2000"/>
      <c r="I188" s="2000"/>
      <c r="J188" s="2000"/>
      <c r="K188" s="2000"/>
      <c r="L188" s="2000"/>
      <c r="M188" s="2000"/>
      <c r="N188" s="2000"/>
      <c r="O188" s="2000"/>
      <c r="P188" s="2000"/>
      <c r="Q188" s="2000"/>
      <c r="R188" s="2000"/>
      <c r="S188" s="2000"/>
      <c r="T188" s="2000"/>
      <c r="U188" s="2000"/>
      <c r="V188" s="2000"/>
      <c r="W188" s="2000"/>
      <c r="X188" s="2000"/>
      <c r="Y188" s="2000"/>
      <c r="Z188" s="2000"/>
      <c r="AA188" s="2000"/>
      <c r="AB188" s="2000"/>
      <c r="AC188" s="770"/>
      <c r="AD188" s="1990">
        <v>7650000</v>
      </c>
      <c r="AE188" s="1990"/>
      <c r="AF188" s="1990"/>
      <c r="AG188" s="1990"/>
      <c r="AH188" s="1990"/>
      <c r="AI188" s="1990"/>
      <c r="AJ188" s="1990"/>
      <c r="AK188" s="534"/>
    </row>
    <row r="189" spans="1:45">
      <c r="A189" s="529"/>
      <c r="B189" s="2000"/>
      <c r="C189" s="2000"/>
      <c r="D189" s="2000"/>
      <c r="E189" s="2000"/>
      <c r="F189" s="2000"/>
      <c r="G189" s="2000"/>
      <c r="H189" s="2000"/>
      <c r="I189" s="2000"/>
      <c r="J189" s="2000"/>
      <c r="K189" s="2000"/>
      <c r="L189" s="2000"/>
      <c r="M189" s="2000"/>
      <c r="N189" s="2000"/>
      <c r="O189" s="2000"/>
      <c r="P189" s="2000"/>
      <c r="Q189" s="2000"/>
      <c r="R189" s="2000"/>
      <c r="S189" s="2000"/>
      <c r="T189" s="2000"/>
      <c r="U189" s="2000"/>
      <c r="V189" s="2000"/>
      <c r="W189" s="2000"/>
      <c r="X189" s="2000"/>
      <c r="Y189" s="2000"/>
      <c r="Z189" s="2000"/>
      <c r="AA189" s="2000"/>
      <c r="AB189" s="2000"/>
      <c r="AC189" s="770"/>
      <c r="AD189" s="1990"/>
      <c r="AE189" s="1990"/>
      <c r="AF189" s="1990"/>
      <c r="AG189" s="1990"/>
      <c r="AH189" s="1990"/>
      <c r="AI189" s="1990"/>
      <c r="AJ189" s="1990"/>
      <c r="AK189" s="534"/>
    </row>
    <row r="190" spans="1:45">
      <c r="A190" s="529"/>
      <c r="B190" s="2000"/>
      <c r="C190" s="2000"/>
      <c r="D190" s="2000"/>
      <c r="E190" s="2000"/>
      <c r="F190" s="2000"/>
      <c r="G190" s="2000"/>
      <c r="H190" s="2000"/>
      <c r="I190" s="2000"/>
      <c r="J190" s="2000"/>
      <c r="K190" s="2000"/>
      <c r="L190" s="2000"/>
      <c r="M190" s="2000"/>
      <c r="N190" s="2000"/>
      <c r="O190" s="2000"/>
      <c r="P190" s="2000"/>
      <c r="Q190" s="2000"/>
      <c r="R190" s="2000"/>
      <c r="S190" s="2000"/>
      <c r="T190" s="2000"/>
      <c r="U190" s="2000"/>
      <c r="V190" s="2000"/>
      <c r="W190" s="2000"/>
      <c r="X190" s="2000"/>
      <c r="Y190" s="2000"/>
      <c r="Z190" s="2000"/>
      <c r="AA190" s="2000"/>
      <c r="AB190" s="2000"/>
      <c r="AC190" s="770"/>
      <c r="AD190" s="1990"/>
      <c r="AE190" s="1990"/>
      <c r="AF190" s="1990"/>
      <c r="AG190" s="1990"/>
      <c r="AH190" s="1990"/>
      <c r="AI190" s="1990"/>
      <c r="AJ190" s="1990"/>
      <c r="AK190" s="534"/>
    </row>
    <row r="191" spans="1:45">
      <c r="A191" s="529"/>
      <c r="B191" s="2000"/>
      <c r="C191" s="2000"/>
      <c r="D191" s="2000"/>
      <c r="E191" s="2000"/>
      <c r="F191" s="2000"/>
      <c r="G191" s="2000"/>
      <c r="H191" s="2000"/>
      <c r="I191" s="2000"/>
      <c r="J191" s="2000"/>
      <c r="K191" s="2000"/>
      <c r="L191" s="2000"/>
      <c r="M191" s="2000"/>
      <c r="N191" s="2000"/>
      <c r="O191" s="2000"/>
      <c r="P191" s="2000"/>
      <c r="Q191" s="2000"/>
      <c r="R191" s="2000"/>
      <c r="S191" s="2000"/>
      <c r="T191" s="2000"/>
      <c r="U191" s="2000"/>
      <c r="V191" s="2000"/>
      <c r="W191" s="2000"/>
      <c r="X191" s="2000"/>
      <c r="Y191" s="2000"/>
      <c r="Z191" s="2000"/>
      <c r="AA191" s="2000"/>
      <c r="AB191" s="2000"/>
      <c r="AC191" s="770"/>
      <c r="AD191" s="1990"/>
      <c r="AE191" s="1990"/>
      <c r="AF191" s="1990"/>
      <c r="AG191" s="1990"/>
      <c r="AH191" s="1990"/>
      <c r="AI191" s="1990"/>
      <c r="AJ191" s="1990"/>
      <c r="AK191" s="534"/>
    </row>
    <row r="192" spans="1:45">
      <c r="A192" s="529"/>
      <c r="B192" s="2000"/>
      <c r="C192" s="2000"/>
      <c r="D192" s="2000"/>
      <c r="E192" s="2000"/>
      <c r="F192" s="2000"/>
      <c r="G192" s="2000"/>
      <c r="H192" s="2000"/>
      <c r="I192" s="2000"/>
      <c r="J192" s="2000"/>
      <c r="K192" s="2000"/>
      <c r="L192" s="2000"/>
      <c r="M192" s="2000"/>
      <c r="N192" s="2000"/>
      <c r="O192" s="2000"/>
      <c r="P192" s="2000"/>
      <c r="Q192" s="2000"/>
      <c r="R192" s="2000"/>
      <c r="S192" s="2000"/>
      <c r="T192" s="2000"/>
      <c r="U192" s="2000"/>
      <c r="V192" s="2000"/>
      <c r="W192" s="2000"/>
      <c r="X192" s="2000"/>
      <c r="Y192" s="2000"/>
      <c r="Z192" s="2000"/>
      <c r="AA192" s="2000"/>
      <c r="AB192" s="2000"/>
      <c r="AC192" s="770"/>
      <c r="AD192" s="1990"/>
      <c r="AE192" s="1990"/>
      <c r="AF192" s="1990"/>
      <c r="AG192" s="1990"/>
      <c r="AH192" s="1990"/>
      <c r="AI192" s="1990"/>
      <c r="AJ192" s="1990"/>
      <c r="AK192" s="534"/>
    </row>
    <row r="193" spans="1:37">
      <c r="A193" s="529"/>
      <c r="B193" s="2000"/>
      <c r="C193" s="2000"/>
      <c r="D193" s="2000"/>
      <c r="E193" s="2000"/>
      <c r="F193" s="2000"/>
      <c r="G193" s="2000"/>
      <c r="H193" s="2000"/>
      <c r="I193" s="2000"/>
      <c r="J193" s="2000"/>
      <c r="K193" s="2000"/>
      <c r="L193" s="2000"/>
      <c r="M193" s="2000"/>
      <c r="N193" s="2000"/>
      <c r="O193" s="2000"/>
      <c r="P193" s="2000"/>
      <c r="Q193" s="2000"/>
      <c r="R193" s="2000"/>
      <c r="S193" s="2000"/>
      <c r="T193" s="2000"/>
      <c r="U193" s="2000"/>
      <c r="V193" s="2000"/>
      <c r="W193" s="2000"/>
      <c r="X193" s="2000"/>
      <c r="Y193" s="2000"/>
      <c r="Z193" s="2000"/>
      <c r="AA193" s="2000"/>
      <c r="AB193" s="2000"/>
      <c r="AC193" s="770"/>
      <c r="AD193" s="1990"/>
      <c r="AE193" s="1990"/>
      <c r="AF193" s="1990"/>
      <c r="AG193" s="1990"/>
      <c r="AH193" s="1990"/>
      <c r="AI193" s="1990"/>
      <c r="AJ193" s="1990"/>
      <c r="AK193" s="534"/>
    </row>
    <row r="194" spans="1:37">
      <c r="A194" s="529"/>
      <c r="B194" s="2000"/>
      <c r="C194" s="2000"/>
      <c r="D194" s="2000"/>
      <c r="E194" s="2000"/>
      <c r="F194" s="2000"/>
      <c r="G194" s="2000"/>
      <c r="H194" s="2000"/>
      <c r="I194" s="2000"/>
      <c r="J194" s="2000"/>
      <c r="K194" s="2000"/>
      <c r="L194" s="2000"/>
      <c r="M194" s="2000"/>
      <c r="N194" s="2000"/>
      <c r="O194" s="2000"/>
      <c r="P194" s="2000"/>
      <c r="Q194" s="2000"/>
      <c r="R194" s="2000"/>
      <c r="S194" s="2000"/>
      <c r="T194" s="2000"/>
      <c r="U194" s="2000"/>
      <c r="V194" s="2000"/>
      <c r="W194" s="2000"/>
      <c r="X194" s="2000"/>
      <c r="Y194" s="2000"/>
      <c r="Z194" s="2000"/>
      <c r="AA194" s="2000"/>
      <c r="AB194" s="2000"/>
      <c r="AC194" s="770"/>
      <c r="AD194" s="1990"/>
      <c r="AE194" s="1990"/>
      <c r="AF194" s="1990"/>
      <c r="AG194" s="1990"/>
      <c r="AH194" s="1990"/>
      <c r="AI194" s="1990"/>
      <c r="AJ194" s="1990"/>
      <c r="AK194" s="534"/>
    </row>
    <row r="195" spans="1:37">
      <c r="A195" s="529"/>
      <c r="B195" s="2000"/>
      <c r="C195" s="2000"/>
      <c r="D195" s="2000"/>
      <c r="E195" s="2000"/>
      <c r="F195" s="2000"/>
      <c r="G195" s="2000"/>
      <c r="H195" s="2000"/>
      <c r="I195" s="2000"/>
      <c r="J195" s="2000"/>
      <c r="K195" s="2000"/>
      <c r="L195" s="2000"/>
      <c r="M195" s="2000"/>
      <c r="N195" s="2000"/>
      <c r="O195" s="2000"/>
      <c r="P195" s="2000"/>
      <c r="Q195" s="2000"/>
      <c r="R195" s="2000"/>
      <c r="S195" s="2000"/>
      <c r="T195" s="2000"/>
      <c r="U195" s="2000"/>
      <c r="V195" s="2000"/>
      <c r="W195" s="2000"/>
      <c r="X195" s="2000"/>
      <c r="Y195" s="2000"/>
      <c r="Z195" s="2000"/>
      <c r="AA195" s="2000"/>
      <c r="AB195" s="2000"/>
      <c r="AC195" s="770"/>
      <c r="AD195" s="1990"/>
      <c r="AE195" s="1990"/>
      <c r="AF195" s="1990"/>
      <c r="AG195" s="1990"/>
      <c r="AH195" s="1990"/>
      <c r="AI195" s="1990"/>
      <c r="AJ195" s="1990"/>
      <c r="AK195" s="534"/>
    </row>
    <row r="196" spans="1:37">
      <c r="A196" s="529"/>
      <c r="B196" s="2000"/>
      <c r="C196" s="2000"/>
      <c r="D196" s="2000"/>
      <c r="E196" s="2000"/>
      <c r="F196" s="2000"/>
      <c r="G196" s="2000"/>
      <c r="H196" s="2000"/>
      <c r="I196" s="2000"/>
      <c r="J196" s="2000"/>
      <c r="K196" s="2000"/>
      <c r="L196" s="2000"/>
      <c r="M196" s="2000"/>
      <c r="N196" s="2000"/>
      <c r="O196" s="2000"/>
      <c r="P196" s="2000"/>
      <c r="Q196" s="2000"/>
      <c r="R196" s="2000"/>
      <c r="S196" s="2000"/>
      <c r="T196" s="2000"/>
      <c r="U196" s="2000"/>
      <c r="V196" s="2000"/>
      <c r="W196" s="2000"/>
      <c r="X196" s="2000"/>
      <c r="Y196" s="2000"/>
      <c r="Z196" s="2000"/>
      <c r="AA196" s="2000"/>
      <c r="AB196" s="2000"/>
      <c r="AC196" s="770"/>
      <c r="AD196" s="1990"/>
      <c r="AE196" s="1990"/>
      <c r="AF196" s="1990"/>
      <c r="AG196" s="1990"/>
      <c r="AH196" s="1990"/>
      <c r="AI196" s="1990"/>
      <c r="AJ196" s="1990"/>
      <c r="AK196" s="534"/>
    </row>
    <row r="197" spans="1:37">
      <c r="A197" s="529"/>
      <c r="B197" s="2000"/>
      <c r="C197" s="2000"/>
      <c r="D197" s="2000"/>
      <c r="E197" s="2000"/>
      <c r="F197" s="2000"/>
      <c r="G197" s="2000"/>
      <c r="H197" s="2000"/>
      <c r="I197" s="2000"/>
      <c r="J197" s="2000"/>
      <c r="K197" s="2000"/>
      <c r="L197" s="2000"/>
      <c r="M197" s="2000"/>
      <c r="N197" s="2000"/>
      <c r="O197" s="2000"/>
      <c r="P197" s="2000"/>
      <c r="Q197" s="2000"/>
      <c r="R197" s="2000"/>
      <c r="S197" s="2000"/>
      <c r="T197" s="2000"/>
      <c r="U197" s="2000"/>
      <c r="V197" s="2000"/>
      <c r="W197" s="2000"/>
      <c r="X197" s="2000"/>
      <c r="Y197" s="2000"/>
      <c r="Z197" s="2000"/>
      <c r="AA197" s="2000"/>
      <c r="AB197" s="2000"/>
      <c r="AC197" s="770"/>
      <c r="AD197" s="1990"/>
      <c r="AE197" s="1990"/>
      <c r="AF197" s="1990"/>
      <c r="AG197" s="1990"/>
      <c r="AH197" s="1990"/>
      <c r="AI197" s="1990"/>
      <c r="AJ197" s="1990"/>
      <c r="AK197" s="534"/>
    </row>
    <row r="198" spans="1:37">
      <c r="A198" s="529"/>
      <c r="B198" s="1861" t="s">
        <v>2061</v>
      </c>
      <c r="C198" s="1861"/>
      <c r="D198" s="1861"/>
      <c r="E198" s="1861"/>
      <c r="F198" s="1861"/>
      <c r="G198" s="1861"/>
      <c r="H198" s="1861"/>
      <c r="I198" s="1861"/>
      <c r="J198" s="1861"/>
      <c r="K198" s="1861"/>
      <c r="L198" s="1861"/>
      <c r="M198" s="1861"/>
      <c r="N198" s="1861"/>
      <c r="O198" s="1861"/>
      <c r="P198" s="1861"/>
      <c r="Q198" s="1861"/>
      <c r="R198" s="1861"/>
      <c r="S198" s="1861"/>
      <c r="T198" s="1861"/>
      <c r="U198" s="1861"/>
      <c r="V198" s="1861"/>
      <c r="W198" s="1861"/>
      <c r="X198" s="1861"/>
      <c r="Y198" s="1861"/>
      <c r="Z198" s="1861"/>
      <c r="AA198" s="1861"/>
      <c r="AB198" s="1861"/>
      <c r="AC198" s="460"/>
      <c r="AD198" s="1988">
        <f>AB249</f>
        <v>14092511.867054306</v>
      </c>
      <c r="AE198" s="1988"/>
      <c r="AF198" s="1988"/>
      <c r="AG198" s="1988"/>
      <c r="AH198" s="1988"/>
      <c r="AI198" s="1988"/>
      <c r="AJ198" s="1988"/>
      <c r="AK198" s="534"/>
    </row>
    <row r="199" spans="1:37">
      <c r="A199" s="529"/>
      <c r="B199" s="1859" t="s">
        <v>2062</v>
      </c>
      <c r="C199" s="1859"/>
      <c r="D199" s="1859"/>
      <c r="E199" s="1859"/>
      <c r="F199" s="1859"/>
      <c r="G199" s="1859"/>
      <c r="H199" s="1859"/>
      <c r="I199" s="1859"/>
      <c r="J199" s="1859"/>
      <c r="K199" s="1859"/>
      <c r="L199" s="1859"/>
      <c r="M199" s="1859"/>
      <c r="N199" s="1859"/>
      <c r="O199" s="1859"/>
      <c r="P199" s="1859"/>
      <c r="Q199" s="1859"/>
      <c r="R199" s="1859"/>
      <c r="S199" s="1859"/>
      <c r="T199" s="1859"/>
      <c r="U199" s="1859"/>
      <c r="V199" s="1859"/>
      <c r="W199" s="1859"/>
      <c r="X199" s="1859"/>
      <c r="Y199" s="1859"/>
      <c r="Z199" s="1859"/>
      <c r="AA199" s="1859"/>
      <c r="AB199" s="1859"/>
      <c r="AC199" s="770"/>
      <c r="AD199" s="1989">
        <f>'Sources and Uses Budget'!B15</f>
        <v>0</v>
      </c>
      <c r="AE199" s="1989"/>
      <c r="AF199" s="1989"/>
      <c r="AG199" s="1989"/>
      <c r="AH199" s="1989"/>
      <c r="AI199" s="1989"/>
      <c r="AJ199" s="1989"/>
      <c r="AK199" s="534"/>
    </row>
    <row r="200" spans="1:37">
      <c r="A200" s="529"/>
      <c r="B200" s="373"/>
      <c r="C200" s="373"/>
      <c r="D200" s="373"/>
      <c r="E200" s="373"/>
      <c r="F200" s="373"/>
      <c r="G200" s="373"/>
      <c r="H200" s="373"/>
      <c r="I200" s="373"/>
      <c r="J200" s="373"/>
      <c r="K200" s="373"/>
      <c r="L200" s="373"/>
      <c r="M200" s="373"/>
      <c r="N200" s="373"/>
      <c r="O200" s="373"/>
      <c r="P200" s="373"/>
      <c r="Q200" s="373"/>
      <c r="R200" s="373"/>
      <c r="S200" s="373"/>
      <c r="T200" s="373"/>
      <c r="U200" s="373"/>
      <c r="V200" s="373"/>
      <c r="W200" s="373"/>
      <c r="X200" s="373"/>
      <c r="Y200" s="373"/>
      <c r="Z200" s="373"/>
      <c r="AA200" s="373"/>
      <c r="AB200" s="547" t="s">
        <v>1553</v>
      </c>
      <c r="AC200" s="460"/>
      <c r="AD200" s="1994">
        <f>SUM(AD188:AJ198)-AD199</f>
        <v>21742511.867054306</v>
      </c>
      <c r="AE200" s="1994"/>
      <c r="AF200" s="1994"/>
      <c r="AG200" s="1994"/>
      <c r="AH200" s="1994"/>
      <c r="AI200" s="1994"/>
      <c r="AJ200" s="1994"/>
      <c r="AK200" s="534"/>
    </row>
    <row r="201" spans="1:37">
      <c r="A201" s="529"/>
      <c r="B201" s="529"/>
      <c r="C201" s="587"/>
      <c r="D201" s="751"/>
      <c r="E201" s="751"/>
      <c r="F201" s="751"/>
      <c r="G201" s="751"/>
      <c r="H201" s="751"/>
      <c r="I201" s="751"/>
      <c r="J201" s="751"/>
      <c r="K201" s="460"/>
      <c r="L201" s="460"/>
      <c r="M201" s="460"/>
      <c r="N201" s="460"/>
      <c r="O201" s="460"/>
      <c r="P201" s="460"/>
      <c r="Q201" s="460"/>
      <c r="R201" s="460"/>
      <c r="S201" s="460"/>
      <c r="T201" s="460"/>
      <c r="U201" s="460"/>
      <c r="V201" s="460"/>
      <c r="W201" s="460"/>
      <c r="X201" s="460"/>
      <c r="Y201" s="567"/>
      <c r="Z201" s="567"/>
      <c r="AA201" s="567"/>
      <c r="AB201" s="567"/>
      <c r="AC201" s="460"/>
      <c r="AD201" s="460"/>
      <c r="AE201" s="534"/>
      <c r="AF201" s="534"/>
      <c r="AG201" s="534"/>
      <c r="AH201" s="534"/>
      <c r="AI201" s="534"/>
      <c r="AJ201" s="534"/>
      <c r="AK201" s="534"/>
    </row>
    <row r="202" spans="1:37">
      <c r="A202" s="529"/>
      <c r="B202" s="423" t="s">
        <v>2063</v>
      </c>
      <c r="C202" s="587"/>
      <c r="D202" s="751"/>
      <c r="E202" s="751"/>
      <c r="F202" s="751"/>
      <c r="G202" s="751"/>
      <c r="H202" s="751"/>
      <c r="I202" s="751"/>
      <c r="J202" s="751"/>
      <c r="K202" s="460"/>
      <c r="L202" s="460"/>
      <c r="M202" s="460"/>
      <c r="N202" s="460"/>
      <c r="O202" s="460"/>
      <c r="P202" s="460"/>
      <c r="Q202" s="460"/>
      <c r="R202" s="460"/>
      <c r="S202" s="460"/>
      <c r="T202" s="460"/>
      <c r="U202" s="460"/>
      <c r="V202" s="460"/>
      <c r="W202" s="460"/>
      <c r="X202" s="460"/>
      <c r="Y202" s="567"/>
      <c r="Z202" s="567"/>
      <c r="AA202" s="567"/>
      <c r="AB202" s="567"/>
      <c r="AC202" s="460"/>
      <c r="AD202" s="460"/>
      <c r="AE202" s="534"/>
      <c r="AF202" s="534"/>
      <c r="AG202" s="534"/>
      <c r="AH202" s="534"/>
      <c r="AI202" s="534"/>
      <c r="AJ202" s="534"/>
      <c r="AK202" s="534"/>
    </row>
    <row r="203" spans="1:37">
      <c r="A203" s="529"/>
      <c r="B203" s="401" t="s">
        <v>2064</v>
      </c>
      <c r="C203" s="587"/>
      <c r="D203" s="751"/>
      <c r="E203" s="751"/>
      <c r="F203" s="751"/>
      <c r="G203" s="751"/>
      <c r="H203" s="751"/>
      <c r="I203" s="751"/>
      <c r="J203" s="751"/>
      <c r="K203" s="460"/>
      <c r="L203" s="460"/>
      <c r="M203" s="460"/>
      <c r="N203" s="460"/>
      <c r="O203" s="460"/>
      <c r="P203" s="460"/>
      <c r="Q203" s="460"/>
      <c r="R203" s="460"/>
      <c r="S203" s="460"/>
      <c r="T203" s="460"/>
      <c r="U203" s="460"/>
      <c r="V203" s="460"/>
      <c r="W203" s="460"/>
      <c r="X203" s="460"/>
      <c r="Y203" s="567"/>
      <c r="Z203" s="567"/>
      <c r="AA203" s="567"/>
      <c r="AB203" s="567"/>
      <c r="AC203" s="460"/>
      <c r="AD203" s="460"/>
      <c r="AE203" s="534"/>
      <c r="AF203" s="534"/>
      <c r="AG203" s="534"/>
      <c r="AH203" s="534"/>
      <c r="AI203" s="534"/>
      <c r="AJ203" s="534"/>
      <c r="AK203" s="534"/>
    </row>
    <row r="204" spans="1:37">
      <c r="A204" s="778"/>
      <c r="B204" s="800" t="s">
        <v>2065</v>
      </c>
      <c r="C204" s="801"/>
      <c r="D204" s="802"/>
      <c r="E204" s="802"/>
      <c r="F204" s="802"/>
      <c r="G204" s="802"/>
      <c r="H204" s="802"/>
      <c r="I204" s="802"/>
      <c r="J204" s="802"/>
      <c r="K204" s="803"/>
      <c r="L204" s="803"/>
      <c r="M204" s="803"/>
      <c r="N204" s="803"/>
      <c r="O204" s="803"/>
      <c r="P204" s="803"/>
      <c r="Q204" s="803"/>
      <c r="R204" s="803"/>
      <c r="S204" s="668"/>
      <c r="T204" s="668"/>
      <c r="U204" s="668"/>
      <c r="V204" s="668"/>
      <c r="W204" s="668"/>
      <c r="X204" s="668"/>
      <c r="Y204" s="752"/>
      <c r="Z204" s="752"/>
      <c r="AA204" s="752"/>
      <c r="AB204" s="752"/>
      <c r="AC204" s="668"/>
      <c r="AD204" s="668"/>
      <c r="AE204" s="753"/>
      <c r="AF204" s="753"/>
      <c r="AG204" s="753"/>
      <c r="AH204" s="753"/>
      <c r="AI204" s="753"/>
      <c r="AJ204" s="754"/>
      <c r="AK204" s="534"/>
    </row>
    <row r="205" spans="1:37">
      <c r="A205" s="778"/>
      <c r="B205" s="804" t="s">
        <v>2066</v>
      </c>
      <c r="C205" s="805"/>
      <c r="D205" s="806"/>
      <c r="E205" s="806"/>
      <c r="F205" s="806"/>
      <c r="G205" s="806"/>
      <c r="H205" s="806"/>
      <c r="I205" s="806"/>
      <c r="J205" s="806"/>
      <c r="K205" s="807"/>
      <c r="L205" s="807"/>
      <c r="M205" s="807"/>
      <c r="N205" s="807"/>
      <c r="O205" s="807"/>
      <c r="P205" s="807"/>
      <c r="Q205" s="807"/>
      <c r="R205" s="807"/>
      <c r="S205" s="460"/>
      <c r="T205" s="460"/>
      <c r="U205" s="460"/>
      <c r="V205" s="460"/>
      <c r="W205" s="460"/>
      <c r="X205" s="460"/>
      <c r="Y205" s="567"/>
      <c r="Z205" s="567"/>
      <c r="AA205" s="567"/>
      <c r="AB205" s="567"/>
      <c r="AC205" s="460"/>
      <c r="AD205" s="460"/>
      <c r="AE205" s="534"/>
      <c r="AF205" s="534"/>
      <c r="AG205" s="534"/>
      <c r="AH205" s="534"/>
      <c r="AI205" s="534"/>
      <c r="AJ205" s="755"/>
      <c r="AK205" s="534"/>
    </row>
    <row r="206" spans="1:37">
      <c r="A206" s="778"/>
      <c r="B206" s="804" t="s">
        <v>2067</v>
      </c>
      <c r="C206" s="805"/>
      <c r="D206" s="806"/>
      <c r="E206" s="806"/>
      <c r="F206" s="806"/>
      <c r="G206" s="806"/>
      <c r="H206" s="806"/>
      <c r="I206" s="806"/>
      <c r="J206" s="806"/>
      <c r="K206" s="807"/>
      <c r="L206" s="807"/>
      <c r="M206" s="807"/>
      <c r="N206" s="807"/>
      <c r="O206" s="807"/>
      <c r="P206" s="807"/>
      <c r="Q206" s="807"/>
      <c r="R206" s="807"/>
      <c r="S206" s="460"/>
      <c r="T206" s="460"/>
      <c r="U206" s="460"/>
      <c r="V206" s="460"/>
      <c r="W206" s="460"/>
      <c r="X206" s="460"/>
      <c r="Y206" s="567"/>
      <c r="Z206" s="567"/>
      <c r="AA206" s="567"/>
      <c r="AB206" s="567"/>
      <c r="AC206" s="460"/>
      <c r="AD206" s="460"/>
      <c r="AE206" s="534"/>
      <c r="AF206" s="534"/>
      <c r="AG206" s="534"/>
      <c r="AH206" s="534"/>
      <c r="AI206" s="534"/>
      <c r="AJ206" s="755"/>
      <c r="AK206" s="534"/>
    </row>
    <row r="207" spans="1:37">
      <c r="A207" s="778"/>
      <c r="B207" s="804" t="s">
        <v>2068</v>
      </c>
      <c r="C207" s="805"/>
      <c r="D207" s="806"/>
      <c r="E207" s="806"/>
      <c r="F207" s="806"/>
      <c r="G207" s="806"/>
      <c r="H207" s="806"/>
      <c r="I207" s="806"/>
      <c r="J207" s="806"/>
      <c r="K207" s="807"/>
      <c r="L207" s="807"/>
      <c r="M207" s="807"/>
      <c r="N207" s="807"/>
      <c r="O207" s="807"/>
      <c r="P207" s="807"/>
      <c r="Q207" s="807"/>
      <c r="R207" s="807"/>
      <c r="S207" s="460"/>
      <c r="T207" s="460"/>
      <c r="U207" s="460"/>
      <c r="V207" s="460"/>
      <c r="W207" s="460"/>
      <c r="X207" s="460"/>
      <c r="Y207" s="567"/>
      <c r="Z207" s="567"/>
      <c r="AA207" s="567"/>
      <c r="AB207" s="567"/>
      <c r="AC207" s="460"/>
      <c r="AD207" s="460"/>
      <c r="AE207" s="534"/>
      <c r="AF207" s="534"/>
      <c r="AG207" s="534"/>
      <c r="AH207" s="534"/>
      <c r="AI207" s="534"/>
      <c r="AJ207" s="755"/>
      <c r="AK207" s="534"/>
    </row>
    <row r="208" spans="1:37">
      <c r="A208" s="778"/>
      <c r="B208" s="808" t="s">
        <v>2069</v>
      </c>
      <c r="C208" s="805"/>
      <c r="D208" s="806"/>
      <c r="E208" s="806"/>
      <c r="F208" s="806"/>
      <c r="G208" s="806"/>
      <c r="H208" s="806"/>
      <c r="I208" s="806"/>
      <c r="J208" s="806"/>
      <c r="K208" s="807"/>
      <c r="L208" s="807"/>
      <c r="M208" s="807"/>
      <c r="N208" s="807"/>
      <c r="O208" s="807"/>
      <c r="P208" s="807"/>
      <c r="Q208" s="807"/>
      <c r="R208" s="807"/>
      <c r="S208" s="460"/>
      <c r="T208" s="460"/>
      <c r="U208" s="460"/>
      <c r="V208" s="460"/>
      <c r="W208" s="460"/>
      <c r="X208" s="460"/>
      <c r="Y208" s="567"/>
      <c r="Z208" s="567"/>
      <c r="AA208" s="567"/>
      <c r="AB208" s="567"/>
      <c r="AC208" s="460"/>
      <c r="AD208" s="460"/>
      <c r="AE208" s="534"/>
      <c r="AF208" s="534"/>
      <c r="AG208" s="534"/>
      <c r="AH208" s="534"/>
      <c r="AI208" s="534"/>
      <c r="AJ208" s="755"/>
      <c r="AK208" s="534"/>
    </row>
    <row r="209" spans="1:37">
      <c r="A209" s="778"/>
      <c r="B209" s="809" t="s">
        <v>2070</v>
      </c>
      <c r="C209" s="810"/>
      <c r="D209" s="811"/>
      <c r="E209" s="811"/>
      <c r="F209" s="811"/>
      <c r="G209" s="811"/>
      <c r="H209" s="811"/>
      <c r="I209" s="811"/>
      <c r="J209" s="811"/>
      <c r="K209" s="812"/>
      <c r="L209" s="812"/>
      <c r="M209" s="812"/>
      <c r="N209" s="812"/>
      <c r="O209" s="812"/>
      <c r="P209" s="812"/>
      <c r="Q209" s="812"/>
      <c r="R209" s="812"/>
      <c r="S209" s="661"/>
      <c r="T209" s="661"/>
      <c r="U209" s="661"/>
      <c r="V209" s="661"/>
      <c r="W209" s="661"/>
      <c r="X209" s="661"/>
      <c r="Y209" s="756"/>
      <c r="Z209" s="756"/>
      <c r="AA209" s="756"/>
      <c r="AB209" s="756"/>
      <c r="AC209" s="661"/>
      <c r="AD209" s="661"/>
      <c r="AE209" s="757"/>
      <c r="AF209" s="757"/>
      <c r="AG209" s="757"/>
      <c r="AH209" s="757"/>
      <c r="AI209" s="757"/>
      <c r="AJ209" s="758"/>
      <c r="AK209" s="534"/>
    </row>
    <row r="210" spans="1:37">
      <c r="A210" s="529"/>
      <c r="B210" s="529"/>
      <c r="C210" s="587"/>
      <c r="D210" s="751"/>
      <c r="E210" s="751"/>
      <c r="F210" s="751"/>
      <c r="G210" s="751"/>
      <c r="H210" s="751"/>
      <c r="I210" s="751"/>
      <c r="J210" s="751"/>
      <c r="K210" s="460"/>
      <c r="L210" s="460"/>
      <c r="M210" s="460"/>
      <c r="N210" s="460"/>
      <c r="O210" s="460"/>
      <c r="P210" s="460"/>
      <c r="Q210" s="460"/>
      <c r="R210" s="460"/>
      <c r="S210" s="460"/>
      <c r="T210" s="460"/>
      <c r="U210" s="460"/>
      <c r="V210" s="460"/>
      <c r="W210" s="460"/>
      <c r="X210" s="460"/>
      <c r="Y210" s="567"/>
      <c r="Z210" s="567"/>
      <c r="AA210" s="567"/>
      <c r="AB210" s="567"/>
      <c r="AC210" s="460"/>
      <c r="AD210" s="460"/>
      <c r="AE210" s="534"/>
      <c r="AF210" s="534"/>
      <c r="AG210" s="534"/>
      <c r="AH210" s="534"/>
      <c r="AI210" s="534"/>
      <c r="AJ210" s="534"/>
      <c r="AK210" s="534"/>
    </row>
    <row r="211" spans="1:37">
      <c r="A211" s="529"/>
      <c r="B211" s="772"/>
      <c r="C211" s="401"/>
      <c r="D211" s="401"/>
      <c r="I211" s="2014" t="s">
        <v>2071</v>
      </c>
      <c r="J211" s="2014"/>
      <c r="K211" s="2014"/>
      <c r="L211" s="460"/>
      <c r="M211" s="460"/>
      <c r="N211" s="460"/>
      <c r="O211" s="460"/>
      <c r="P211" s="460"/>
      <c r="Q211" s="460"/>
      <c r="R211" s="460"/>
      <c r="S211" s="460"/>
      <c r="T211" s="1825" t="s">
        <v>2072</v>
      </c>
      <c r="U211" s="1825"/>
      <c r="V211" s="1825"/>
      <c r="W211" s="1825"/>
      <c r="X211" s="1825"/>
      <c r="Y211" s="1825"/>
      <c r="Z211" s="773"/>
      <c r="AA211" s="414"/>
      <c r="AB211" s="2011" t="s">
        <v>2073</v>
      </c>
      <c r="AC211" s="2011"/>
      <c r="AD211" s="2011"/>
      <c r="AE211" s="2011"/>
      <c r="AF211" s="2011"/>
      <c r="AG211" s="2011"/>
      <c r="AH211" s="751"/>
      <c r="AI211" s="751"/>
      <c r="AJ211" s="751"/>
      <c r="AK211" s="534"/>
    </row>
    <row r="212" spans="1:37">
      <c r="A212" s="529"/>
      <c r="B212" s="2012" t="s">
        <v>2074</v>
      </c>
      <c r="C212" s="2012"/>
      <c r="D212" s="2012"/>
      <c r="E212" s="2012"/>
      <c r="F212" s="2012"/>
      <c r="G212" s="2012"/>
      <c r="I212" s="2013" t="s">
        <v>2075</v>
      </c>
      <c r="J212" s="2013"/>
      <c r="K212" s="2013"/>
      <c r="L212" s="927"/>
      <c r="N212" s="1860" t="s">
        <v>2076</v>
      </c>
      <c r="O212" s="1860"/>
      <c r="P212" s="1860"/>
      <c r="Q212" s="1860"/>
      <c r="R212" s="1860"/>
      <c r="T212" s="1860" t="s">
        <v>2077</v>
      </c>
      <c r="U212" s="1860"/>
      <c r="V212" s="1860"/>
      <c r="W212" s="1860"/>
      <c r="X212" s="1860"/>
      <c r="Y212" s="1860"/>
      <c r="Z212" s="774"/>
      <c r="AA212" s="414"/>
      <c r="AB212" s="1863" t="s">
        <v>2078</v>
      </c>
      <c r="AC212" s="1863"/>
      <c r="AD212" s="1863"/>
      <c r="AE212" s="1863"/>
      <c r="AF212" s="1863"/>
      <c r="AG212" s="1863"/>
      <c r="AH212" s="751"/>
      <c r="AI212" s="751"/>
      <c r="AJ212" s="751"/>
      <c r="AK212" s="534"/>
    </row>
    <row r="213" spans="1:37">
      <c r="A213" s="529"/>
      <c r="B213" s="1862" t="s">
        <v>2079</v>
      </c>
      <c r="C213" s="1862"/>
      <c r="D213" s="1862"/>
      <c r="E213" s="1862"/>
      <c r="F213" s="1862"/>
      <c r="G213" s="1862"/>
      <c r="H213" s="776"/>
      <c r="I213" s="1830">
        <v>75</v>
      </c>
      <c r="J213" s="1830"/>
      <c r="K213" s="1830"/>
      <c r="L213" s="927"/>
      <c r="N213" s="1827">
        <f>780-Application!T718</f>
        <v>680</v>
      </c>
      <c r="O213" s="1827"/>
      <c r="P213" s="1827"/>
      <c r="Q213" s="1827"/>
      <c r="R213" s="1827"/>
      <c r="T213" s="1826">
        <f>'Subsidy Contract Calculation'!F4</f>
        <v>1996</v>
      </c>
      <c r="U213" s="1826"/>
      <c r="V213" s="1826"/>
      <c r="W213" s="1826"/>
      <c r="X213" s="1826"/>
      <c r="Y213" s="1826"/>
      <c r="Z213" s="775"/>
      <c r="AA213" s="775"/>
      <c r="AB213" s="1824">
        <f t="shared" ref="AB213:AB222" si="0">MAX(($T213-$N213)*$I213*12,0)</f>
        <v>1184400</v>
      </c>
      <c r="AC213" s="1824"/>
      <c r="AD213" s="1824"/>
      <c r="AE213" s="1824"/>
      <c r="AF213" s="1824"/>
      <c r="AG213" s="1824"/>
      <c r="AH213" s="751"/>
      <c r="AI213" s="751"/>
      <c r="AJ213" s="751"/>
      <c r="AK213" s="534"/>
    </row>
    <row r="214" spans="1:37">
      <c r="A214" s="529"/>
      <c r="B214" s="1862" t="s">
        <v>2079</v>
      </c>
      <c r="C214" s="1862"/>
      <c r="D214" s="1862"/>
      <c r="E214" s="1862"/>
      <c r="F214" s="1862"/>
      <c r="G214" s="1862"/>
      <c r="I214" s="1830">
        <v>22</v>
      </c>
      <c r="J214" s="1830"/>
      <c r="K214" s="1830"/>
      <c r="L214" s="927"/>
      <c r="N214" s="1827">
        <f>1040-Application!T720</f>
        <v>940</v>
      </c>
      <c r="O214" s="1827"/>
      <c r="P214" s="1827"/>
      <c r="Q214" s="1827"/>
      <c r="R214" s="1827"/>
      <c r="T214" s="1826">
        <f>'Subsidy Contract Calculation'!F5</f>
        <v>1996</v>
      </c>
      <c r="U214" s="1826"/>
      <c r="V214" s="1826"/>
      <c r="W214" s="1826"/>
      <c r="X214" s="1826"/>
      <c r="Y214" s="1826"/>
      <c r="Z214" s="775"/>
      <c r="AA214" s="775"/>
      <c r="AB214" s="1824">
        <f t="shared" si="0"/>
        <v>278784</v>
      </c>
      <c r="AC214" s="1824"/>
      <c r="AD214" s="1824"/>
      <c r="AE214" s="1824"/>
      <c r="AF214" s="1824"/>
      <c r="AG214" s="1824"/>
      <c r="AH214" s="751"/>
      <c r="AI214" s="751"/>
      <c r="AJ214" s="751"/>
      <c r="AK214" s="534"/>
    </row>
    <row r="215" spans="1:37">
      <c r="A215" s="529"/>
      <c r="B215" s="1862" t="s">
        <v>2080</v>
      </c>
      <c r="C215" s="1862"/>
      <c r="D215" s="1862"/>
      <c r="E215" s="1862"/>
      <c r="F215" s="1862"/>
      <c r="G215" s="1862"/>
      <c r="I215" s="1830">
        <v>3</v>
      </c>
      <c r="J215" s="1830"/>
      <c r="K215" s="1830"/>
      <c r="L215" s="927"/>
      <c r="N215" s="1827">
        <f>1248-Application!T721</f>
        <v>1120</v>
      </c>
      <c r="O215" s="1827"/>
      <c r="P215" s="1827"/>
      <c r="Q215" s="1827"/>
      <c r="R215" s="1827"/>
      <c r="T215" s="1826">
        <f>'Subsidy Contract Calculation'!F7</f>
        <v>2538</v>
      </c>
      <c r="U215" s="1826"/>
      <c r="V215" s="1826"/>
      <c r="W215" s="1826"/>
      <c r="X215" s="1826"/>
      <c r="Y215" s="1826"/>
      <c r="Z215" s="775"/>
      <c r="AA215" s="775"/>
      <c r="AB215" s="1824">
        <f t="shared" si="0"/>
        <v>51048</v>
      </c>
      <c r="AC215" s="1824"/>
      <c r="AD215" s="1824"/>
      <c r="AE215" s="1824"/>
      <c r="AF215" s="1824"/>
      <c r="AG215" s="1824"/>
      <c r="AH215" s="751"/>
      <c r="AI215" s="751"/>
      <c r="AJ215" s="751"/>
      <c r="AK215" s="534"/>
    </row>
    <row r="216" spans="1:37">
      <c r="A216" s="529"/>
      <c r="B216" s="1862" t="s">
        <v>1075</v>
      </c>
      <c r="C216" s="1862"/>
      <c r="D216" s="1862"/>
      <c r="E216" s="1862"/>
      <c r="F216" s="1862"/>
      <c r="G216" s="1862"/>
      <c r="I216" s="1830"/>
      <c r="J216" s="1830"/>
      <c r="K216" s="1830"/>
      <c r="L216" s="927"/>
      <c r="N216" s="1827"/>
      <c r="O216" s="1827"/>
      <c r="P216" s="1827"/>
      <c r="Q216" s="1827"/>
      <c r="R216" s="1827"/>
      <c r="T216" s="1826"/>
      <c r="U216" s="1826"/>
      <c r="V216" s="1826"/>
      <c r="W216" s="1826"/>
      <c r="X216" s="1826"/>
      <c r="Y216" s="1826"/>
      <c r="Z216" s="775"/>
      <c r="AA216" s="775"/>
      <c r="AB216" s="1824">
        <f t="shared" si="0"/>
        <v>0</v>
      </c>
      <c r="AC216" s="1824"/>
      <c r="AD216" s="1824"/>
      <c r="AE216" s="1824"/>
      <c r="AF216" s="1824"/>
      <c r="AG216" s="1824"/>
      <c r="AH216" s="751"/>
      <c r="AI216" s="751"/>
      <c r="AJ216" s="751"/>
      <c r="AK216" s="534"/>
    </row>
    <row r="217" spans="1:37">
      <c r="A217" s="529"/>
      <c r="B217" s="1862" t="s">
        <v>1075</v>
      </c>
      <c r="C217" s="1862"/>
      <c r="D217" s="1862"/>
      <c r="E217" s="1862"/>
      <c r="F217" s="1862"/>
      <c r="G217" s="1862"/>
      <c r="I217" s="1830"/>
      <c r="J217" s="1830"/>
      <c r="K217" s="1830"/>
      <c r="L217" s="932"/>
      <c r="N217" s="1827"/>
      <c r="O217" s="1827"/>
      <c r="P217" s="1827"/>
      <c r="Q217" s="1827"/>
      <c r="R217" s="1827"/>
      <c r="T217" s="1826"/>
      <c r="U217" s="1826"/>
      <c r="V217" s="1826"/>
      <c r="W217" s="1826"/>
      <c r="X217" s="1826"/>
      <c r="Y217" s="1826"/>
      <c r="Z217" s="775"/>
      <c r="AA217" s="775"/>
      <c r="AB217" s="1824">
        <f t="shared" si="0"/>
        <v>0</v>
      </c>
      <c r="AC217" s="1824"/>
      <c r="AD217" s="1824"/>
      <c r="AE217" s="1824"/>
      <c r="AF217" s="1824"/>
      <c r="AG217" s="1824"/>
      <c r="AH217" s="751"/>
      <c r="AI217" s="751"/>
      <c r="AJ217" s="751"/>
      <c r="AK217" s="534"/>
    </row>
    <row r="218" spans="1:37">
      <c r="A218" s="529"/>
      <c r="B218" s="1862" t="s">
        <v>1075</v>
      </c>
      <c r="C218" s="1862"/>
      <c r="D218" s="1862"/>
      <c r="E218" s="1862"/>
      <c r="F218" s="1862"/>
      <c r="G218" s="1862"/>
      <c r="I218" s="1830"/>
      <c r="J218" s="1830"/>
      <c r="K218" s="1830"/>
      <c r="L218" s="932"/>
      <c r="N218" s="1827"/>
      <c r="O218" s="1827"/>
      <c r="P218" s="1827"/>
      <c r="Q218" s="1827"/>
      <c r="R218" s="1827"/>
      <c r="T218" s="1826"/>
      <c r="U218" s="1826"/>
      <c r="V218" s="1826"/>
      <c r="W218" s="1826"/>
      <c r="X218" s="1826"/>
      <c r="Y218" s="1826"/>
      <c r="Z218" s="775"/>
      <c r="AA218" s="775"/>
      <c r="AB218" s="1824">
        <f t="shared" si="0"/>
        <v>0</v>
      </c>
      <c r="AC218" s="1824"/>
      <c r="AD218" s="1824"/>
      <c r="AE218" s="1824"/>
      <c r="AF218" s="1824"/>
      <c r="AG218" s="1824"/>
      <c r="AH218" s="751"/>
      <c r="AI218" s="751"/>
      <c r="AJ218" s="751"/>
      <c r="AK218" s="534"/>
    </row>
    <row r="219" spans="1:37">
      <c r="A219" s="529"/>
      <c r="B219" s="1862" t="s">
        <v>1075</v>
      </c>
      <c r="C219" s="1862"/>
      <c r="D219" s="1862"/>
      <c r="E219" s="1862"/>
      <c r="F219" s="1862"/>
      <c r="G219" s="1862"/>
      <c r="I219" s="1830"/>
      <c r="J219" s="1830"/>
      <c r="K219" s="1830"/>
      <c r="L219" s="932"/>
      <c r="N219" s="1827"/>
      <c r="O219" s="1827"/>
      <c r="P219" s="1827"/>
      <c r="Q219" s="1827"/>
      <c r="R219" s="1827"/>
      <c r="T219" s="1826"/>
      <c r="U219" s="1826"/>
      <c r="V219" s="1826"/>
      <c r="W219" s="1826"/>
      <c r="X219" s="1826"/>
      <c r="Y219" s="1826"/>
      <c r="Z219" s="775"/>
      <c r="AA219" s="775"/>
      <c r="AB219" s="1824">
        <f t="shared" si="0"/>
        <v>0</v>
      </c>
      <c r="AC219" s="1824"/>
      <c r="AD219" s="1824"/>
      <c r="AE219" s="1824"/>
      <c r="AF219" s="1824"/>
      <c r="AG219" s="1824"/>
      <c r="AH219" s="751"/>
      <c r="AI219" s="751"/>
      <c r="AJ219" s="751"/>
      <c r="AK219" s="534"/>
    </row>
    <row r="220" spans="1:37">
      <c r="A220" s="529"/>
      <c r="B220" s="1862" t="s">
        <v>1075</v>
      </c>
      <c r="C220" s="1862"/>
      <c r="D220" s="1862"/>
      <c r="E220" s="1862"/>
      <c r="F220" s="1862"/>
      <c r="G220" s="1862"/>
      <c r="I220" s="1830"/>
      <c r="J220" s="1830"/>
      <c r="K220" s="1830"/>
      <c r="L220" s="932"/>
      <c r="N220" s="1827"/>
      <c r="O220" s="1827"/>
      <c r="P220" s="1827"/>
      <c r="Q220" s="1827"/>
      <c r="R220" s="1827"/>
      <c r="T220" s="1826"/>
      <c r="U220" s="1826"/>
      <c r="V220" s="1826"/>
      <c r="W220" s="1826"/>
      <c r="X220" s="1826"/>
      <c r="Y220" s="1826"/>
      <c r="Z220" s="775"/>
      <c r="AA220" s="775"/>
      <c r="AB220" s="1824">
        <f t="shared" si="0"/>
        <v>0</v>
      </c>
      <c r="AC220" s="1824"/>
      <c r="AD220" s="1824"/>
      <c r="AE220" s="1824"/>
      <c r="AF220" s="1824"/>
      <c r="AG220" s="1824"/>
      <c r="AH220" s="751"/>
      <c r="AI220" s="751"/>
      <c r="AJ220" s="751"/>
      <c r="AK220" s="534"/>
    </row>
    <row r="221" spans="1:37">
      <c r="A221" s="529"/>
      <c r="B221" s="1862" t="s">
        <v>1075</v>
      </c>
      <c r="C221" s="1862"/>
      <c r="D221" s="1862"/>
      <c r="E221" s="1862"/>
      <c r="F221" s="1862"/>
      <c r="G221" s="1862"/>
      <c r="I221" s="1830"/>
      <c r="J221" s="1830"/>
      <c r="K221" s="1830"/>
      <c r="L221" s="932"/>
      <c r="N221" s="1827"/>
      <c r="O221" s="1827"/>
      <c r="P221" s="1827"/>
      <c r="Q221" s="1827"/>
      <c r="R221" s="1827"/>
      <c r="T221" s="1826"/>
      <c r="U221" s="1826"/>
      <c r="V221" s="1826"/>
      <c r="W221" s="1826"/>
      <c r="X221" s="1826"/>
      <c r="Y221" s="1826"/>
      <c r="Z221" s="775"/>
      <c r="AA221" s="775"/>
      <c r="AB221" s="1824">
        <f t="shared" si="0"/>
        <v>0</v>
      </c>
      <c r="AC221" s="1824"/>
      <c r="AD221" s="1824"/>
      <c r="AE221" s="1824"/>
      <c r="AF221" s="1824"/>
      <c r="AG221" s="1824"/>
      <c r="AH221" s="751"/>
      <c r="AI221" s="751"/>
      <c r="AJ221" s="751"/>
      <c r="AK221" s="534"/>
    </row>
    <row r="222" spans="1:37">
      <c r="A222" s="529"/>
      <c r="B222" s="1862" t="s">
        <v>1075</v>
      </c>
      <c r="C222" s="1862"/>
      <c r="D222" s="1862"/>
      <c r="E222" s="1862"/>
      <c r="F222" s="1862"/>
      <c r="G222" s="1862"/>
      <c r="I222" s="2015"/>
      <c r="J222" s="2015"/>
      <c r="K222" s="2015"/>
      <c r="L222" s="932"/>
      <c r="N222" s="1827"/>
      <c r="O222" s="1827"/>
      <c r="P222" s="1827"/>
      <c r="Q222" s="1827"/>
      <c r="R222" s="1827"/>
      <c r="T222" s="1826"/>
      <c r="U222" s="1826"/>
      <c r="V222" s="1826"/>
      <c r="W222" s="1826"/>
      <c r="X222" s="1826"/>
      <c r="Y222" s="1826"/>
      <c r="Z222" s="775"/>
      <c r="AA222" s="775"/>
      <c r="AB222" s="1831">
        <f t="shared" si="0"/>
        <v>0</v>
      </c>
      <c r="AC222" s="1831"/>
      <c r="AD222" s="1831"/>
      <c r="AE222" s="1831"/>
      <c r="AF222" s="1831"/>
      <c r="AG222" s="1831"/>
      <c r="AH222" s="751"/>
      <c r="AI222" s="751"/>
      <c r="AJ222" s="751"/>
      <c r="AK222" s="534"/>
    </row>
    <row r="223" spans="1:37">
      <c r="A223" s="529"/>
      <c r="B223" s="401"/>
      <c r="C223" s="776"/>
      <c r="D223" s="401"/>
      <c r="K223" s="460"/>
      <c r="L223" s="460"/>
      <c r="M223" s="460"/>
      <c r="N223" s="460"/>
      <c r="O223" s="460"/>
      <c r="P223" s="460"/>
      <c r="Q223" s="460"/>
      <c r="R223" s="460"/>
      <c r="S223" s="460"/>
      <c r="T223" s="460"/>
      <c r="U223" s="460"/>
      <c r="V223" s="460"/>
      <c r="W223" s="460"/>
      <c r="X223" s="460"/>
      <c r="Y223" s="777" t="s">
        <v>2081</v>
      </c>
      <c r="AA223" s="777"/>
      <c r="AB223" s="1824">
        <f>SUM(AB213:AB222)</f>
        <v>1514232</v>
      </c>
      <c r="AC223" s="1824"/>
      <c r="AD223" s="1824"/>
      <c r="AE223" s="1824"/>
      <c r="AF223" s="1824"/>
      <c r="AG223" s="1824"/>
      <c r="AH223" s="751"/>
      <c r="AI223" s="751"/>
      <c r="AJ223" s="751"/>
      <c r="AK223" s="534"/>
    </row>
    <row r="224" spans="1:37">
      <c r="A224" s="529"/>
      <c r="B224" s="529"/>
      <c r="C224" s="587"/>
      <c r="D224" s="751"/>
      <c r="E224" s="751"/>
      <c r="F224" s="751"/>
      <c r="G224" s="751"/>
      <c r="H224" s="751"/>
      <c r="I224" s="751"/>
      <c r="J224" s="751"/>
      <c r="K224" s="474"/>
      <c r="L224" s="474"/>
      <c r="M224" s="474"/>
      <c r="N224" s="474"/>
      <c r="O224" s="474"/>
      <c r="P224" s="474"/>
      <c r="Q224" s="474"/>
      <c r="R224" s="474"/>
      <c r="S224" s="474"/>
      <c r="T224" s="474"/>
      <c r="U224" s="474"/>
      <c r="V224" s="474"/>
      <c r="W224" s="474"/>
      <c r="X224" s="474"/>
      <c r="Y224" s="567"/>
      <c r="Z224" s="567"/>
      <c r="AA224" s="567"/>
      <c r="AB224" s="567"/>
      <c r="AC224" s="474"/>
      <c r="AD224" s="474"/>
      <c r="AE224" s="534"/>
      <c r="AF224" s="534"/>
      <c r="AG224" s="534"/>
      <c r="AH224" s="534"/>
      <c r="AI224" s="534"/>
      <c r="AJ224" s="534"/>
      <c r="AK224" s="534"/>
    </row>
    <row r="225" spans="1:37">
      <c r="A225" s="1057" t="s">
        <v>2082</v>
      </c>
      <c r="C225" s="587"/>
      <c r="D225" s="751"/>
      <c r="E225" s="751"/>
      <c r="F225" s="751"/>
      <c r="G225" s="751"/>
      <c r="H225" s="751"/>
      <c r="I225" s="751"/>
      <c r="J225" s="751"/>
      <c r="K225" s="460"/>
      <c r="L225" s="460"/>
      <c r="M225" s="460"/>
      <c r="N225" s="460"/>
      <c r="O225" s="460"/>
      <c r="P225" s="460"/>
      <c r="Q225" s="460"/>
      <c r="R225" s="460"/>
      <c r="S225" s="460"/>
      <c r="T225" s="460"/>
      <c r="U225" s="460"/>
      <c r="V225" s="460"/>
      <c r="W225" s="460"/>
      <c r="X225" s="460"/>
      <c r="Y225" s="567"/>
      <c r="Z225" s="567"/>
      <c r="AA225" s="567"/>
      <c r="AB225" s="567"/>
      <c r="AC225" s="460"/>
      <c r="AD225" s="460"/>
      <c r="AE225" s="534"/>
      <c r="AF225" s="534"/>
      <c r="AG225" s="534"/>
      <c r="AH225" s="534"/>
      <c r="AI225" s="534"/>
      <c r="AJ225" s="534"/>
      <c r="AK225" s="534"/>
    </row>
    <row r="226" spans="1:37">
      <c r="A226" s="529"/>
      <c r="B226" s="401" t="s">
        <v>2083</v>
      </c>
      <c r="C226" s="587"/>
      <c r="D226" s="751"/>
      <c r="E226" s="751"/>
      <c r="F226" s="751"/>
      <c r="G226" s="751"/>
      <c r="H226" s="751"/>
      <c r="I226" s="751"/>
      <c r="J226" s="751"/>
      <c r="K226" s="460"/>
      <c r="L226" s="460"/>
      <c r="M226" s="460"/>
      <c r="N226" s="460"/>
      <c r="O226" s="460"/>
      <c r="P226" s="460"/>
      <c r="Q226" s="460"/>
      <c r="R226" s="460"/>
      <c r="S226" s="460"/>
      <c r="T226" s="460"/>
      <c r="U226" s="460"/>
      <c r="V226" s="460"/>
      <c r="W226" s="460"/>
      <c r="X226" s="460"/>
      <c r="Y226" s="567"/>
      <c r="Z226" s="567"/>
      <c r="AA226" s="567"/>
      <c r="AB226" s="567"/>
      <c r="AC226" s="460"/>
      <c r="AD226" s="460"/>
      <c r="AE226" s="534"/>
      <c r="AF226" s="534"/>
      <c r="AG226" s="534"/>
      <c r="AH226" s="534"/>
      <c r="AI226" s="534"/>
      <c r="AJ226" s="534"/>
      <c r="AK226" s="534"/>
    </row>
    <row r="227" spans="1:37">
      <c r="A227" s="529"/>
      <c r="B227" s="401"/>
      <c r="C227" s="587"/>
      <c r="D227" s="751"/>
      <c r="E227" s="751"/>
      <c r="F227" s="751"/>
      <c r="G227" s="751"/>
      <c r="H227" s="751"/>
      <c r="I227" s="751"/>
      <c r="J227" s="751"/>
      <c r="K227" s="460"/>
      <c r="L227" s="460"/>
      <c r="M227" s="460"/>
      <c r="N227" s="460"/>
      <c r="O227" s="460"/>
      <c r="P227" s="460"/>
      <c r="Q227" s="460"/>
      <c r="R227" s="460"/>
      <c r="S227" s="460"/>
      <c r="T227" s="460"/>
      <c r="U227" s="460"/>
      <c r="V227" s="460"/>
      <c r="W227" s="460"/>
      <c r="X227" s="460"/>
      <c r="Y227" s="567"/>
      <c r="Z227" s="567"/>
      <c r="AA227" s="567"/>
      <c r="AB227" s="567"/>
      <c r="AC227" s="460"/>
      <c r="AD227" s="460"/>
      <c r="AE227" s="534"/>
      <c r="AF227" s="534"/>
      <c r="AG227" s="534"/>
      <c r="AH227" s="534"/>
      <c r="AI227" s="534"/>
      <c r="AJ227" s="534"/>
      <c r="AK227" s="534"/>
    </row>
    <row r="228" spans="1:37">
      <c r="A228" s="529"/>
      <c r="B228" s="760" t="s">
        <v>2084</v>
      </c>
      <c r="C228" s="587"/>
      <c r="D228" s="751"/>
      <c r="E228" s="751"/>
      <c r="F228" s="751"/>
      <c r="G228" s="751"/>
      <c r="H228" s="751"/>
      <c r="I228" s="751"/>
      <c r="J228" s="751"/>
      <c r="K228" s="460"/>
      <c r="L228" s="460"/>
      <c r="M228" s="460"/>
      <c r="N228" s="460"/>
      <c r="O228" s="460"/>
      <c r="P228" s="460"/>
      <c r="Q228" s="460"/>
      <c r="R228" s="460"/>
      <c r="S228" s="460"/>
      <c r="T228" s="460"/>
      <c r="U228" s="460"/>
      <c r="V228" s="460"/>
      <c r="W228" s="460"/>
      <c r="X228" s="460"/>
      <c r="Y228" s="567"/>
      <c r="Z228" s="567"/>
      <c r="AA228" s="567"/>
      <c r="AB228" s="567"/>
      <c r="AC228" s="460"/>
      <c r="AD228" s="460"/>
      <c r="AE228" s="534"/>
      <c r="AF228" s="534"/>
      <c r="AG228" s="534"/>
      <c r="AH228" s="534"/>
      <c r="AI228" s="534"/>
      <c r="AJ228" s="534"/>
      <c r="AK228" s="534"/>
    </row>
    <row r="229" spans="1:37">
      <c r="A229" s="529"/>
      <c r="B229" s="760" t="s">
        <v>2085</v>
      </c>
      <c r="C229" s="587"/>
      <c r="D229" s="751"/>
      <c r="E229" s="751"/>
      <c r="F229" s="751"/>
      <c r="G229" s="751"/>
      <c r="H229" s="751"/>
      <c r="I229" s="751"/>
      <c r="J229" s="751"/>
      <c r="K229" s="460"/>
      <c r="L229" s="460"/>
      <c r="M229" s="460"/>
      <c r="N229" s="460"/>
      <c r="O229" s="460"/>
      <c r="P229" s="460"/>
      <c r="Q229" s="460"/>
      <c r="R229" s="460"/>
      <c r="S229" s="460"/>
      <c r="T229" s="460"/>
      <c r="U229" s="460"/>
      <c r="V229" s="460"/>
      <c r="W229" s="460"/>
      <c r="X229" s="460"/>
      <c r="Y229" s="567"/>
      <c r="Z229" s="567"/>
      <c r="AA229" s="567"/>
      <c r="AB229" s="1864"/>
      <c r="AC229" s="1864"/>
      <c r="AD229" s="1864"/>
      <c r="AE229" s="1864"/>
      <c r="AF229" s="1864"/>
      <c r="AG229" s="1864"/>
      <c r="AH229" s="534"/>
      <c r="AI229" s="534"/>
      <c r="AJ229" s="534"/>
      <c r="AK229" s="534"/>
    </row>
    <row r="230" spans="1:37">
      <c r="A230" s="529"/>
      <c r="B230" s="761" t="s">
        <v>2086</v>
      </c>
      <c r="C230" s="540"/>
      <c r="D230" s="759"/>
      <c r="E230" s="751"/>
      <c r="F230" s="751"/>
      <c r="G230" s="751"/>
      <c r="H230" s="751"/>
      <c r="I230" s="751"/>
      <c r="J230" s="751"/>
      <c r="K230" s="460"/>
      <c r="L230" s="460"/>
      <c r="M230" s="460"/>
      <c r="N230" s="460"/>
      <c r="O230" s="460"/>
      <c r="P230" s="460"/>
      <c r="Q230" s="460"/>
      <c r="R230" s="460"/>
      <c r="S230" s="460"/>
      <c r="T230" s="460"/>
      <c r="U230" s="460"/>
      <c r="V230" s="460"/>
      <c r="W230" s="460"/>
      <c r="X230" s="460"/>
      <c r="Y230" s="567"/>
      <c r="Z230" s="567"/>
      <c r="AA230" s="567"/>
      <c r="AB230" s="567"/>
      <c r="AC230" s="460"/>
      <c r="AD230" s="460"/>
      <c r="AE230" s="534"/>
      <c r="AF230" s="534"/>
      <c r="AG230" s="534"/>
      <c r="AH230" s="534"/>
      <c r="AI230" s="534"/>
      <c r="AJ230" s="534"/>
      <c r="AK230" s="534"/>
    </row>
    <row r="231" spans="1:37">
      <c r="A231" s="529"/>
      <c r="B231" s="762" t="s">
        <v>2087</v>
      </c>
      <c r="C231" s="587"/>
      <c r="D231" s="751"/>
      <c r="E231" s="751"/>
      <c r="F231" s="751"/>
      <c r="G231" s="751"/>
      <c r="H231" s="751"/>
      <c r="I231" s="751"/>
      <c r="J231" s="751"/>
      <c r="K231" s="460"/>
      <c r="L231" s="460"/>
      <c r="M231" s="460"/>
      <c r="N231" s="460"/>
      <c r="O231" s="460"/>
      <c r="P231" s="460"/>
      <c r="Q231" s="460"/>
      <c r="R231" s="460"/>
      <c r="S231" s="460"/>
      <c r="T231" s="460"/>
      <c r="U231" s="460"/>
      <c r="V231" s="460"/>
      <c r="W231" s="460"/>
      <c r="X231" s="460"/>
      <c r="Y231" s="567"/>
      <c r="Z231" s="567"/>
      <c r="AA231" s="567"/>
      <c r="AB231" s="567"/>
      <c r="AC231" s="460"/>
      <c r="AD231" s="460"/>
      <c r="AE231" s="534"/>
      <c r="AF231" s="534"/>
      <c r="AG231" s="534"/>
      <c r="AH231" s="534"/>
      <c r="AI231" s="534"/>
      <c r="AJ231" s="534"/>
      <c r="AK231" s="534"/>
    </row>
    <row r="232" spans="1:37">
      <c r="A232" s="529"/>
      <c r="B232" s="762" t="s">
        <v>2088</v>
      </c>
      <c r="C232" s="587"/>
      <c r="D232" s="751"/>
      <c r="E232" s="751"/>
      <c r="F232" s="751"/>
      <c r="G232" s="751"/>
      <c r="H232" s="751"/>
      <c r="I232" s="751"/>
      <c r="J232" s="751"/>
      <c r="K232" s="460"/>
      <c r="L232" s="460"/>
      <c r="M232" s="460"/>
      <c r="N232" s="460"/>
      <c r="O232" s="460"/>
      <c r="P232" s="460"/>
      <c r="Q232" s="460"/>
      <c r="R232" s="460"/>
      <c r="S232" s="460"/>
      <c r="T232" s="460"/>
      <c r="U232" s="460"/>
      <c r="V232" s="460"/>
      <c r="W232" s="460"/>
      <c r="X232" s="460"/>
      <c r="Y232" s="567"/>
      <c r="Z232" s="567"/>
      <c r="AA232" s="567"/>
      <c r="AB232" s="1864"/>
      <c r="AC232" s="1864"/>
      <c r="AD232" s="1864"/>
      <c r="AE232" s="1864"/>
      <c r="AF232" s="1864"/>
      <c r="AG232" s="1864"/>
      <c r="AH232" s="534"/>
      <c r="AI232" s="534"/>
      <c r="AJ232" s="534"/>
      <c r="AK232" s="534"/>
    </row>
    <row r="233" spans="1:37">
      <c r="A233" s="529"/>
      <c r="B233" s="762" t="s">
        <v>2089</v>
      </c>
      <c r="C233" s="587"/>
      <c r="D233" s="751"/>
      <c r="E233" s="751"/>
      <c r="F233" s="751"/>
      <c r="G233" s="751"/>
      <c r="H233" s="751"/>
      <c r="I233" s="751"/>
      <c r="J233" s="751"/>
      <c r="K233" s="460"/>
      <c r="L233" s="460"/>
      <c r="M233" s="460"/>
      <c r="N233" s="460"/>
      <c r="O233" s="460"/>
      <c r="P233" s="460"/>
      <c r="Q233" s="460"/>
      <c r="R233" s="460"/>
      <c r="S233" s="460"/>
      <c r="T233" s="460"/>
      <c r="U233" s="460"/>
      <c r="V233" s="460"/>
      <c r="W233" s="460"/>
      <c r="X233" s="460"/>
      <c r="Y233" s="567"/>
      <c r="Z233" s="567"/>
      <c r="AA233" s="567"/>
      <c r="AB233" s="1823"/>
      <c r="AC233" s="1823"/>
      <c r="AD233" s="1823"/>
      <c r="AE233" s="1823"/>
      <c r="AF233" s="1823"/>
      <c r="AG233" s="1823"/>
      <c r="AH233" s="534"/>
      <c r="AI233" s="534"/>
      <c r="AJ233" s="534"/>
      <c r="AK233" s="534"/>
    </row>
    <row r="234" spans="1:37">
      <c r="A234" s="529"/>
      <c r="B234" s="762" t="s">
        <v>2090</v>
      </c>
      <c r="C234" s="587"/>
      <c r="D234" s="751"/>
      <c r="E234" s="751"/>
      <c r="F234" s="751"/>
      <c r="G234" s="751"/>
      <c r="H234" s="751"/>
      <c r="I234" s="751"/>
      <c r="J234" s="751"/>
      <c r="K234" s="460"/>
      <c r="L234" s="460"/>
      <c r="M234" s="460"/>
      <c r="N234" s="460"/>
      <c r="O234" s="460"/>
      <c r="P234" s="460"/>
      <c r="Q234" s="460"/>
      <c r="R234" s="460"/>
      <c r="S234" s="460"/>
      <c r="T234" s="460"/>
      <c r="U234" s="460"/>
      <c r="V234" s="460"/>
      <c r="W234" s="460"/>
      <c r="X234" s="460"/>
      <c r="Y234" s="567"/>
      <c r="Z234" s="567"/>
      <c r="AA234" s="567"/>
      <c r="AB234" s="1832">
        <f>IFERROR(AB232/AB233,0)</f>
        <v>0</v>
      </c>
      <c r="AC234" s="1832"/>
      <c r="AD234" s="1832"/>
      <c r="AE234" s="1832"/>
      <c r="AF234" s="1832"/>
      <c r="AG234" s="1832"/>
      <c r="AH234" s="534"/>
      <c r="AI234" s="534"/>
      <c r="AJ234" s="534"/>
      <c r="AK234" s="534"/>
    </row>
    <row r="235" spans="1:37">
      <c r="A235" s="529"/>
      <c r="B235" s="401"/>
      <c r="C235" s="587"/>
      <c r="D235" s="751"/>
      <c r="E235" s="751"/>
      <c r="F235" s="751"/>
      <c r="G235" s="751"/>
      <c r="H235" s="751"/>
      <c r="I235" s="751"/>
      <c r="J235" s="751"/>
      <c r="K235" s="460"/>
      <c r="L235" s="460"/>
      <c r="M235" s="460"/>
      <c r="N235" s="460"/>
      <c r="O235" s="460"/>
      <c r="P235" s="460"/>
      <c r="Q235" s="460"/>
      <c r="R235" s="460"/>
      <c r="S235" s="460"/>
      <c r="T235" s="460"/>
      <c r="U235" s="460"/>
      <c r="V235" s="460"/>
      <c r="W235" s="460"/>
      <c r="X235" s="460"/>
      <c r="Y235" s="567"/>
      <c r="Z235" s="567"/>
      <c r="AA235" s="567"/>
      <c r="AB235" s="567"/>
      <c r="AC235" s="460"/>
      <c r="AD235" s="460"/>
      <c r="AE235" s="534"/>
      <c r="AF235" s="534"/>
      <c r="AG235" s="534"/>
      <c r="AH235" s="534"/>
      <c r="AI235" s="534"/>
      <c r="AJ235" s="534"/>
      <c r="AK235" s="534"/>
    </row>
    <row r="236" spans="1:37">
      <c r="A236" s="529"/>
      <c r="B236" s="401" t="s">
        <v>2091</v>
      </c>
      <c r="C236" s="587"/>
      <c r="D236" s="751"/>
      <c r="E236" s="751"/>
      <c r="F236" s="751"/>
      <c r="G236" s="751"/>
      <c r="H236" s="751"/>
      <c r="I236" s="751"/>
      <c r="J236" s="751"/>
      <c r="K236" s="460"/>
      <c r="L236" s="460"/>
      <c r="M236" s="460"/>
      <c r="N236" s="460"/>
      <c r="O236" s="460"/>
      <c r="P236" s="460"/>
      <c r="Q236" s="460"/>
      <c r="R236" s="460"/>
      <c r="S236" s="460"/>
      <c r="T236" s="460"/>
      <c r="U236" s="460"/>
      <c r="V236" s="460"/>
      <c r="W236" s="460"/>
      <c r="X236" s="460"/>
      <c r="Y236" s="567"/>
      <c r="Z236" s="567"/>
      <c r="AA236" s="567"/>
      <c r="AB236" s="1831">
        <f>MAX(AB229,AB234)</f>
        <v>0</v>
      </c>
      <c r="AC236" s="1831"/>
      <c r="AD236" s="1831"/>
      <c r="AE236" s="1831"/>
      <c r="AF236" s="1831"/>
      <c r="AG236" s="1831"/>
      <c r="AH236" s="534"/>
      <c r="AI236" s="534"/>
      <c r="AJ236" s="534"/>
      <c r="AK236" s="534"/>
    </row>
    <row r="237" spans="1:37">
      <c r="A237" s="529"/>
      <c r="B237" s="401"/>
      <c r="C237" s="587"/>
      <c r="D237" s="751"/>
      <c r="E237" s="751"/>
      <c r="F237" s="751"/>
      <c r="G237" s="751"/>
      <c r="H237" s="751"/>
      <c r="I237" s="751"/>
      <c r="J237" s="751"/>
      <c r="K237" s="460"/>
      <c r="L237" s="460"/>
      <c r="M237" s="460"/>
      <c r="N237" s="460"/>
      <c r="O237" s="460"/>
      <c r="P237" s="460"/>
      <c r="Q237" s="460"/>
      <c r="R237" s="460"/>
      <c r="S237" s="460"/>
      <c r="T237" s="460"/>
      <c r="U237" s="460"/>
      <c r="V237" s="460"/>
      <c r="W237" s="460"/>
      <c r="X237" s="460"/>
      <c r="Y237" s="567"/>
      <c r="Z237" s="567"/>
      <c r="AA237" s="567"/>
      <c r="AB237" s="567"/>
      <c r="AC237" s="460"/>
      <c r="AD237" s="460"/>
      <c r="AE237" s="534"/>
      <c r="AF237" s="534"/>
      <c r="AG237" s="534"/>
      <c r="AH237" s="534"/>
      <c r="AI237" s="534"/>
      <c r="AJ237" s="534"/>
      <c r="AK237" s="534"/>
    </row>
    <row r="238" spans="1:37">
      <c r="A238" s="529"/>
      <c r="B238" s="401"/>
      <c r="C238" s="587"/>
      <c r="D238" s="751"/>
      <c r="E238" s="751"/>
      <c r="F238" s="751"/>
      <c r="G238" s="751"/>
      <c r="H238" s="751"/>
      <c r="I238" s="751"/>
      <c r="J238" s="751"/>
      <c r="K238" s="460"/>
      <c r="L238" s="460"/>
      <c r="M238" s="460"/>
      <c r="N238" s="460"/>
      <c r="O238" s="460"/>
      <c r="P238" s="460"/>
      <c r="Q238" s="460"/>
      <c r="R238" s="460"/>
      <c r="S238" s="460"/>
      <c r="T238" s="460"/>
      <c r="U238" s="460"/>
      <c r="V238" s="460"/>
      <c r="W238" s="460"/>
      <c r="X238" s="460"/>
      <c r="Y238" s="567"/>
      <c r="Z238" s="567"/>
      <c r="AA238" s="567"/>
      <c r="AB238" s="567"/>
      <c r="AC238" s="460"/>
      <c r="AD238" s="460"/>
      <c r="AE238" s="534"/>
      <c r="AF238" s="534"/>
      <c r="AG238" s="534"/>
      <c r="AH238" s="534"/>
      <c r="AI238" s="534"/>
      <c r="AJ238" s="534"/>
      <c r="AK238" s="534"/>
    </row>
    <row r="239" spans="1:37">
      <c r="A239" s="529"/>
      <c r="B239" s="401" t="s">
        <v>2092</v>
      </c>
      <c r="C239" s="587"/>
      <c r="D239" s="751"/>
      <c r="E239" s="751"/>
      <c r="F239" s="751"/>
      <c r="G239" s="751"/>
      <c r="H239" s="751"/>
      <c r="I239" s="751"/>
      <c r="J239" s="751"/>
      <c r="K239" s="460"/>
      <c r="L239" s="460"/>
      <c r="M239" s="460"/>
      <c r="N239" s="460"/>
      <c r="O239" s="460"/>
      <c r="P239" s="460"/>
      <c r="Q239" s="460"/>
      <c r="R239" s="460"/>
      <c r="S239" s="460"/>
      <c r="U239" s="763"/>
      <c r="V239" s="763"/>
      <c r="W239" s="763"/>
      <c r="X239" s="763"/>
      <c r="Y239" s="763"/>
      <c r="Z239" s="567"/>
      <c r="AA239" s="567"/>
      <c r="AB239" s="1824">
        <f>AB223+AB236</f>
        <v>1514232</v>
      </c>
      <c r="AC239" s="1824"/>
      <c r="AD239" s="1824"/>
      <c r="AE239" s="1824"/>
      <c r="AF239" s="1824"/>
      <c r="AG239" s="1824"/>
      <c r="AH239" s="534"/>
      <c r="AI239" s="534"/>
      <c r="AJ239" s="534"/>
      <c r="AK239" s="534"/>
    </row>
    <row r="240" spans="1:37">
      <c r="A240" s="529"/>
      <c r="B240" s="401" t="s">
        <v>2093</v>
      </c>
      <c r="C240" s="587"/>
      <c r="D240" s="751"/>
      <c r="E240" s="751"/>
      <c r="F240" s="751"/>
      <c r="G240" s="751"/>
      <c r="H240" s="751"/>
      <c r="I240" s="751"/>
      <c r="J240" s="751"/>
      <c r="K240" s="460"/>
      <c r="L240" s="460"/>
      <c r="M240" s="460"/>
      <c r="N240" s="460"/>
      <c r="O240" s="460"/>
      <c r="P240" s="460"/>
      <c r="Q240" s="460"/>
      <c r="R240" s="460"/>
      <c r="S240" s="460"/>
      <c r="U240" s="764"/>
      <c r="V240" s="764"/>
      <c r="W240" s="764"/>
      <c r="X240" s="764"/>
      <c r="Y240" s="764"/>
      <c r="Z240" s="567"/>
      <c r="AA240" s="567"/>
      <c r="AB240" s="1998">
        <v>0.05</v>
      </c>
      <c r="AC240" s="1998"/>
      <c r="AD240" s="1998"/>
      <c r="AE240" s="1998"/>
      <c r="AF240" s="1998"/>
      <c r="AG240" s="1998"/>
      <c r="AH240" s="534"/>
      <c r="AI240" s="534"/>
      <c r="AJ240" s="534"/>
      <c r="AK240" s="534"/>
    </row>
    <row r="241" spans="1:37">
      <c r="A241" s="529"/>
      <c r="B241" s="401" t="s">
        <v>2094</v>
      </c>
      <c r="C241" s="587"/>
      <c r="D241" s="751"/>
      <c r="E241" s="751"/>
      <c r="F241" s="751"/>
      <c r="G241" s="751"/>
      <c r="H241" s="751"/>
      <c r="I241" s="751"/>
      <c r="J241" s="751"/>
      <c r="K241" s="460"/>
      <c r="L241" s="460"/>
      <c r="M241" s="460"/>
      <c r="N241" s="460"/>
      <c r="O241" s="460"/>
      <c r="P241" s="460"/>
      <c r="Q241" s="460"/>
      <c r="R241" s="460"/>
      <c r="S241" s="460"/>
      <c r="U241" s="763"/>
      <c r="V241" s="763"/>
      <c r="W241" s="763"/>
      <c r="X241" s="763"/>
      <c r="Y241" s="763"/>
      <c r="Z241" s="567"/>
      <c r="AA241" s="567"/>
      <c r="AB241" s="1999">
        <f>AB239-(AB239*AB240)</f>
        <v>1438520.4</v>
      </c>
      <c r="AC241" s="1999"/>
      <c r="AD241" s="1999"/>
      <c r="AE241" s="1999"/>
      <c r="AF241" s="1999"/>
      <c r="AG241" s="1999"/>
      <c r="AH241" s="534"/>
      <c r="AI241" s="534"/>
      <c r="AJ241" s="534"/>
      <c r="AK241" s="534"/>
    </row>
    <row r="242" spans="1:37">
      <c r="A242" s="529"/>
      <c r="B242" s="401" t="s">
        <v>2095</v>
      </c>
      <c r="C242" s="587"/>
      <c r="D242" s="751"/>
      <c r="E242" s="751"/>
      <c r="F242" s="751"/>
      <c r="G242" s="751"/>
      <c r="H242" s="751"/>
      <c r="I242" s="751"/>
      <c r="J242" s="751"/>
      <c r="K242" s="460"/>
      <c r="L242" s="460"/>
      <c r="M242" s="460"/>
      <c r="N242" s="460"/>
      <c r="O242" s="460"/>
      <c r="P242" s="460"/>
      <c r="Q242" s="460"/>
      <c r="R242" s="460"/>
      <c r="S242" s="460"/>
      <c r="U242" s="460"/>
      <c r="V242" s="460"/>
      <c r="W242" s="460"/>
      <c r="X242" s="460"/>
      <c r="Y242" s="765"/>
      <c r="Z242" s="567"/>
      <c r="AA242" s="567"/>
      <c r="AB242" s="460"/>
      <c r="AC242" s="460"/>
      <c r="AD242" s="460"/>
      <c r="AE242" s="534"/>
      <c r="AF242" s="534"/>
      <c r="AG242" s="534"/>
      <c r="AH242" s="534"/>
      <c r="AI242" s="534"/>
      <c r="AJ242" s="534"/>
      <c r="AK242" s="534"/>
    </row>
    <row r="243" spans="1:37">
      <c r="A243" s="529"/>
      <c r="B243" s="401" t="s">
        <v>2096</v>
      </c>
      <c r="C243" s="587"/>
      <c r="D243" s="751"/>
      <c r="E243" s="751"/>
      <c r="F243" s="751"/>
      <c r="G243" s="751"/>
      <c r="H243" s="751"/>
      <c r="I243" s="751"/>
      <c r="J243" s="751"/>
      <c r="K243" s="460"/>
      <c r="L243" s="460"/>
      <c r="M243" s="460"/>
      <c r="N243" s="460"/>
      <c r="O243" s="460"/>
      <c r="P243" s="460"/>
      <c r="Q243" s="460"/>
      <c r="R243" s="460"/>
      <c r="S243" s="460"/>
      <c r="U243" s="763"/>
      <c r="V243" s="763"/>
      <c r="W243" s="763"/>
      <c r="X243" s="763"/>
      <c r="Y243" s="763"/>
      <c r="Z243" s="567"/>
      <c r="AA243" s="567"/>
      <c r="AB243" s="1824">
        <f>AB241/AB247</f>
        <v>1250887.3043478262</v>
      </c>
      <c r="AC243" s="1824"/>
      <c r="AD243" s="1824"/>
      <c r="AE243" s="1824"/>
      <c r="AF243" s="1824"/>
      <c r="AG243" s="1824"/>
      <c r="AH243" s="534"/>
      <c r="AI243" s="534"/>
      <c r="AJ243" s="534"/>
      <c r="AK243" s="534"/>
    </row>
    <row r="244" spans="1:37">
      <c r="A244" s="529"/>
      <c r="B244" s="401"/>
      <c r="C244" s="587"/>
      <c r="D244" s="751"/>
      <c r="E244" s="751"/>
      <c r="F244" s="751"/>
      <c r="G244" s="751"/>
      <c r="H244" s="751"/>
      <c r="I244" s="751"/>
      <c r="J244" s="751"/>
      <c r="K244" s="460"/>
      <c r="L244" s="460"/>
      <c r="M244" s="460"/>
      <c r="N244" s="460"/>
      <c r="O244" s="460"/>
      <c r="P244" s="460"/>
      <c r="Q244" s="460"/>
      <c r="R244" s="460"/>
      <c r="S244" s="460"/>
      <c r="U244" s="460"/>
      <c r="V244" s="460"/>
      <c r="W244" s="460"/>
      <c r="X244" s="460"/>
      <c r="Y244" s="401"/>
      <c r="Z244" s="567"/>
      <c r="AA244" s="567"/>
      <c r="AB244" s="460"/>
      <c r="AC244" s="460"/>
      <c r="AD244" s="460"/>
      <c r="AE244" s="534"/>
      <c r="AF244" s="534"/>
      <c r="AG244" s="534"/>
      <c r="AH244" s="534"/>
      <c r="AI244" s="534"/>
      <c r="AJ244" s="534"/>
      <c r="AK244" s="534"/>
    </row>
    <row r="245" spans="1:37">
      <c r="A245" s="529"/>
      <c r="B245" s="401" t="s">
        <v>2097</v>
      </c>
      <c r="C245" s="587"/>
      <c r="D245" s="751"/>
      <c r="E245" s="751"/>
      <c r="F245" s="751"/>
      <c r="G245" s="751"/>
      <c r="H245" s="751"/>
      <c r="I245" s="751"/>
      <c r="J245" s="751"/>
      <c r="K245" s="460"/>
      <c r="L245" s="460"/>
      <c r="M245" s="460"/>
      <c r="N245" s="460"/>
      <c r="O245" s="460"/>
      <c r="P245" s="460"/>
      <c r="Q245" s="460"/>
      <c r="R245" s="460"/>
      <c r="S245" s="460"/>
      <c r="U245" s="401"/>
      <c r="V245" s="401"/>
      <c r="W245" s="401"/>
      <c r="X245" s="401"/>
      <c r="Y245" s="401"/>
      <c r="Z245" s="567"/>
      <c r="AA245" s="567"/>
      <c r="AB245" s="2011">
        <v>15</v>
      </c>
      <c r="AC245" s="2011"/>
      <c r="AD245" s="2011"/>
      <c r="AE245" s="2011"/>
      <c r="AF245" s="2011"/>
      <c r="AG245" s="2011"/>
      <c r="AH245" s="534"/>
      <c r="AI245" s="534"/>
      <c r="AJ245" s="534"/>
      <c r="AK245" s="534"/>
    </row>
    <row r="246" spans="1:37">
      <c r="A246" s="529"/>
      <c r="B246" s="401" t="s">
        <v>2098</v>
      </c>
      <c r="C246" s="587"/>
      <c r="D246" s="751"/>
      <c r="E246" s="751"/>
      <c r="F246" s="751"/>
      <c r="G246" s="751"/>
      <c r="H246" s="751"/>
      <c r="I246" s="751"/>
      <c r="J246" s="751"/>
      <c r="K246" s="460"/>
      <c r="L246" s="460"/>
      <c r="M246" s="460"/>
      <c r="N246" s="460"/>
      <c r="O246" s="460"/>
      <c r="P246" s="460"/>
      <c r="Q246" s="460"/>
      <c r="R246" s="460"/>
      <c r="S246" s="460"/>
      <c r="U246" s="764"/>
      <c r="V246" s="764"/>
      <c r="W246" s="764"/>
      <c r="X246" s="764"/>
      <c r="Y246" s="764"/>
      <c r="Z246" s="567"/>
      <c r="AA246" s="567"/>
      <c r="AB246" s="2001">
        <v>0.04</v>
      </c>
      <c r="AC246" s="2001"/>
      <c r="AD246" s="2001"/>
      <c r="AE246" s="2001"/>
      <c r="AF246" s="2001"/>
      <c r="AG246" s="2001"/>
      <c r="AH246" s="534"/>
      <c r="AI246" s="534"/>
      <c r="AJ246" s="534"/>
      <c r="AK246" s="534"/>
    </row>
    <row r="247" spans="1:37">
      <c r="A247" s="529"/>
      <c r="B247" s="401" t="s">
        <v>2099</v>
      </c>
      <c r="C247" s="587"/>
      <c r="D247" s="751"/>
      <c r="E247" s="751"/>
      <c r="F247" s="751"/>
      <c r="G247" s="751"/>
      <c r="H247" s="751"/>
      <c r="I247" s="751"/>
      <c r="J247" s="751"/>
      <c r="K247" s="460"/>
      <c r="L247" s="460"/>
      <c r="M247" s="460"/>
      <c r="N247" s="460"/>
      <c r="O247" s="460"/>
      <c r="P247" s="460"/>
      <c r="Q247" s="460"/>
      <c r="R247" s="460"/>
      <c r="S247" s="460"/>
      <c r="U247" s="766"/>
      <c r="V247" s="766"/>
      <c r="W247" s="766"/>
      <c r="X247" s="766"/>
      <c r="Y247" s="766"/>
      <c r="Z247" s="567"/>
      <c r="AA247" s="567"/>
      <c r="AB247" s="2002">
        <v>1.1499999999999999</v>
      </c>
      <c r="AC247" s="2002"/>
      <c r="AD247" s="2002"/>
      <c r="AE247" s="2002"/>
      <c r="AF247" s="2002"/>
      <c r="AG247" s="2002"/>
      <c r="AH247" s="534"/>
      <c r="AI247" s="534"/>
      <c r="AJ247" s="534"/>
      <c r="AK247" s="534"/>
    </row>
    <row r="248" spans="1:37">
      <c r="A248" s="529"/>
      <c r="B248" s="401"/>
      <c r="C248" s="587"/>
      <c r="D248" s="751"/>
      <c r="E248" s="751"/>
      <c r="F248" s="751"/>
      <c r="G248" s="751"/>
      <c r="H248" s="751"/>
      <c r="I248" s="751"/>
      <c r="J248" s="751"/>
      <c r="K248" s="460"/>
      <c r="L248" s="460"/>
      <c r="M248" s="460"/>
      <c r="N248" s="460"/>
      <c r="O248" s="460"/>
      <c r="P248" s="460"/>
      <c r="Q248" s="460"/>
      <c r="R248" s="460"/>
      <c r="S248" s="460"/>
      <c r="U248" s="460"/>
      <c r="V248" s="460"/>
      <c r="W248" s="460"/>
      <c r="X248" s="460"/>
      <c r="Y248" s="414"/>
      <c r="Z248" s="567"/>
      <c r="AA248" s="567"/>
      <c r="AB248" s="460"/>
      <c r="AC248" s="460"/>
      <c r="AD248" s="460"/>
      <c r="AE248" s="534"/>
      <c r="AF248" s="534"/>
      <c r="AG248" s="534"/>
      <c r="AH248" s="534"/>
      <c r="AI248" s="534"/>
      <c r="AJ248" s="534"/>
      <c r="AK248" s="534"/>
    </row>
    <row r="249" spans="1:37">
      <c r="A249" s="529"/>
      <c r="B249" s="768" t="s">
        <v>2100</v>
      </c>
      <c r="C249" s="587"/>
      <c r="D249" s="751"/>
      <c r="E249" s="751"/>
      <c r="F249" s="751"/>
      <c r="G249" s="751"/>
      <c r="H249" s="751"/>
      <c r="I249" s="751"/>
      <c r="J249" s="751"/>
      <c r="K249" s="460"/>
      <c r="L249" s="460"/>
      <c r="M249" s="460"/>
      <c r="N249" s="460"/>
      <c r="O249" s="460"/>
      <c r="P249" s="460"/>
      <c r="Q249" s="460"/>
      <c r="R249" s="460"/>
      <c r="S249" s="460"/>
      <c r="U249" s="767"/>
      <c r="V249" s="767"/>
      <c r="W249" s="767"/>
      <c r="X249" s="767"/>
      <c r="Y249" s="767"/>
      <c r="Z249" s="567"/>
      <c r="AA249" s="567"/>
      <c r="AB249" s="1991">
        <f>PV(AB246/12,AB245*12,-AB243/12, ,0)</f>
        <v>14092511.867054306</v>
      </c>
      <c r="AC249" s="1992"/>
      <c r="AD249" s="1992"/>
      <c r="AE249" s="1992"/>
      <c r="AF249" s="1992"/>
      <c r="AG249" s="1993"/>
      <c r="AH249" s="534"/>
      <c r="AI249" s="534"/>
      <c r="AJ249" s="534"/>
      <c r="AK249" s="534"/>
    </row>
    <row r="250" spans="1:37">
      <c r="A250" s="529"/>
      <c r="B250" s="768"/>
      <c r="C250" s="587"/>
      <c r="D250" s="751"/>
      <c r="E250" s="751"/>
      <c r="F250" s="751"/>
      <c r="G250" s="751"/>
      <c r="H250" s="751"/>
      <c r="I250" s="751"/>
      <c r="J250" s="751"/>
      <c r="K250" s="460"/>
      <c r="L250" s="460"/>
      <c r="M250" s="460"/>
      <c r="N250" s="460"/>
      <c r="O250" s="460"/>
      <c r="P250" s="460"/>
      <c r="Q250" s="460"/>
      <c r="R250" s="460"/>
      <c r="S250" s="460"/>
      <c r="U250" s="767"/>
      <c r="V250" s="767"/>
      <c r="W250" s="767"/>
      <c r="X250" s="767"/>
      <c r="Y250" s="767"/>
      <c r="Z250" s="567"/>
      <c r="AA250" s="567"/>
      <c r="AB250" s="779"/>
      <c r="AC250" s="779"/>
      <c r="AD250" s="779"/>
      <c r="AE250" s="779"/>
      <c r="AF250" s="779"/>
      <c r="AG250" s="779"/>
      <c r="AH250" s="534"/>
      <c r="AI250" s="534"/>
      <c r="AJ250" s="534"/>
      <c r="AK250" s="534"/>
    </row>
    <row r="251" spans="1:37">
      <c r="A251" s="529"/>
      <c r="B251" s="768"/>
      <c r="C251" s="587"/>
      <c r="D251" s="751"/>
      <c r="E251" s="751"/>
      <c r="F251" s="751"/>
      <c r="G251" s="751"/>
      <c r="H251" s="751"/>
      <c r="I251" s="751"/>
      <c r="J251" s="751"/>
      <c r="K251" s="460"/>
      <c r="L251" s="460"/>
      <c r="M251" s="460"/>
      <c r="N251" s="460"/>
      <c r="O251" s="460"/>
      <c r="P251" s="460"/>
      <c r="Q251" s="460"/>
      <c r="R251" s="460"/>
      <c r="S251" s="460"/>
      <c r="U251" s="767"/>
      <c r="V251" s="767"/>
      <c r="W251" s="767"/>
      <c r="X251" s="767"/>
      <c r="Y251" s="767"/>
      <c r="Z251" s="567"/>
      <c r="AA251" s="567"/>
      <c r="AB251" s="779"/>
      <c r="AC251" s="779"/>
      <c r="AD251" s="779"/>
      <c r="AE251" s="779"/>
      <c r="AF251" s="779"/>
      <c r="AG251" s="779"/>
      <c r="AH251" s="534"/>
      <c r="AI251" s="534"/>
      <c r="AJ251" s="534"/>
      <c r="AK251" s="534"/>
    </row>
    <row r="252" spans="1:37">
      <c r="A252" s="529"/>
      <c r="B252" s="771" t="s">
        <v>2101</v>
      </c>
      <c r="C252" s="771"/>
      <c r="D252" s="751"/>
      <c r="E252" s="751"/>
      <c r="F252" s="751"/>
      <c r="G252" s="751"/>
      <c r="H252" s="751"/>
      <c r="I252" s="751"/>
      <c r="J252" s="751"/>
      <c r="K252" s="460"/>
      <c r="L252" s="460"/>
      <c r="M252" s="460"/>
      <c r="N252" s="460"/>
      <c r="O252" s="460"/>
      <c r="P252" s="460"/>
      <c r="Q252" s="460"/>
      <c r="R252" s="460"/>
      <c r="S252" s="460"/>
      <c r="T252" s="460"/>
      <c r="U252" s="460"/>
      <c r="V252" s="460"/>
      <c r="W252" s="460"/>
      <c r="X252" s="460"/>
      <c r="Y252" s="567"/>
      <c r="Z252" s="567"/>
      <c r="AA252" s="567"/>
      <c r="AB252" s="567"/>
      <c r="AC252" s="460"/>
      <c r="AD252" s="460"/>
      <c r="AE252" s="534"/>
      <c r="AF252" s="534"/>
      <c r="AG252" s="534"/>
      <c r="AH252" s="534"/>
      <c r="AI252" s="534"/>
      <c r="AJ252" s="534"/>
      <c r="AK252" s="534"/>
    </row>
    <row r="253" spans="1:37">
      <c r="A253" s="529"/>
      <c r="B253" s="529" t="s">
        <v>2102</v>
      </c>
      <c r="C253" s="587"/>
      <c r="D253" s="751"/>
      <c r="E253" s="751"/>
      <c r="F253" s="751"/>
      <c r="G253" s="751"/>
      <c r="H253" s="751"/>
      <c r="I253" s="751"/>
      <c r="J253" s="751"/>
      <c r="K253" s="460"/>
      <c r="L253" s="460"/>
      <c r="M253" s="460"/>
      <c r="N253" s="460"/>
      <c r="O253" s="460"/>
      <c r="P253" s="460"/>
      <c r="Q253" s="460"/>
      <c r="R253" s="460"/>
      <c r="S253" s="460"/>
      <c r="T253" s="460"/>
      <c r="U253" s="460"/>
      <c r="V253" s="460"/>
      <c r="W253" s="460"/>
      <c r="X253" s="460"/>
      <c r="Y253" s="567"/>
      <c r="Z253" s="567"/>
      <c r="AA253" s="567"/>
      <c r="AB253" s="567"/>
      <c r="AC253" s="460"/>
      <c r="AD253" s="460"/>
      <c r="AE253" s="534"/>
      <c r="AF253" s="534"/>
      <c r="AG253" s="534"/>
      <c r="AH253" s="534"/>
      <c r="AI253" s="534"/>
      <c r="AJ253" s="534"/>
      <c r="AK253" s="534"/>
    </row>
    <row r="254" spans="1:37">
      <c r="A254" s="529"/>
      <c r="B254" s="529" t="s">
        <v>2103</v>
      </c>
      <c r="C254" s="587"/>
      <c r="D254" s="751"/>
      <c r="E254" s="751"/>
      <c r="F254" s="751"/>
      <c r="G254" s="751"/>
      <c r="H254" s="751"/>
      <c r="I254" s="751"/>
      <c r="J254" s="751"/>
      <c r="K254" s="460"/>
      <c r="L254" s="460"/>
      <c r="M254" s="460"/>
      <c r="N254" s="460"/>
      <c r="O254" s="460"/>
      <c r="P254" s="460"/>
      <c r="Q254" s="460"/>
      <c r="R254" s="460"/>
      <c r="S254" s="460"/>
      <c r="T254" s="460"/>
      <c r="U254" s="460"/>
      <c r="V254" s="460"/>
      <c r="W254" s="460"/>
      <c r="X254" s="460"/>
      <c r="Y254" s="567"/>
      <c r="Z254" s="567"/>
      <c r="AA254" s="567"/>
      <c r="AB254" s="567"/>
      <c r="AC254" s="460"/>
      <c r="AD254" s="460"/>
      <c r="AE254" s="534"/>
      <c r="AF254" s="534"/>
      <c r="AG254" s="534"/>
      <c r="AH254" s="534"/>
      <c r="AI254" s="534"/>
      <c r="AJ254" s="534"/>
      <c r="AK254" s="534"/>
    </row>
    <row r="255" spans="1:37">
      <c r="A255" s="529"/>
      <c r="B255" s="529" t="s">
        <v>2104</v>
      </c>
      <c r="C255" s="587"/>
      <c r="D255" s="751"/>
      <c r="E255" s="751"/>
      <c r="F255" s="751"/>
      <c r="G255" s="751"/>
      <c r="H255" s="751"/>
      <c r="I255" s="751"/>
      <c r="J255" s="751"/>
      <c r="K255" s="460"/>
      <c r="L255" s="460"/>
      <c r="M255" s="460"/>
      <c r="N255" s="460"/>
      <c r="O255" s="460"/>
      <c r="P255" s="460"/>
      <c r="Q255" s="460"/>
      <c r="R255" s="460"/>
      <c r="S255" s="460"/>
      <c r="T255" s="460"/>
      <c r="U255" s="460"/>
      <c r="V255" s="460"/>
      <c r="W255" s="460"/>
      <c r="X255" s="460"/>
      <c r="Y255" s="567"/>
      <c r="Z255" s="567"/>
      <c r="AA255" s="567"/>
      <c r="AB255" s="1995">
        <f>IFERROR(('Sources and Uses Budget'!D105/'Sources and Uses Budget'!B105),0)</f>
        <v>0</v>
      </c>
      <c r="AC255" s="1996"/>
      <c r="AD255" s="1996"/>
      <c r="AE255" s="1996"/>
      <c r="AF255" s="1996"/>
      <c r="AG255" s="1997"/>
      <c r="AH255" s="780"/>
      <c r="AI255" s="780"/>
      <c r="AJ255" s="780"/>
      <c r="AK255" s="534"/>
    </row>
    <row r="256" spans="1:37">
      <c r="A256" s="529"/>
      <c r="B256" s="401"/>
      <c r="C256" s="587"/>
      <c r="D256" s="751"/>
      <c r="E256" s="751"/>
      <c r="F256" s="751"/>
      <c r="G256" s="751"/>
      <c r="H256" s="751"/>
      <c r="I256" s="751"/>
      <c r="J256" s="751"/>
      <c r="K256" s="460"/>
      <c r="L256" s="460"/>
      <c r="M256" s="460"/>
      <c r="N256" s="460"/>
      <c r="O256" s="460"/>
      <c r="P256" s="460"/>
      <c r="Q256" s="460"/>
      <c r="R256" s="460"/>
      <c r="S256" s="460"/>
      <c r="T256" s="460"/>
      <c r="U256" s="460"/>
      <c r="V256" s="460"/>
      <c r="W256" s="460"/>
      <c r="X256" s="460"/>
      <c r="Y256" s="567"/>
      <c r="Z256" s="567"/>
      <c r="AA256" s="567"/>
      <c r="AB256" s="567"/>
      <c r="AC256" s="460"/>
      <c r="AD256" s="460"/>
      <c r="AE256" s="534"/>
      <c r="AF256" s="534"/>
      <c r="AG256" s="534"/>
      <c r="AH256" s="534"/>
      <c r="AI256" s="534"/>
      <c r="AJ256" s="534"/>
      <c r="AK256" s="534"/>
    </row>
    <row r="257" spans="1:52">
      <c r="A257" s="546"/>
      <c r="B257" s="373" t="s">
        <v>2105</v>
      </c>
      <c r="C257" s="547"/>
      <c r="D257" s="547"/>
      <c r="E257" s="547"/>
      <c r="F257" s="547"/>
      <c r="H257" s="548"/>
      <c r="I257" s="548"/>
      <c r="J257" s="548"/>
      <c r="K257" s="548"/>
      <c r="L257" s="548"/>
      <c r="M257" s="548"/>
      <c r="N257" s="548"/>
      <c r="O257" s="548"/>
      <c r="P257" s="548"/>
      <c r="Q257" s="548"/>
      <c r="R257" s="548"/>
      <c r="Y257" s="548"/>
      <c r="Z257" s="548"/>
      <c r="AA257" s="548"/>
      <c r="AB257" s="546"/>
      <c r="AC257" s="546"/>
      <c r="AD257" s="546"/>
      <c r="AE257" s="546"/>
      <c r="AG257" s="1838">
        <f>AD200*(1-AB255)</f>
        <v>21742511.867054306</v>
      </c>
      <c r="AH257" s="1838"/>
      <c r="AI257" s="1838"/>
      <c r="AJ257" s="1838"/>
      <c r="AK257" s="1838"/>
    </row>
    <row r="258" spans="1:52">
      <c r="A258" s="546"/>
      <c r="B258" s="549" t="s">
        <v>2106</v>
      </c>
      <c r="C258" s="550"/>
      <c r="D258" s="548"/>
      <c r="E258" s="548"/>
      <c r="F258" s="550"/>
      <c r="G258" s="550"/>
      <c r="H258" s="550"/>
      <c r="I258" s="550"/>
      <c r="J258" s="550"/>
      <c r="K258" s="550"/>
      <c r="L258" s="550"/>
      <c r="M258" s="548"/>
      <c r="N258" s="550"/>
      <c r="O258" s="550"/>
      <c r="P258" s="550"/>
      <c r="Q258" s="550"/>
      <c r="R258" s="550"/>
      <c r="Y258" s="548"/>
      <c r="Z258" s="548"/>
      <c r="AA258" s="548"/>
      <c r="AB258" s="546"/>
      <c r="AC258" s="546"/>
      <c r="AD258" s="546"/>
      <c r="AE258" s="546"/>
      <c r="AG258" s="1838">
        <f>'Sources and Uses Budget'!C105</f>
        <v>73286134</v>
      </c>
      <c r="AH258" s="1838"/>
      <c r="AI258" s="1838"/>
      <c r="AJ258" s="1838"/>
      <c r="AK258" s="1838"/>
    </row>
    <row r="259" spans="1:52">
      <c r="A259" s="546"/>
      <c r="B259" s="548" t="s">
        <v>1720</v>
      </c>
      <c r="C259" s="548"/>
      <c r="D259" s="548"/>
      <c r="E259" s="548"/>
      <c r="F259" s="548"/>
      <c r="G259" s="548"/>
      <c r="H259" s="548"/>
      <c r="I259" s="548"/>
      <c r="J259" s="548"/>
      <c r="K259" s="548"/>
      <c r="L259" s="548"/>
      <c r="M259" s="548"/>
      <c r="N259" s="548"/>
      <c r="O259" s="548"/>
      <c r="P259" s="548"/>
      <c r="Q259" s="548"/>
      <c r="R259" s="548"/>
      <c r="Y259" s="548"/>
      <c r="Z259" s="548"/>
      <c r="AA259" s="548"/>
      <c r="AB259" s="546"/>
      <c r="AC259" s="546"/>
      <c r="AD259" s="546"/>
      <c r="AE259" s="546"/>
      <c r="AG259" s="1987">
        <f>ROUNDDOWN(IF(AND(C281="Yes",AK78=10),((AG257*2)/AG258),AG257/AG258),2)</f>
        <v>0.59</v>
      </c>
      <c r="AH259" s="1987"/>
      <c r="AI259" s="1987"/>
      <c r="AJ259" s="1987"/>
      <c r="AK259" s="1987"/>
    </row>
    <row r="260" spans="1:52">
      <c r="A260" s="546"/>
      <c r="B260" s="897" t="s">
        <v>2107</v>
      </c>
      <c r="C260" s="548"/>
      <c r="D260" s="548"/>
      <c r="E260" s="548"/>
      <c r="F260" s="548"/>
      <c r="G260" s="548"/>
      <c r="H260" s="548"/>
      <c r="I260" s="548"/>
      <c r="J260" s="548"/>
      <c r="K260" s="548"/>
      <c r="L260" s="548"/>
      <c r="M260" s="548"/>
      <c r="N260" s="548"/>
      <c r="O260" s="548"/>
      <c r="P260" s="548"/>
      <c r="Q260" s="548"/>
      <c r="R260" s="548"/>
      <c r="Y260" s="548"/>
      <c r="Z260" s="548"/>
      <c r="AA260" s="548"/>
      <c r="AB260" s="546"/>
      <c r="AC260" s="546"/>
      <c r="AD260" s="546"/>
      <c r="AE260" s="546"/>
      <c r="AG260" s="896"/>
      <c r="AH260" s="896"/>
      <c r="AI260" s="896"/>
      <c r="AJ260" s="896"/>
      <c r="AK260" s="896"/>
    </row>
    <row r="261" spans="1:52">
      <c r="A261" s="551"/>
      <c r="B261" s="551"/>
      <c r="C261" s="551"/>
      <c r="D261" s="551"/>
      <c r="E261" s="551"/>
      <c r="F261" s="551"/>
      <c r="G261" s="551"/>
      <c r="H261" s="551"/>
      <c r="I261" s="551"/>
      <c r="J261" s="551"/>
      <c r="K261" s="551"/>
      <c r="L261" s="551"/>
      <c r="M261" s="551"/>
      <c r="N261" s="551"/>
      <c r="O261" s="551"/>
      <c r="P261" s="551"/>
      <c r="Q261" s="551"/>
      <c r="R261" s="551"/>
      <c r="S261" s="551"/>
      <c r="T261" s="551"/>
      <c r="U261" s="551"/>
      <c r="V261" s="551"/>
      <c r="W261" s="551"/>
      <c r="X261" s="551"/>
      <c r="Y261" s="551"/>
      <c r="Z261" s="551"/>
      <c r="AA261" s="551"/>
      <c r="AB261" s="551"/>
      <c r="AC261" s="551"/>
      <c r="AD261" s="551"/>
      <c r="AE261" s="551"/>
      <c r="AF261" s="551"/>
      <c r="AG261" s="551"/>
      <c r="AH261" s="551"/>
      <c r="AI261" s="551"/>
      <c r="AJ261" s="551"/>
    </row>
    <row r="262" spans="1:52">
      <c r="A262" s="552"/>
      <c r="B262" s="552"/>
      <c r="C262" s="552"/>
      <c r="D262" s="552"/>
      <c r="E262" s="552"/>
      <c r="F262" s="552"/>
      <c r="G262" s="552"/>
      <c r="H262" s="552"/>
      <c r="I262" s="552"/>
      <c r="J262" s="552"/>
      <c r="K262" s="552"/>
      <c r="L262" s="552"/>
      <c r="M262" s="552"/>
      <c r="N262" s="552"/>
      <c r="O262" s="552"/>
      <c r="P262" s="552"/>
      <c r="Q262" s="552"/>
      <c r="R262" s="552"/>
      <c r="S262" s="552"/>
      <c r="T262" s="552"/>
      <c r="U262" s="552"/>
      <c r="V262" s="552"/>
      <c r="W262" s="552"/>
      <c r="X262" s="552"/>
      <c r="Y262" s="552"/>
      <c r="Z262" s="552"/>
      <c r="AA262" s="552"/>
      <c r="AB262" s="552"/>
      <c r="AC262" s="552"/>
      <c r="AD262" s="552"/>
      <c r="AE262" s="552"/>
      <c r="AF262" s="552"/>
      <c r="AG262" s="552"/>
      <c r="AH262" s="553"/>
      <c r="AI262" s="489"/>
      <c r="AJ262" s="489" t="s">
        <v>2108</v>
      </c>
      <c r="AK262" s="1976">
        <f>IFERROR(IF(AG259=0,0,IF((AG259*100)&gt;8,8,(AG259*100))),0)</f>
        <v>8</v>
      </c>
      <c r="AL262" s="1976"/>
      <c r="AM262" s="1977"/>
    </row>
    <row r="263" spans="1:52" ht="13.8" thickBot="1"/>
    <row r="264" spans="1:52" s="474" customFormat="1" ht="12.75" customHeight="1" thickTop="1">
      <c r="A264" s="536"/>
      <c r="B264" s="554"/>
      <c r="C264" s="554"/>
      <c r="D264" s="554"/>
      <c r="E264" s="554"/>
      <c r="F264" s="554"/>
      <c r="G264" s="554"/>
      <c r="H264" s="554"/>
      <c r="I264" s="554"/>
      <c r="J264" s="554"/>
      <c r="K264" s="554"/>
      <c r="L264" s="554"/>
      <c r="M264" s="554"/>
      <c r="N264" s="554"/>
      <c r="O264" s="554"/>
      <c r="P264" s="554"/>
      <c r="Q264" s="554"/>
      <c r="R264" s="554"/>
      <c r="S264" s="554"/>
      <c r="T264" s="554"/>
      <c r="U264" s="554"/>
      <c r="V264" s="554"/>
      <c r="W264" s="554"/>
      <c r="X264" s="554"/>
      <c r="Y264" s="554"/>
      <c r="Z264" s="554"/>
      <c r="AA264" s="554"/>
      <c r="AB264" s="554"/>
      <c r="AC264" s="555"/>
      <c r="AD264" s="554"/>
      <c r="AE264" s="554"/>
      <c r="AF264" s="554"/>
      <c r="AG264" s="554"/>
      <c r="AH264" s="536"/>
      <c r="AI264" s="556"/>
      <c r="AJ264" s="556"/>
      <c r="AK264" s="557"/>
      <c r="AL264" s="557"/>
      <c r="AM264" s="558"/>
      <c r="AN264" s="521"/>
      <c r="AP264" s="460"/>
      <c r="AQ264" s="460"/>
      <c r="AR264" s="460"/>
      <c r="AS264" s="460"/>
      <c r="AT264" s="460"/>
      <c r="AU264" s="460"/>
      <c r="AV264" s="460"/>
      <c r="AW264" s="460"/>
      <c r="AX264" s="460"/>
      <c r="AY264" s="460"/>
      <c r="AZ264" s="460"/>
    </row>
    <row r="265" spans="1:52">
      <c r="A265" s="462" t="s">
        <v>2109</v>
      </c>
      <c r="B265" s="462" t="s">
        <v>2110</v>
      </c>
      <c r="C265" s="463"/>
      <c r="D265" s="474"/>
      <c r="E265" s="474"/>
      <c r="F265" s="474"/>
      <c r="G265" s="474"/>
      <c r="H265" s="474"/>
      <c r="I265" s="474"/>
      <c r="J265" s="474"/>
      <c r="K265" s="474"/>
      <c r="L265" s="474"/>
      <c r="M265" s="474"/>
      <c r="N265" s="474"/>
      <c r="O265" s="474"/>
      <c r="P265" s="474"/>
      <c r="Q265" s="474"/>
      <c r="R265" s="474"/>
      <c r="S265" s="474"/>
      <c r="T265" s="474"/>
      <c r="U265" s="474"/>
      <c r="V265" s="474"/>
      <c r="W265" s="474"/>
      <c r="X265" s="474"/>
      <c r="Y265" s="474"/>
      <c r="Z265" s="474"/>
      <c r="AA265" s="474"/>
      <c r="AB265" s="474"/>
      <c r="AC265" s="474"/>
      <c r="AD265" s="474"/>
      <c r="AE265" s="474"/>
      <c r="AF265" s="474"/>
      <c r="AG265" s="474"/>
      <c r="AH265" s="515" t="s">
        <v>1975</v>
      </c>
      <c r="AI265" s="474"/>
      <c r="AJ265" s="474"/>
      <c r="AK265" s="474"/>
      <c r="AL265" s="474"/>
      <c r="AM265" s="474"/>
      <c r="AO265" s="474"/>
    </row>
    <row r="266" spans="1:52" ht="14.25" customHeight="1">
      <c r="A266" s="515"/>
      <c r="AI266" s="475"/>
      <c r="AJ266" s="474"/>
      <c r="AK266" s="474"/>
      <c r="AL266" s="474"/>
      <c r="AM266" s="474"/>
      <c r="AO266" s="474"/>
    </row>
    <row r="267" spans="1:52" ht="13.95" customHeight="1">
      <c r="A267" s="474"/>
      <c r="B267" s="520"/>
      <c r="C267" s="1856" t="s">
        <v>836</v>
      </c>
      <c r="D267" s="1856"/>
      <c r="E267" s="471"/>
      <c r="F267" s="1807" t="s">
        <v>2111</v>
      </c>
      <c r="G267" s="1808"/>
      <c r="H267" s="1808"/>
      <c r="I267" s="1808"/>
      <c r="J267" s="1808"/>
      <c r="K267" s="1808"/>
      <c r="L267" s="1808"/>
      <c r="M267" s="1808"/>
      <c r="N267" s="1808"/>
      <c r="O267" s="1808"/>
      <c r="P267" s="1808"/>
      <c r="Q267" s="1808"/>
      <c r="R267" s="1808"/>
      <c r="S267" s="1808"/>
      <c r="T267" s="1808"/>
      <c r="U267" s="1808"/>
      <c r="V267" s="1808"/>
      <c r="W267" s="1808"/>
      <c r="X267" s="1808"/>
      <c r="Y267" s="1808"/>
      <c r="Z267" s="1808"/>
      <c r="AA267" s="1808"/>
      <c r="AB267" s="1808"/>
      <c r="AC267" s="1808"/>
      <c r="AD267" s="1809"/>
      <c r="AE267" s="474"/>
      <c r="AF267" s="559"/>
      <c r="AG267" s="1985" t="s">
        <v>2049</v>
      </c>
      <c r="AH267" s="1985"/>
      <c r="AI267" s="1985"/>
      <c r="AJ267" s="1985"/>
      <c r="AK267" s="474"/>
      <c r="AL267" s="474"/>
      <c r="AM267" s="474"/>
      <c r="AO267" s="474"/>
    </row>
    <row r="268" spans="1:52" ht="13.95" customHeight="1">
      <c r="A268" s="474"/>
      <c r="B268" s="520"/>
      <c r="C268" s="560"/>
      <c r="D268" s="474"/>
      <c r="E268" s="471"/>
      <c r="F268" s="1810"/>
      <c r="G268" s="1811"/>
      <c r="H268" s="1811"/>
      <c r="I268" s="1811"/>
      <c r="J268" s="1811"/>
      <c r="K268" s="1811"/>
      <c r="L268" s="1811"/>
      <c r="M268" s="1811"/>
      <c r="N268" s="1811"/>
      <c r="O268" s="1811"/>
      <c r="P268" s="1811"/>
      <c r="Q268" s="1811"/>
      <c r="R268" s="1811"/>
      <c r="S268" s="1811"/>
      <c r="T268" s="1811"/>
      <c r="U268" s="1811"/>
      <c r="V268" s="1811"/>
      <c r="W268" s="1811"/>
      <c r="X268" s="1811"/>
      <c r="Y268" s="1811"/>
      <c r="Z268" s="1811"/>
      <c r="AA268" s="1811"/>
      <c r="AB268" s="1811"/>
      <c r="AC268" s="1811"/>
      <c r="AD268" s="1812"/>
      <c r="AE268" s="474"/>
      <c r="AF268" s="559"/>
      <c r="AG268" s="559"/>
      <c r="AH268" s="559"/>
      <c r="AI268" s="559"/>
      <c r="AJ268" s="474"/>
      <c r="AK268" s="474"/>
      <c r="AL268" s="474"/>
      <c r="AM268" s="474"/>
      <c r="AO268" s="474"/>
    </row>
    <row r="269" spans="1:52">
      <c r="A269" s="474"/>
      <c r="B269" s="520"/>
      <c r="C269" s="560"/>
      <c r="D269" s="474"/>
      <c r="E269" s="471"/>
      <c r="F269" s="1810"/>
      <c r="G269" s="1811"/>
      <c r="H269" s="1811"/>
      <c r="I269" s="1811"/>
      <c r="J269" s="1811"/>
      <c r="K269" s="1811"/>
      <c r="L269" s="1811"/>
      <c r="M269" s="1811"/>
      <c r="N269" s="1811"/>
      <c r="O269" s="1811"/>
      <c r="P269" s="1811"/>
      <c r="Q269" s="1811"/>
      <c r="R269" s="1811"/>
      <c r="S269" s="1811"/>
      <c r="T269" s="1811"/>
      <c r="U269" s="1811"/>
      <c r="V269" s="1811"/>
      <c r="W269" s="1811"/>
      <c r="X269" s="1811"/>
      <c r="Y269" s="1811"/>
      <c r="Z269" s="1811"/>
      <c r="AA269" s="1811"/>
      <c r="AB269" s="1811"/>
      <c r="AC269" s="1811"/>
      <c r="AD269" s="1812"/>
      <c r="AE269" s="474"/>
      <c r="AF269" s="559"/>
      <c r="AG269" s="559"/>
      <c r="AH269" s="559"/>
      <c r="AI269" s="559"/>
      <c r="AJ269" s="474"/>
      <c r="AK269" s="474"/>
      <c r="AL269" s="474"/>
      <c r="AM269" s="474"/>
      <c r="AO269" s="474"/>
      <c r="AP269" s="561"/>
    </row>
    <row r="270" spans="1:52">
      <c r="A270" s="474"/>
      <c r="B270" s="520"/>
      <c r="C270" s="560"/>
      <c r="D270" s="474"/>
      <c r="E270" s="471"/>
      <c r="F270" s="1810"/>
      <c r="G270" s="1811"/>
      <c r="H270" s="1811"/>
      <c r="I270" s="1811"/>
      <c r="J270" s="1811"/>
      <c r="K270" s="1811"/>
      <c r="L270" s="1811"/>
      <c r="M270" s="1811"/>
      <c r="N270" s="1811"/>
      <c r="O270" s="1811"/>
      <c r="P270" s="1811"/>
      <c r="Q270" s="1811"/>
      <c r="R270" s="1811"/>
      <c r="S270" s="1811"/>
      <c r="T270" s="1811"/>
      <c r="U270" s="1811"/>
      <c r="V270" s="1811"/>
      <c r="W270" s="1811"/>
      <c r="X270" s="1811"/>
      <c r="Y270" s="1811"/>
      <c r="Z270" s="1811"/>
      <c r="AA270" s="1811"/>
      <c r="AB270" s="1811"/>
      <c r="AC270" s="1811"/>
      <c r="AD270" s="1812"/>
      <c r="AE270" s="474"/>
      <c r="AF270" s="559"/>
      <c r="AG270" s="559"/>
      <c r="AH270" s="559"/>
      <c r="AI270" s="559"/>
      <c r="AJ270" s="474"/>
      <c r="AK270" s="474"/>
      <c r="AL270" s="474"/>
      <c r="AM270" s="474"/>
      <c r="AO270" s="474"/>
      <c r="AP270" s="561"/>
    </row>
    <row r="271" spans="1:52" ht="13.95" customHeight="1">
      <c r="A271" s="474"/>
      <c r="B271" s="520"/>
      <c r="C271" s="1986"/>
      <c r="D271" s="1986"/>
      <c r="E271" s="471"/>
      <c r="F271" s="1813"/>
      <c r="G271" s="1814"/>
      <c r="H271" s="1814"/>
      <c r="I271" s="1814"/>
      <c r="J271" s="1814"/>
      <c r="K271" s="1814"/>
      <c r="L271" s="1814"/>
      <c r="M271" s="1814"/>
      <c r="N271" s="1814"/>
      <c r="O271" s="1814"/>
      <c r="P271" s="1814"/>
      <c r="Q271" s="1814"/>
      <c r="R271" s="1814"/>
      <c r="S271" s="1814"/>
      <c r="T271" s="1814"/>
      <c r="U271" s="1814"/>
      <c r="V271" s="1814"/>
      <c r="W271" s="1814"/>
      <c r="X271" s="1814"/>
      <c r="Y271" s="1814"/>
      <c r="Z271" s="1814"/>
      <c r="AA271" s="1814"/>
      <c r="AB271" s="1814"/>
      <c r="AC271" s="1814"/>
      <c r="AD271" s="1815"/>
      <c r="AE271" s="474"/>
      <c r="AF271" s="559"/>
      <c r="AG271" s="1985"/>
      <c r="AH271" s="1985"/>
      <c r="AI271" s="1985"/>
      <c r="AJ271" s="1985"/>
      <c r="AK271" s="474"/>
      <c r="AL271" s="474"/>
      <c r="AM271" s="474"/>
    </row>
    <row r="272" spans="1:52" ht="13.95" hidden="1" customHeight="1">
      <c r="A272" s="474"/>
      <c r="C272" s="527"/>
      <c r="D272" s="527"/>
      <c r="E272" s="527"/>
      <c r="F272" s="939"/>
      <c r="G272" s="940"/>
      <c r="H272" s="940"/>
      <c r="I272" s="940"/>
      <c r="J272" s="940"/>
      <c r="K272" s="940"/>
      <c r="L272" s="940"/>
      <c r="M272" s="940"/>
      <c r="N272" s="940"/>
      <c r="O272" s="940"/>
      <c r="P272" s="940"/>
      <c r="Q272" s="940"/>
      <c r="R272" s="940"/>
      <c r="S272" s="940"/>
      <c r="T272" s="940"/>
      <c r="U272" s="940"/>
      <c r="V272" s="940"/>
      <c r="W272" s="940"/>
      <c r="X272" s="940"/>
      <c r="Y272" s="940"/>
      <c r="Z272" s="940"/>
      <c r="AA272" s="940"/>
      <c r="AB272" s="940"/>
      <c r="AC272" s="940"/>
      <c r="AD272" s="941"/>
      <c r="AE272" s="527"/>
      <c r="AF272" s="527"/>
      <c r="AG272" s="527"/>
      <c r="AH272" s="527"/>
      <c r="AI272" s="559"/>
      <c r="AJ272" s="474"/>
      <c r="AK272" s="474"/>
      <c r="AL272" s="474"/>
      <c r="AM272" s="474"/>
    </row>
    <row r="273" spans="1:49">
      <c r="A273" s="474"/>
      <c r="B273" s="527"/>
      <c r="C273" s="527"/>
      <c r="D273" s="527"/>
      <c r="E273" s="527"/>
      <c r="F273" s="527"/>
      <c r="G273" s="527"/>
      <c r="H273" s="527"/>
      <c r="I273" s="527"/>
      <c r="J273" s="527"/>
      <c r="K273" s="527"/>
      <c r="L273" s="527"/>
      <c r="M273" s="527"/>
      <c r="N273" s="527"/>
      <c r="O273" s="527"/>
      <c r="P273" s="527"/>
      <c r="Q273" s="527"/>
      <c r="R273" s="527"/>
      <c r="S273" s="527"/>
      <c r="T273" s="527"/>
      <c r="U273" s="527"/>
      <c r="V273" s="527"/>
      <c r="W273" s="527"/>
      <c r="X273" s="527"/>
      <c r="Y273" s="527"/>
      <c r="Z273" s="527"/>
      <c r="AA273" s="527"/>
      <c r="AB273" s="527"/>
      <c r="AC273" s="527"/>
      <c r="AD273" s="527"/>
      <c r="AE273" s="527"/>
      <c r="AF273" s="527"/>
      <c r="AG273" s="527"/>
      <c r="AH273" s="527"/>
      <c r="AI273" s="527"/>
      <c r="AJ273" s="527"/>
      <c r="AK273" s="527"/>
      <c r="AL273" s="474"/>
      <c r="AM273" s="474"/>
      <c r="AN273" s="59"/>
    </row>
    <row r="274" spans="1:49">
      <c r="A274" s="530"/>
      <c r="B274" s="488"/>
      <c r="C274" s="488"/>
      <c r="D274" s="488"/>
      <c r="E274" s="488"/>
      <c r="F274" s="488"/>
      <c r="G274" s="488"/>
      <c r="H274" s="488"/>
      <c r="I274" s="488"/>
      <c r="J274" s="488"/>
      <c r="K274" s="488"/>
      <c r="L274" s="488"/>
      <c r="M274" s="488"/>
      <c r="N274" s="488"/>
      <c r="O274" s="488"/>
      <c r="P274" s="488"/>
      <c r="Q274" s="488"/>
      <c r="R274" s="488"/>
      <c r="S274" s="488"/>
      <c r="T274" s="488"/>
      <c r="U274" s="488"/>
      <c r="V274" s="488"/>
      <c r="W274" s="488"/>
      <c r="X274" s="488"/>
      <c r="Y274" s="488"/>
      <c r="Z274" s="488"/>
      <c r="AA274" s="488"/>
      <c r="AB274" s="488"/>
      <c r="AC274" s="488"/>
      <c r="AD274" s="488"/>
      <c r="AE274" s="488"/>
      <c r="AF274" s="488"/>
      <c r="AG274" s="488"/>
      <c r="AH274" s="488"/>
      <c r="AI274" s="489"/>
      <c r="AJ274" s="489" t="s">
        <v>2112</v>
      </c>
      <c r="AK274" s="1976">
        <f>IF($C$267="yes",10,0)</f>
        <v>10</v>
      </c>
      <c r="AL274" s="1976"/>
      <c r="AM274" s="1977"/>
      <c r="AN274" s="59"/>
    </row>
    <row r="275" spans="1:49" ht="13.8" thickBot="1"/>
    <row r="276" spans="1:49" ht="13.8" thickTop="1">
      <c r="A276" s="562"/>
      <c r="B276" s="562"/>
      <c r="C276" s="562"/>
      <c r="D276" s="562"/>
      <c r="E276" s="562"/>
      <c r="F276" s="562"/>
      <c r="G276" s="562"/>
      <c r="H276" s="562"/>
      <c r="I276" s="562"/>
      <c r="J276" s="562"/>
      <c r="K276" s="562"/>
      <c r="L276" s="562"/>
      <c r="M276" s="562"/>
      <c r="N276" s="562"/>
      <c r="O276" s="562"/>
      <c r="P276" s="562"/>
      <c r="Q276" s="562"/>
      <c r="R276" s="562"/>
      <c r="S276" s="562"/>
      <c r="T276" s="562"/>
      <c r="U276" s="562"/>
      <c r="V276" s="562"/>
      <c r="W276" s="562"/>
      <c r="X276" s="562"/>
      <c r="Y276" s="562"/>
      <c r="Z276" s="562"/>
      <c r="AA276" s="562"/>
      <c r="AB276" s="562"/>
      <c r="AC276" s="562"/>
      <c r="AD276" s="562"/>
      <c r="AE276" s="562"/>
      <c r="AF276" s="562"/>
      <c r="AG276" s="562"/>
      <c r="AH276" s="562"/>
      <c r="AI276" s="562"/>
      <c r="AJ276" s="562"/>
      <c r="AK276" s="562"/>
      <c r="AL276" s="562"/>
      <c r="AM276" s="563"/>
    </row>
    <row r="277" spans="1:49">
      <c r="A277" s="462" t="s">
        <v>2113</v>
      </c>
      <c r="B277" s="462" t="s">
        <v>2114</v>
      </c>
      <c r="AH277" s="515" t="s">
        <v>1975</v>
      </c>
    </row>
    <row r="278" spans="1:49" ht="15" customHeight="1">
      <c r="B278" s="463"/>
    </row>
    <row r="279" spans="1:49" ht="15" customHeight="1">
      <c r="B279" s="463" t="s">
        <v>1976</v>
      </c>
    </row>
    <row r="280" spans="1:49">
      <c r="B280" s="474"/>
      <c r="C280" s="564"/>
      <c r="D280" s="474"/>
      <c r="E280" s="474"/>
      <c r="F280" s="474"/>
      <c r="G280" s="474"/>
      <c r="H280" s="474"/>
      <c r="I280" s="474"/>
      <c r="J280" s="474"/>
      <c r="K280" s="474"/>
      <c r="L280" s="474"/>
      <c r="M280" s="474"/>
      <c r="N280" s="474"/>
      <c r="O280" s="474"/>
      <c r="P280" s="474"/>
      <c r="Q280" s="474"/>
      <c r="R280" s="474"/>
      <c r="S280" s="474"/>
      <c r="T280" s="474"/>
      <c r="U280" s="474"/>
      <c r="V280" s="474"/>
      <c r="W280" s="474"/>
      <c r="X280" s="474"/>
      <c r="Y280" s="474"/>
      <c r="Z280" s="474"/>
      <c r="AA280" s="474"/>
      <c r="AB280" s="474"/>
      <c r="AC280" s="474"/>
      <c r="AD280" s="474"/>
      <c r="AG280" s="474"/>
      <c r="AI280" s="474"/>
      <c r="AJ280" s="474"/>
      <c r="AK280" s="474"/>
      <c r="AL280" s="474"/>
      <c r="AM280" s="474"/>
      <c r="AN280" s="59"/>
      <c r="AO280" s="14"/>
      <c r="AP280" s="494"/>
      <c r="AQ280" s="565"/>
      <c r="AR280" s="494"/>
      <c r="AS280" s="494"/>
      <c r="AT280" s="494"/>
      <c r="AU280" s="494"/>
      <c r="AV280" s="28"/>
      <c r="AW280" s="28"/>
    </row>
    <row r="281" spans="1:49" ht="12.75" customHeight="1">
      <c r="A281" s="1568" t="s">
        <v>2115</v>
      </c>
      <c r="B281" s="1568"/>
      <c r="C281" s="1950" t="s">
        <v>836</v>
      </c>
      <c r="D281" s="1856"/>
      <c r="E281" s="471"/>
      <c r="F281" s="1978" t="s">
        <v>2116</v>
      </c>
      <c r="G281" s="1979"/>
      <c r="H281" s="1979"/>
      <c r="I281" s="1979"/>
      <c r="J281" s="1979"/>
      <c r="K281" s="1979"/>
      <c r="L281" s="1979"/>
      <c r="M281" s="1979"/>
      <c r="N281" s="1979"/>
      <c r="O281" s="1979"/>
      <c r="P281" s="1979"/>
      <c r="Q281" s="1979"/>
      <c r="R281" s="1979"/>
      <c r="S281" s="1979"/>
      <c r="T281" s="1979"/>
      <c r="U281" s="1979"/>
      <c r="V281" s="1979"/>
      <c r="W281" s="1979"/>
      <c r="X281" s="1979"/>
      <c r="Y281" s="1979"/>
      <c r="Z281" s="1979"/>
      <c r="AA281" s="1979"/>
      <c r="AB281" s="1979"/>
      <c r="AC281" s="1979"/>
      <c r="AD281" s="1980"/>
      <c r="AE281" s="566"/>
      <c r="AF281" s="474"/>
      <c r="AG281" s="1981" t="s">
        <v>2117</v>
      </c>
      <c r="AH281" s="1981"/>
      <c r="AI281" s="1981"/>
      <c r="AJ281" s="1981"/>
      <c r="AK281" s="1981"/>
      <c r="AL281" s="474"/>
      <c r="AM281" s="474"/>
      <c r="AN281" s="59"/>
      <c r="AO281" s="14"/>
      <c r="AP281" s="26"/>
      <c r="AS281" s="494"/>
      <c r="AT281" s="494"/>
      <c r="AU281" s="494"/>
      <c r="AV281" s="28"/>
      <c r="AW281" s="28"/>
    </row>
    <row r="282" spans="1:49">
      <c r="A282" s="564"/>
      <c r="B282" s="520"/>
      <c r="F282" s="1833"/>
      <c r="G282" s="1834"/>
      <c r="H282" s="1834"/>
      <c r="I282" s="1834"/>
      <c r="J282" s="1834"/>
      <c r="K282" s="1834"/>
      <c r="L282" s="1834"/>
      <c r="M282" s="1834"/>
      <c r="N282" s="1834"/>
      <c r="O282" s="1834"/>
      <c r="P282" s="1834"/>
      <c r="Q282" s="1834"/>
      <c r="R282" s="1834"/>
      <c r="S282" s="1834"/>
      <c r="T282" s="1834"/>
      <c r="U282" s="1834"/>
      <c r="V282" s="1834"/>
      <c r="W282" s="1834"/>
      <c r="X282" s="1834"/>
      <c r="Y282" s="1834"/>
      <c r="Z282" s="1834"/>
      <c r="AA282" s="1834"/>
      <c r="AB282" s="1834"/>
      <c r="AC282" s="1834"/>
      <c r="AD282" s="1835"/>
      <c r="AE282" s="566"/>
      <c r="AF282" s="475"/>
      <c r="AH282" s="475"/>
      <c r="AI282" s="475"/>
      <c r="AJ282" s="474"/>
      <c r="AK282" s="474"/>
      <c r="AL282" s="474"/>
      <c r="AM282" s="474"/>
      <c r="AN282" s="59"/>
      <c r="AO282" s="14"/>
      <c r="AP282" s="474">
        <f>IF($C$281="yes",10,IF(C281="50% Met",9,0))</f>
        <v>10</v>
      </c>
      <c r="AS282" s="494"/>
      <c r="AT282" s="494"/>
      <c r="AU282" s="494"/>
      <c r="AV282" s="28"/>
      <c r="AW282" s="28"/>
    </row>
    <row r="283" spans="1:49" ht="15" customHeight="1">
      <c r="A283" s="564"/>
      <c r="B283" s="520"/>
      <c r="F283" s="1833"/>
      <c r="G283" s="1834"/>
      <c r="H283" s="1834"/>
      <c r="I283" s="1834"/>
      <c r="J283" s="1834"/>
      <c r="K283" s="1834"/>
      <c r="L283" s="1834"/>
      <c r="M283" s="1834"/>
      <c r="N283" s="1834"/>
      <c r="O283" s="1834"/>
      <c r="P283" s="1834"/>
      <c r="Q283" s="1834"/>
      <c r="R283" s="1834"/>
      <c r="S283" s="1834"/>
      <c r="T283" s="1834"/>
      <c r="U283" s="1834"/>
      <c r="V283" s="1834"/>
      <c r="W283" s="1834"/>
      <c r="X283" s="1834"/>
      <c r="Y283" s="1834"/>
      <c r="Z283" s="1834"/>
      <c r="AA283" s="1834"/>
      <c r="AB283" s="1834"/>
      <c r="AC283" s="1834"/>
      <c r="AD283" s="1835"/>
      <c r="AE283" s="566"/>
      <c r="AF283" s="475"/>
      <c r="AH283" s="475"/>
      <c r="AI283" s="475"/>
      <c r="AJ283" s="474"/>
      <c r="AK283" s="474"/>
      <c r="AL283" s="474"/>
      <c r="AM283" s="474"/>
      <c r="AN283" s="59"/>
      <c r="AO283" s="14"/>
      <c r="AP283" s="474">
        <f>IF($C$291="yes",9,0)</f>
        <v>0</v>
      </c>
      <c r="AS283" s="494"/>
      <c r="AT283" s="494"/>
      <c r="AU283" s="494"/>
      <c r="AV283" s="28"/>
      <c r="AW283" s="28"/>
    </row>
    <row r="284" spans="1:49" ht="12.75" customHeight="1">
      <c r="A284" s="564"/>
      <c r="B284" s="520"/>
      <c r="F284" s="1833" t="s">
        <v>2118</v>
      </c>
      <c r="G284" s="1834"/>
      <c r="H284" s="1834"/>
      <c r="I284" s="1834"/>
      <c r="J284" s="1834"/>
      <c r="K284" s="1834"/>
      <c r="L284" s="1834"/>
      <c r="M284" s="1834"/>
      <c r="N284" s="1834"/>
      <c r="O284" s="1834"/>
      <c r="P284" s="1834"/>
      <c r="Q284" s="1834"/>
      <c r="R284" s="1834"/>
      <c r="S284" s="1834"/>
      <c r="T284" s="1834"/>
      <c r="U284" s="1834"/>
      <c r="V284" s="1834"/>
      <c r="W284" s="1834"/>
      <c r="X284" s="1834"/>
      <c r="Y284" s="1834"/>
      <c r="Z284" s="1834"/>
      <c r="AA284" s="1834"/>
      <c r="AB284" s="1834"/>
      <c r="AC284" s="1834"/>
      <c r="AD284" s="1835"/>
      <c r="AE284" s="566"/>
      <c r="AF284" s="475"/>
      <c r="AH284" s="475"/>
      <c r="AI284" s="475"/>
      <c r="AJ284" s="474"/>
      <c r="AK284" s="474"/>
      <c r="AL284" s="474"/>
      <c r="AM284" s="474"/>
      <c r="AN284" s="59"/>
      <c r="AO284" s="14"/>
      <c r="AP284" s="535">
        <f>MAX(AP282,AP283)</f>
        <v>10</v>
      </c>
      <c r="AQ284" s="498" t="s">
        <v>1979</v>
      </c>
      <c r="AS284" s="494"/>
      <c r="AT284" s="494"/>
      <c r="AU284" s="494"/>
      <c r="AV284" s="28"/>
      <c r="AW284" s="28"/>
    </row>
    <row r="285" spans="1:49">
      <c r="A285" s="564"/>
      <c r="B285" s="520"/>
      <c r="F285" s="1833"/>
      <c r="G285" s="1834"/>
      <c r="H285" s="1834"/>
      <c r="I285" s="1834"/>
      <c r="J285" s="1834"/>
      <c r="K285" s="1834"/>
      <c r="L285" s="1834"/>
      <c r="M285" s="1834"/>
      <c r="N285" s="1834"/>
      <c r="O285" s="1834"/>
      <c r="P285" s="1834"/>
      <c r="Q285" s="1834"/>
      <c r="R285" s="1834"/>
      <c r="S285" s="1834"/>
      <c r="T285" s="1834"/>
      <c r="U285" s="1834"/>
      <c r="V285" s="1834"/>
      <c r="W285" s="1834"/>
      <c r="X285" s="1834"/>
      <c r="Y285" s="1834"/>
      <c r="Z285" s="1834"/>
      <c r="AA285" s="1834"/>
      <c r="AB285" s="1834"/>
      <c r="AC285" s="1834"/>
      <c r="AD285" s="1835"/>
      <c r="AE285" s="566"/>
      <c r="AF285" s="475"/>
      <c r="AH285" s="475"/>
      <c r="AI285" s="475"/>
      <c r="AJ285" s="474"/>
      <c r="AK285" s="474"/>
      <c r="AL285" s="474"/>
      <c r="AM285" s="474"/>
      <c r="AN285" s="59"/>
      <c r="AO285" s="14"/>
      <c r="AP285" s="474"/>
      <c r="AS285" s="494"/>
      <c r="AT285" s="494"/>
      <c r="AU285" s="494"/>
      <c r="AV285" s="28"/>
      <c r="AW285" s="28"/>
    </row>
    <row r="286" spans="1:49" ht="12.75" customHeight="1">
      <c r="A286" s="474"/>
      <c r="B286" s="475"/>
      <c r="C286" s="474"/>
      <c r="D286" s="475"/>
      <c r="E286" s="474"/>
      <c r="F286" s="1833" t="s">
        <v>2119</v>
      </c>
      <c r="G286" s="1834"/>
      <c r="H286" s="1834"/>
      <c r="I286" s="1834"/>
      <c r="J286" s="1834"/>
      <c r="K286" s="1834"/>
      <c r="L286" s="1834"/>
      <c r="M286" s="1834"/>
      <c r="N286" s="1834"/>
      <c r="O286" s="1834"/>
      <c r="P286" s="1834"/>
      <c r="Q286" s="1834"/>
      <c r="R286" s="1834"/>
      <c r="S286" s="1834"/>
      <c r="T286" s="1834"/>
      <c r="U286" s="1834"/>
      <c r="V286" s="1834"/>
      <c r="W286" s="1834"/>
      <c r="X286" s="1834"/>
      <c r="Y286" s="1834"/>
      <c r="Z286" s="1834"/>
      <c r="AA286" s="1834"/>
      <c r="AB286" s="1834"/>
      <c r="AC286" s="1834"/>
      <c r="AD286" s="1835"/>
      <c r="AE286" s="566"/>
      <c r="AF286" s="475"/>
      <c r="AG286" s="475"/>
      <c r="AH286" s="475"/>
      <c r="AI286" s="475"/>
      <c r="AJ286" s="474"/>
      <c r="AK286" s="474"/>
      <c r="AL286" s="474"/>
      <c r="AM286" s="474"/>
      <c r="AN286" s="59"/>
      <c r="AO286" s="14"/>
      <c r="AS286" s="494"/>
      <c r="AT286" s="494"/>
      <c r="AU286" s="494"/>
      <c r="AV286" s="28"/>
      <c r="AW286" s="28"/>
    </row>
    <row r="287" spans="1:49" ht="15" customHeight="1">
      <c r="A287" s="474"/>
      <c r="B287" s="475"/>
      <c r="C287" s="475"/>
      <c r="D287" s="475"/>
      <c r="E287" s="475"/>
      <c r="F287" s="1833"/>
      <c r="G287" s="1834"/>
      <c r="H287" s="1834"/>
      <c r="I287" s="1834"/>
      <c r="J287" s="1834"/>
      <c r="K287" s="1834"/>
      <c r="L287" s="1834"/>
      <c r="M287" s="1834"/>
      <c r="N287" s="1834"/>
      <c r="O287" s="1834"/>
      <c r="P287" s="1834"/>
      <c r="Q287" s="1834"/>
      <c r="R287" s="1834"/>
      <c r="S287" s="1834"/>
      <c r="T287" s="1834"/>
      <c r="U287" s="1834"/>
      <c r="V287" s="1834"/>
      <c r="W287" s="1834"/>
      <c r="X287" s="1834"/>
      <c r="Y287" s="1834"/>
      <c r="Z287" s="1834"/>
      <c r="AA287" s="1834"/>
      <c r="AB287" s="1834"/>
      <c r="AC287" s="1834"/>
      <c r="AD287" s="1835"/>
      <c r="AE287" s="566"/>
      <c r="AF287" s="475"/>
      <c r="AG287" s="475"/>
      <c r="AH287" s="475"/>
      <c r="AI287" s="475"/>
      <c r="AJ287" s="474"/>
      <c r="AK287" s="474"/>
      <c r="AL287" s="474"/>
      <c r="AM287" s="474"/>
      <c r="AN287" s="59"/>
      <c r="AO287" s="14"/>
      <c r="AS287" s="494"/>
      <c r="AT287" s="494"/>
      <c r="AU287" s="494"/>
      <c r="AV287" s="28"/>
      <c r="AW287" s="28"/>
    </row>
    <row r="288" spans="1:49" ht="12.75" customHeight="1">
      <c r="A288" s="474"/>
      <c r="B288" s="475"/>
      <c r="C288" s="475"/>
      <c r="D288" s="475"/>
      <c r="E288" s="475"/>
      <c r="F288" s="1833" t="s">
        <v>2120</v>
      </c>
      <c r="G288" s="1834"/>
      <c r="H288" s="1834"/>
      <c r="I288" s="1834"/>
      <c r="J288" s="1834"/>
      <c r="K288" s="1834"/>
      <c r="L288" s="1834"/>
      <c r="M288" s="1834"/>
      <c r="N288" s="1834"/>
      <c r="O288" s="1834"/>
      <c r="P288" s="1834"/>
      <c r="Q288" s="1834"/>
      <c r="R288" s="1834"/>
      <c r="S288" s="1834"/>
      <c r="T288" s="1834"/>
      <c r="U288" s="1834"/>
      <c r="V288" s="1834"/>
      <c r="W288" s="1834"/>
      <c r="X288" s="1834"/>
      <c r="Y288" s="1834"/>
      <c r="Z288" s="1834"/>
      <c r="AA288" s="1834"/>
      <c r="AB288" s="1834"/>
      <c r="AC288" s="1834"/>
      <c r="AD288" s="1835"/>
      <c r="AE288" s="567"/>
      <c r="AF288" s="475"/>
      <c r="AG288" s="475"/>
      <c r="AH288" s="475"/>
      <c r="AI288" s="475"/>
      <c r="AJ288" s="474"/>
      <c r="AK288" s="474"/>
      <c r="AL288" s="474"/>
      <c r="AM288" s="474"/>
      <c r="AN288" s="59"/>
      <c r="AO288" s="14"/>
      <c r="AP288" s="474"/>
      <c r="AS288" s="494"/>
      <c r="AT288" s="494"/>
      <c r="AU288" s="494"/>
      <c r="AV288" s="28"/>
      <c r="AW288" s="28"/>
    </row>
    <row r="289" spans="1:49">
      <c r="A289" s="474"/>
      <c r="B289" s="475"/>
      <c r="C289" s="475"/>
      <c r="D289" s="475"/>
      <c r="E289" s="475"/>
      <c r="F289" s="1836"/>
      <c r="G289" s="1837"/>
      <c r="H289" s="1837"/>
      <c r="I289" s="1837"/>
      <c r="J289" s="1837"/>
      <c r="K289" s="1837"/>
      <c r="L289" s="1837"/>
      <c r="M289" s="1837"/>
      <c r="N289" s="1837"/>
      <c r="O289" s="1837"/>
      <c r="P289" s="1837"/>
      <c r="Q289" s="1837"/>
      <c r="R289" s="1837"/>
      <c r="S289" s="1837"/>
      <c r="T289" s="1837"/>
      <c r="U289" s="1837"/>
      <c r="V289" s="1837"/>
      <c r="W289" s="1837"/>
      <c r="X289" s="1837"/>
      <c r="Y289" s="1837"/>
      <c r="Z289" s="1837"/>
      <c r="AA289" s="1837"/>
      <c r="AB289" s="1837"/>
      <c r="AC289" s="1837"/>
      <c r="AD289" s="1975"/>
      <c r="AE289" s="567"/>
      <c r="AF289" s="475"/>
      <c r="AG289" s="475"/>
      <c r="AH289" s="475"/>
      <c r="AI289" s="475"/>
      <c r="AJ289" s="474"/>
      <c r="AK289" s="474"/>
      <c r="AL289" s="474"/>
      <c r="AM289" s="474"/>
      <c r="AN289" s="59"/>
      <c r="AO289" s="14"/>
      <c r="AP289" s="474"/>
      <c r="AS289" s="494"/>
      <c r="AT289" s="494"/>
      <c r="AU289" s="494"/>
      <c r="AV289" s="28"/>
      <c r="AW289" s="28"/>
    </row>
    <row r="290" spans="1:49">
      <c r="A290" s="474"/>
      <c r="B290" s="475"/>
      <c r="C290" s="475"/>
      <c r="D290" s="475"/>
      <c r="E290" s="475"/>
      <c r="F290" s="567"/>
      <c r="G290" s="567"/>
      <c r="H290" s="567"/>
      <c r="I290" s="567"/>
      <c r="J290" s="567"/>
      <c r="K290" s="567"/>
      <c r="L290" s="567"/>
      <c r="M290" s="567"/>
      <c r="N290" s="567"/>
      <c r="O290" s="567"/>
      <c r="P290" s="567"/>
      <c r="Q290" s="567"/>
      <c r="R290" s="567"/>
      <c r="S290" s="567"/>
      <c r="T290" s="567"/>
      <c r="U290" s="567"/>
      <c r="V290" s="567"/>
      <c r="W290" s="567"/>
      <c r="X290" s="567"/>
      <c r="Y290" s="567"/>
      <c r="Z290" s="567"/>
      <c r="AA290" s="567"/>
      <c r="AB290" s="567"/>
      <c r="AC290" s="567"/>
      <c r="AD290" s="567"/>
      <c r="AE290" s="475"/>
      <c r="AF290" s="475"/>
      <c r="AG290" s="475"/>
      <c r="AH290" s="475"/>
      <c r="AI290" s="475"/>
      <c r="AJ290" s="474"/>
      <c r="AK290" s="474"/>
      <c r="AL290" s="474"/>
      <c r="AM290" s="474"/>
      <c r="AN290" s="59"/>
      <c r="AO290" s="14"/>
      <c r="AS290" s="494"/>
      <c r="AT290" s="494"/>
      <c r="AU290" s="494"/>
      <c r="AV290" s="28"/>
      <c r="AW290" s="28"/>
    </row>
    <row r="291" spans="1:49" ht="15" customHeight="1">
      <c r="A291" s="1568" t="s">
        <v>2121</v>
      </c>
      <c r="B291" s="1568"/>
      <c r="C291" s="1856" t="s">
        <v>299</v>
      </c>
      <c r="D291" s="1856"/>
      <c r="E291" s="471"/>
      <c r="F291" s="568" t="s">
        <v>2122</v>
      </c>
      <c r="G291" s="569"/>
      <c r="H291" s="569"/>
      <c r="I291" s="569"/>
      <c r="J291" s="569"/>
      <c r="K291" s="569"/>
      <c r="L291" s="569"/>
      <c r="M291" s="569"/>
      <c r="N291" s="569"/>
      <c r="O291" s="569"/>
      <c r="P291" s="569"/>
      <c r="Q291" s="569"/>
      <c r="R291" s="569"/>
      <c r="S291" s="569"/>
      <c r="T291" s="569"/>
      <c r="U291" s="569"/>
      <c r="V291" s="569"/>
      <c r="W291" s="569"/>
      <c r="X291" s="569"/>
      <c r="Y291" s="569"/>
      <c r="Z291" s="569"/>
      <c r="AA291" s="569"/>
      <c r="AB291" s="569"/>
      <c r="AC291" s="569"/>
      <c r="AD291" s="570"/>
      <c r="AE291" s="475"/>
      <c r="AF291" s="475"/>
      <c r="AG291" s="463" t="s">
        <v>2123</v>
      </c>
      <c r="AH291" s="475"/>
      <c r="AI291" s="475"/>
      <c r="AJ291" s="474"/>
      <c r="AK291" s="474"/>
      <c r="AL291" s="474"/>
      <c r="AM291" s="474"/>
      <c r="AN291" s="571"/>
      <c r="AO291" s="14"/>
    </row>
    <row r="292" spans="1:49">
      <c r="A292" s="474"/>
      <c r="B292" s="475"/>
      <c r="C292" s="474"/>
      <c r="D292" s="475"/>
      <c r="E292" s="474"/>
      <c r="F292" s="1960" t="s">
        <v>2124</v>
      </c>
      <c r="G292" s="1961"/>
      <c r="H292" s="1961"/>
      <c r="I292" s="1961"/>
      <c r="J292" s="1961"/>
      <c r="K292" s="1961"/>
      <c r="L292" s="1961"/>
      <c r="M292" s="1961"/>
      <c r="N292" s="1961"/>
      <c r="O292" s="1961"/>
      <c r="P292" s="1961"/>
      <c r="Q292" s="1961"/>
      <c r="R292" s="1961"/>
      <c r="S292" s="1961"/>
      <c r="T292" s="1961"/>
      <c r="U292" s="1961"/>
      <c r="V292" s="1961"/>
      <c r="W292" s="1961"/>
      <c r="X292" s="1961"/>
      <c r="Y292" s="1961"/>
      <c r="Z292" s="1961"/>
      <c r="AA292" s="1961"/>
      <c r="AB292" s="1961"/>
      <c r="AC292" s="1961"/>
      <c r="AD292" s="1962"/>
      <c r="AE292" s="475"/>
      <c r="AF292" s="475"/>
      <c r="AG292" s="475"/>
      <c r="AH292" s="475"/>
      <c r="AI292" s="475"/>
      <c r="AJ292" s="474"/>
      <c r="AK292" s="474"/>
      <c r="AL292" s="474"/>
      <c r="AM292" s="474"/>
      <c r="AR292" s="572"/>
    </row>
    <row r="293" spans="1:49" ht="15" customHeight="1">
      <c r="A293" s="474"/>
      <c r="B293" s="475"/>
      <c r="C293" s="474"/>
      <c r="D293" s="475"/>
      <c r="E293" s="474"/>
      <c r="F293" s="1960"/>
      <c r="G293" s="1961"/>
      <c r="H293" s="1961"/>
      <c r="I293" s="1961"/>
      <c r="J293" s="1961"/>
      <c r="K293" s="1961"/>
      <c r="L293" s="1961"/>
      <c r="M293" s="1961"/>
      <c r="N293" s="1961"/>
      <c r="O293" s="1961"/>
      <c r="P293" s="1961"/>
      <c r="Q293" s="1961"/>
      <c r="R293" s="1961"/>
      <c r="S293" s="1961"/>
      <c r="T293" s="1961"/>
      <c r="U293" s="1961"/>
      <c r="V293" s="1961"/>
      <c r="W293" s="1961"/>
      <c r="X293" s="1961"/>
      <c r="Y293" s="1961"/>
      <c r="Z293" s="1961"/>
      <c r="AA293" s="1961"/>
      <c r="AB293" s="1961"/>
      <c r="AC293" s="1961"/>
      <c r="AD293" s="1962"/>
      <c r="AE293" s="475"/>
      <c r="AF293" s="475"/>
      <c r="AG293" s="475"/>
      <c r="AH293" s="475"/>
      <c r="AI293" s="475"/>
      <c r="AJ293" s="474"/>
      <c r="AK293" s="474"/>
      <c r="AL293" s="474"/>
      <c r="AM293" s="474"/>
      <c r="AR293" s="572"/>
    </row>
    <row r="294" spans="1:49">
      <c r="A294" s="474"/>
      <c r="B294" s="475"/>
      <c r="C294" s="474"/>
      <c r="D294" s="475"/>
      <c r="E294" s="474"/>
      <c r="F294" s="1960"/>
      <c r="G294" s="1961"/>
      <c r="H294" s="1961"/>
      <c r="I294" s="1961"/>
      <c r="J294" s="1961"/>
      <c r="K294" s="1961"/>
      <c r="L294" s="1961"/>
      <c r="M294" s="1961"/>
      <c r="N294" s="1961"/>
      <c r="O294" s="1961"/>
      <c r="P294" s="1961"/>
      <c r="Q294" s="1961"/>
      <c r="R294" s="1961"/>
      <c r="S294" s="1961"/>
      <c r="T294" s="1961"/>
      <c r="U294" s="1961"/>
      <c r="V294" s="1961"/>
      <c r="W294" s="1961"/>
      <c r="X294" s="1961"/>
      <c r="Y294" s="1961"/>
      <c r="Z294" s="1961"/>
      <c r="AA294" s="1961"/>
      <c r="AB294" s="1961"/>
      <c r="AC294" s="1961"/>
      <c r="AD294" s="1962"/>
      <c r="AE294" s="475"/>
      <c r="AF294" s="475"/>
      <c r="AG294" s="475"/>
      <c r="AH294" s="475"/>
      <c r="AI294" s="475"/>
      <c r="AJ294" s="474"/>
      <c r="AK294" s="474"/>
      <c r="AL294" s="474"/>
      <c r="AM294" s="474"/>
      <c r="AP294" s="535"/>
      <c r="AQ294" s="498"/>
      <c r="AR294" s="572"/>
    </row>
    <row r="295" spans="1:49" ht="15" customHeight="1">
      <c r="A295" s="474"/>
      <c r="B295" s="475"/>
      <c r="C295" s="474"/>
      <c r="D295" s="475"/>
      <c r="E295" s="474"/>
      <c r="F295" s="1982"/>
      <c r="G295" s="1983"/>
      <c r="H295" s="1983"/>
      <c r="I295" s="1983"/>
      <c r="J295" s="1983"/>
      <c r="K295" s="1983"/>
      <c r="L295" s="1983"/>
      <c r="M295" s="1983"/>
      <c r="N295" s="1983"/>
      <c r="O295" s="1983"/>
      <c r="P295" s="1983"/>
      <c r="Q295" s="1983"/>
      <c r="R295" s="1983"/>
      <c r="S295" s="1983"/>
      <c r="T295" s="1983"/>
      <c r="U295" s="1983"/>
      <c r="V295" s="1983"/>
      <c r="W295" s="1983"/>
      <c r="X295" s="1983"/>
      <c r="Y295" s="1983"/>
      <c r="Z295" s="1983"/>
      <c r="AA295" s="1983"/>
      <c r="AB295" s="1983"/>
      <c r="AC295" s="1983"/>
      <c r="AD295" s="1984"/>
      <c r="AE295" s="475"/>
      <c r="AF295" s="475"/>
      <c r="AG295" s="475"/>
      <c r="AH295" s="475"/>
      <c r="AI295" s="475"/>
      <c r="AJ295" s="474"/>
      <c r="AK295" s="474"/>
      <c r="AL295" s="474"/>
      <c r="AM295" s="474"/>
      <c r="AP295" s="535"/>
      <c r="AQ295" s="498"/>
      <c r="AR295" s="572"/>
    </row>
    <row r="296" spans="1:49">
      <c r="A296" s="474"/>
      <c r="B296" s="475"/>
      <c r="C296" s="475"/>
      <c r="D296" s="475"/>
      <c r="E296" s="475"/>
      <c r="F296" s="475"/>
      <c r="G296" s="475"/>
      <c r="H296" s="475"/>
      <c r="I296" s="475"/>
      <c r="J296" s="475"/>
      <c r="K296" s="475"/>
      <c r="L296" s="475"/>
      <c r="M296" s="475"/>
      <c r="N296" s="475"/>
      <c r="O296" s="475"/>
      <c r="P296" s="475"/>
      <c r="Q296" s="475"/>
      <c r="R296" s="475"/>
      <c r="S296" s="475"/>
      <c r="T296" s="475"/>
      <c r="U296" s="475"/>
      <c r="V296" s="475"/>
      <c r="W296" s="475"/>
      <c r="X296" s="475"/>
      <c r="Y296" s="475"/>
      <c r="Z296" s="475"/>
      <c r="AA296" s="475"/>
      <c r="AB296" s="475"/>
      <c r="AC296" s="475"/>
      <c r="AD296" s="475"/>
      <c r="AE296" s="475"/>
      <c r="AF296" s="475"/>
      <c r="AG296" s="475"/>
      <c r="AH296" s="475"/>
      <c r="AI296" s="475"/>
      <c r="AJ296" s="474"/>
      <c r="AK296" s="474"/>
      <c r="AL296" s="474"/>
      <c r="AM296" s="474"/>
      <c r="AP296" s="535"/>
      <c r="AQ296" s="498"/>
      <c r="AR296" s="572"/>
    </row>
    <row r="297" spans="1:49" hidden="1">
      <c r="A297" s="474"/>
      <c r="B297" s="475"/>
      <c r="C297" s="475"/>
      <c r="D297" s="475"/>
      <c r="E297" s="475"/>
      <c r="F297" s="475"/>
      <c r="G297" s="475"/>
      <c r="H297" s="475"/>
      <c r="I297" s="475"/>
      <c r="J297" s="475"/>
      <c r="K297" s="475"/>
      <c r="L297" s="475"/>
      <c r="M297" s="475"/>
      <c r="N297" s="475"/>
      <c r="O297" s="475"/>
      <c r="P297" s="475"/>
      <c r="Q297" s="475"/>
      <c r="R297" s="475"/>
      <c r="S297" s="475"/>
      <c r="T297" s="475"/>
      <c r="U297" s="475"/>
      <c r="V297" s="475"/>
      <c r="W297" s="475"/>
      <c r="X297" s="475"/>
      <c r="Y297" s="475"/>
      <c r="Z297" s="475"/>
      <c r="AA297" s="475"/>
      <c r="AB297" s="475"/>
      <c r="AC297" s="475"/>
      <c r="AD297" s="475"/>
      <c r="AE297" s="475"/>
      <c r="AF297" s="475"/>
      <c r="AG297" s="475"/>
      <c r="AH297" s="475"/>
      <c r="AI297" s="475"/>
      <c r="AJ297" s="474"/>
      <c r="AK297" s="474"/>
      <c r="AL297" s="474"/>
      <c r="AM297" s="474"/>
      <c r="AP297" s="535"/>
      <c r="AQ297" s="498"/>
      <c r="AR297" s="572"/>
    </row>
    <row r="298" spans="1:49" hidden="1">
      <c r="A298" s="474"/>
      <c r="B298" s="475"/>
      <c r="C298" s="475"/>
      <c r="D298" s="475"/>
      <c r="E298" s="475"/>
      <c r="F298" s="475"/>
      <c r="G298" s="475"/>
      <c r="H298" s="475"/>
      <c r="I298" s="475"/>
      <c r="J298" s="475"/>
      <c r="K298" s="475"/>
      <c r="L298" s="475"/>
      <c r="M298" s="475"/>
      <c r="N298" s="475"/>
      <c r="O298" s="475"/>
      <c r="P298" s="475"/>
      <c r="Q298" s="475"/>
      <c r="R298" s="475"/>
      <c r="S298" s="475"/>
      <c r="T298" s="475"/>
      <c r="U298" s="475"/>
      <c r="V298" s="475"/>
      <c r="W298" s="475"/>
      <c r="X298" s="475"/>
      <c r="Y298" s="475"/>
      <c r="Z298" s="475"/>
      <c r="AA298" s="475"/>
      <c r="AB298" s="475"/>
      <c r="AC298" s="475"/>
      <c r="AD298" s="475"/>
      <c r="AE298" s="475"/>
      <c r="AF298" s="475"/>
      <c r="AG298" s="475"/>
      <c r="AH298" s="475"/>
      <c r="AI298" s="475"/>
      <c r="AJ298" s="474"/>
      <c r="AK298" s="474"/>
      <c r="AL298" s="474"/>
      <c r="AM298" s="474"/>
      <c r="AN298" s="59"/>
      <c r="AO298" s="14"/>
    </row>
    <row r="299" spans="1:49" hidden="1">
      <c r="A299" s="1568" t="s">
        <v>2125</v>
      </c>
      <c r="B299" s="1568"/>
      <c r="C299" s="1856" t="s">
        <v>299</v>
      </c>
      <c r="D299" s="1856"/>
      <c r="E299" s="471"/>
      <c r="F299" s="568" t="s">
        <v>2126</v>
      </c>
      <c r="G299" s="573"/>
      <c r="H299" s="573"/>
      <c r="I299" s="573"/>
      <c r="J299" s="573"/>
      <c r="K299" s="573"/>
      <c r="L299" s="573"/>
      <c r="M299" s="573"/>
      <c r="N299" s="573"/>
      <c r="O299" s="573"/>
      <c r="P299" s="573"/>
      <c r="Q299" s="573"/>
      <c r="R299" s="573"/>
      <c r="S299" s="573"/>
      <c r="T299" s="573"/>
      <c r="U299" s="573"/>
      <c r="V299" s="573"/>
      <c r="W299" s="573"/>
      <c r="X299" s="573"/>
      <c r="Y299" s="573"/>
      <c r="Z299" s="573"/>
      <c r="AA299" s="573"/>
      <c r="AB299" s="573"/>
      <c r="AC299" s="573"/>
      <c r="AD299" s="574"/>
      <c r="AE299" s="475"/>
      <c r="AF299" s="475"/>
      <c r="AG299" s="463" t="s">
        <v>2123</v>
      </c>
      <c r="AH299" s="475"/>
      <c r="AI299" s="475"/>
      <c r="AJ299" s="474"/>
      <c r="AK299" s="474"/>
      <c r="AL299" s="474"/>
      <c r="AM299" s="474"/>
      <c r="AN299" s="59"/>
      <c r="AO299" s="14"/>
    </row>
    <row r="300" spans="1:49" hidden="1">
      <c r="A300" s="66"/>
      <c r="B300" s="66"/>
      <c r="C300" s="654"/>
      <c r="D300" s="654"/>
      <c r="E300" s="471"/>
      <c r="F300" s="1833" t="s">
        <v>2127</v>
      </c>
      <c r="G300" s="1834"/>
      <c r="H300" s="1834"/>
      <c r="I300" s="1834"/>
      <c r="J300" s="1834"/>
      <c r="K300" s="1834"/>
      <c r="L300" s="1834"/>
      <c r="M300" s="1834"/>
      <c r="N300" s="1834"/>
      <c r="O300" s="1834"/>
      <c r="P300" s="1834"/>
      <c r="Q300" s="1834"/>
      <c r="R300" s="1834"/>
      <c r="S300" s="1834"/>
      <c r="T300" s="1834"/>
      <c r="U300" s="1834"/>
      <c r="V300" s="1834"/>
      <c r="W300" s="1834"/>
      <c r="X300" s="1834"/>
      <c r="Y300" s="1834"/>
      <c r="Z300" s="1834"/>
      <c r="AA300" s="1834"/>
      <c r="AB300" s="1834"/>
      <c r="AC300" s="1834"/>
      <c r="AD300" s="1835"/>
      <c r="AE300" s="475"/>
      <c r="AF300" s="475"/>
      <c r="AG300" s="463"/>
      <c r="AH300" s="475"/>
      <c r="AI300" s="475"/>
      <c r="AJ300" s="474"/>
      <c r="AK300" s="474"/>
      <c r="AL300" s="474"/>
      <c r="AM300" s="474"/>
      <c r="AN300" s="59"/>
      <c r="AO300" s="14"/>
      <c r="AP300" s="481" t="s">
        <v>1075</v>
      </c>
    </row>
    <row r="301" spans="1:49" hidden="1">
      <c r="F301" s="1833"/>
      <c r="G301" s="1834"/>
      <c r="H301" s="1834"/>
      <c r="I301" s="1834"/>
      <c r="J301" s="1834"/>
      <c r="K301" s="1834"/>
      <c r="L301" s="1834"/>
      <c r="M301" s="1834"/>
      <c r="N301" s="1834"/>
      <c r="O301" s="1834"/>
      <c r="P301" s="1834"/>
      <c r="Q301" s="1834"/>
      <c r="R301" s="1834"/>
      <c r="S301" s="1834"/>
      <c r="T301" s="1834"/>
      <c r="U301" s="1834"/>
      <c r="V301" s="1834"/>
      <c r="W301" s="1834"/>
      <c r="X301" s="1834"/>
      <c r="Y301" s="1834"/>
      <c r="Z301" s="1834"/>
      <c r="AA301" s="1834"/>
      <c r="AB301" s="1834"/>
      <c r="AC301" s="1834"/>
      <c r="AD301" s="1835"/>
      <c r="AE301" s="475"/>
      <c r="AF301" s="475"/>
      <c r="AH301" s="475"/>
      <c r="AI301" s="475"/>
      <c r="AJ301" s="474"/>
      <c r="AK301" s="474"/>
      <c r="AL301" s="474"/>
      <c r="AM301" s="474"/>
      <c r="AN301" s="59"/>
      <c r="AO301" s="14"/>
      <c r="AP301" s="481" t="s">
        <v>2128</v>
      </c>
    </row>
    <row r="302" spans="1:49" hidden="1">
      <c r="A302" s="474"/>
      <c r="B302" s="475"/>
      <c r="C302" s="654"/>
      <c r="D302" s="654"/>
      <c r="E302" s="471"/>
      <c r="F302" s="576" t="s">
        <v>2129</v>
      </c>
      <c r="G302" s="587"/>
      <c r="H302" s="587"/>
      <c r="I302" s="587"/>
      <c r="J302" s="587"/>
      <c r="K302" s="587"/>
      <c r="L302" s="587"/>
      <c r="M302" s="587"/>
      <c r="N302" s="587"/>
      <c r="O302" s="587"/>
      <c r="P302" s="587"/>
      <c r="Q302" s="587"/>
      <c r="R302" s="587"/>
      <c r="S302" s="587"/>
      <c r="T302" s="587"/>
      <c r="U302" s="587"/>
      <c r="V302" s="587"/>
      <c r="W302" s="587"/>
      <c r="X302" s="587"/>
      <c r="Y302" s="587"/>
      <c r="Z302" s="587"/>
      <c r="AA302" s="587"/>
      <c r="AB302" s="587"/>
      <c r="AC302" s="587"/>
      <c r="AD302" s="937"/>
      <c r="AE302" s="475"/>
      <c r="AF302" s="475"/>
      <c r="AG302" s="463"/>
      <c r="AH302" s="475"/>
      <c r="AI302" s="475"/>
      <c r="AJ302" s="474"/>
      <c r="AK302" s="474"/>
      <c r="AL302" s="474"/>
      <c r="AM302" s="474"/>
      <c r="AN302" s="59"/>
      <c r="AO302" s="14"/>
      <c r="AP302" s="481" t="s">
        <v>2130</v>
      </c>
    </row>
    <row r="303" spans="1:49" hidden="1">
      <c r="A303" s="474"/>
      <c r="B303" s="475"/>
      <c r="C303" s="654"/>
      <c r="D303" s="654"/>
      <c r="E303" s="471"/>
      <c r="F303" s="576"/>
      <c r="G303" s="587"/>
      <c r="H303" s="587"/>
      <c r="I303" s="587"/>
      <c r="J303" s="587"/>
      <c r="K303" s="587"/>
      <c r="L303" s="587"/>
      <c r="M303" s="587"/>
      <c r="N303" s="587"/>
      <c r="O303" s="587"/>
      <c r="P303" s="587"/>
      <c r="Q303" s="587"/>
      <c r="R303" s="587"/>
      <c r="S303" s="587"/>
      <c r="T303" s="587"/>
      <c r="U303" s="587"/>
      <c r="V303" s="587"/>
      <c r="W303" s="587"/>
      <c r="X303" s="587"/>
      <c r="Y303" s="587"/>
      <c r="Z303" s="587"/>
      <c r="AA303" s="587"/>
      <c r="AB303" s="587"/>
      <c r="AC303" s="587"/>
      <c r="AD303" s="937"/>
      <c r="AE303" s="475"/>
      <c r="AF303" s="475"/>
      <c r="AG303" s="463"/>
      <c r="AH303" s="475"/>
      <c r="AI303" s="475"/>
      <c r="AJ303" s="474"/>
      <c r="AK303" s="474"/>
      <c r="AL303" s="474"/>
      <c r="AM303" s="474"/>
      <c r="AN303" s="59"/>
      <c r="AO303" s="14"/>
      <c r="AP303" s="481" t="s">
        <v>2131</v>
      </c>
    </row>
    <row r="304" spans="1:49" ht="12.75" hidden="1" customHeight="1">
      <c r="A304" s="474"/>
      <c r="B304" s="475"/>
      <c r="C304" s="654"/>
      <c r="D304" s="654"/>
      <c r="E304" s="471"/>
      <c r="F304" s="576"/>
      <c r="G304" s="566"/>
      <c r="H304" s="566"/>
      <c r="I304" s="566"/>
      <c r="J304" s="566"/>
      <c r="K304" s="566"/>
      <c r="L304" s="566"/>
      <c r="M304" s="566"/>
      <c r="N304" s="566"/>
      <c r="O304" s="566"/>
      <c r="P304" s="566"/>
      <c r="Q304" s="566"/>
      <c r="R304" s="566"/>
      <c r="S304" s="566"/>
      <c r="T304" s="566"/>
      <c r="U304" s="566"/>
      <c r="V304" s="566"/>
      <c r="W304" s="566"/>
      <c r="X304" s="566"/>
      <c r="Y304" s="566"/>
      <c r="Z304" s="566"/>
      <c r="AA304" s="566"/>
      <c r="AB304" s="566"/>
      <c r="AC304" s="566"/>
      <c r="AD304" s="577"/>
      <c r="AE304" s="475"/>
      <c r="AF304" s="475"/>
      <c r="AG304" s="463"/>
      <c r="AH304" s="475"/>
      <c r="AI304" s="475"/>
      <c r="AJ304" s="474"/>
      <c r="AK304" s="474"/>
      <c r="AL304" s="474"/>
      <c r="AM304" s="474"/>
      <c r="AN304" s="59"/>
      <c r="AO304" s="14"/>
      <c r="AP304" s="26"/>
    </row>
    <row r="305" spans="1:42" ht="12.75" hidden="1" customHeight="1">
      <c r="A305" s="474"/>
      <c r="B305" s="475"/>
      <c r="C305" s="654"/>
      <c r="D305" s="654"/>
      <c r="E305" s="471"/>
      <c r="F305" s="1963" t="s">
        <v>1075</v>
      </c>
      <c r="G305" s="1964"/>
      <c r="H305" s="1964"/>
      <c r="I305" s="1964"/>
      <c r="J305" s="1964"/>
      <c r="K305" s="1964"/>
      <c r="L305" s="1964"/>
      <c r="M305" s="1964"/>
      <c r="N305" s="1964"/>
      <c r="O305" s="1964"/>
      <c r="P305" s="1964"/>
      <c r="Q305" s="1964"/>
      <c r="R305" s="1964"/>
      <c r="S305" s="1964"/>
      <c r="T305" s="1964"/>
      <c r="U305" s="1964"/>
      <c r="V305" s="1964"/>
      <c r="W305" s="1964"/>
      <c r="X305" s="1964"/>
      <c r="Y305" s="1964"/>
      <c r="Z305" s="1964"/>
      <c r="AA305" s="1964"/>
      <c r="AB305" s="1964"/>
      <c r="AC305" s="1964"/>
      <c r="AD305" s="1965"/>
      <c r="AE305" s="566"/>
      <c r="AF305" s="566"/>
      <c r="AG305" s="566"/>
      <c r="AH305" s="566"/>
      <c r="AI305" s="566"/>
      <c r="AJ305" s="566"/>
      <c r="AK305" s="566"/>
      <c r="AL305" s="474"/>
      <c r="AM305" s="474"/>
      <c r="AN305" s="59"/>
      <c r="AO305" s="14"/>
      <c r="AP305" s="26"/>
    </row>
    <row r="306" spans="1:42" hidden="1">
      <c r="A306" s="474"/>
      <c r="B306" s="475"/>
      <c r="C306" s="654"/>
      <c r="D306" s="654"/>
      <c r="E306" s="471"/>
      <c r="F306" s="1963"/>
      <c r="G306" s="1964"/>
      <c r="H306" s="1964"/>
      <c r="I306" s="1964"/>
      <c r="J306" s="1964"/>
      <c r="K306" s="1964"/>
      <c r="L306" s="1964"/>
      <c r="M306" s="1964"/>
      <c r="N306" s="1964"/>
      <c r="O306" s="1964"/>
      <c r="P306" s="1964"/>
      <c r="Q306" s="1964"/>
      <c r="R306" s="1964"/>
      <c r="S306" s="1964"/>
      <c r="T306" s="1964"/>
      <c r="U306" s="1964"/>
      <c r="V306" s="1964"/>
      <c r="W306" s="1964"/>
      <c r="X306" s="1964"/>
      <c r="Y306" s="1964"/>
      <c r="Z306" s="1964"/>
      <c r="AA306" s="1964"/>
      <c r="AB306" s="1964"/>
      <c r="AC306" s="1964"/>
      <c r="AD306" s="1965"/>
      <c r="AE306" s="475"/>
      <c r="AF306" s="475"/>
      <c r="AG306" s="463"/>
      <c r="AH306" s="475"/>
      <c r="AI306" s="475"/>
      <c r="AJ306" s="474"/>
      <c r="AK306" s="474"/>
      <c r="AL306" s="474"/>
      <c r="AM306" s="474"/>
      <c r="AN306" s="59"/>
      <c r="AO306" s="14"/>
      <c r="AP306" s="26"/>
    </row>
    <row r="307" spans="1:42" hidden="1">
      <c r="A307" s="474"/>
      <c r="B307" s="475"/>
      <c r="C307" s="654"/>
      <c r="D307" s="654"/>
      <c r="E307" s="471"/>
      <c r="F307" s="1963"/>
      <c r="G307" s="1964"/>
      <c r="H307" s="1964"/>
      <c r="I307" s="1964"/>
      <c r="J307" s="1964"/>
      <c r="K307" s="1964"/>
      <c r="L307" s="1964"/>
      <c r="M307" s="1964"/>
      <c r="N307" s="1964"/>
      <c r="O307" s="1964"/>
      <c r="P307" s="1964"/>
      <c r="Q307" s="1964"/>
      <c r="R307" s="1964"/>
      <c r="S307" s="1964"/>
      <c r="T307" s="1964"/>
      <c r="U307" s="1964"/>
      <c r="V307" s="1964"/>
      <c r="W307" s="1964"/>
      <c r="X307" s="1964"/>
      <c r="Y307" s="1964"/>
      <c r="Z307" s="1964"/>
      <c r="AA307" s="1964"/>
      <c r="AB307" s="1964"/>
      <c r="AC307" s="1964"/>
      <c r="AD307" s="1965"/>
      <c r="AE307" s="475"/>
      <c r="AF307" s="475"/>
      <c r="AG307" s="463"/>
      <c r="AH307" s="475"/>
      <c r="AI307" s="475"/>
      <c r="AJ307" s="474"/>
      <c r="AK307" s="474"/>
      <c r="AL307" s="474"/>
      <c r="AM307" s="474"/>
      <c r="AN307" s="59"/>
      <c r="AO307" s="14"/>
      <c r="AP307" s="26"/>
    </row>
    <row r="308" spans="1:42" hidden="1">
      <c r="A308" s="474"/>
      <c r="B308" s="475"/>
      <c r="C308" s="654"/>
      <c r="D308" s="654"/>
      <c r="E308" s="471"/>
      <c r="F308" s="1963"/>
      <c r="G308" s="1964"/>
      <c r="H308" s="1964"/>
      <c r="I308" s="1964"/>
      <c r="J308" s="1964"/>
      <c r="K308" s="1964"/>
      <c r="L308" s="1964"/>
      <c r="M308" s="1964"/>
      <c r="N308" s="1964"/>
      <c r="O308" s="1964"/>
      <c r="P308" s="1964"/>
      <c r="Q308" s="1964"/>
      <c r="R308" s="1964"/>
      <c r="S308" s="1964"/>
      <c r="T308" s="1964"/>
      <c r="U308" s="1964"/>
      <c r="V308" s="1964"/>
      <c r="W308" s="1964"/>
      <c r="X308" s="1964"/>
      <c r="Y308" s="1964"/>
      <c r="Z308" s="1964"/>
      <c r="AA308" s="1964"/>
      <c r="AB308" s="1964"/>
      <c r="AC308" s="1964"/>
      <c r="AD308" s="1965"/>
      <c r="AE308" s="475"/>
      <c r="AF308" s="475"/>
      <c r="AG308" s="463"/>
      <c r="AH308" s="475"/>
      <c r="AI308" s="475"/>
      <c r="AJ308" s="474"/>
      <c r="AK308" s="474"/>
      <c r="AL308" s="474"/>
      <c r="AM308" s="474"/>
      <c r="AN308" s="59"/>
      <c r="AO308" s="14"/>
      <c r="AP308" s="26"/>
    </row>
    <row r="309" spans="1:42" hidden="1">
      <c r="A309" s="474"/>
      <c r="B309" s="475"/>
      <c r="C309" s="654"/>
      <c r="D309" s="654"/>
      <c r="E309" s="471"/>
      <c r="F309" s="1966"/>
      <c r="G309" s="1967"/>
      <c r="H309" s="1967"/>
      <c r="I309" s="1967"/>
      <c r="J309" s="1967"/>
      <c r="K309" s="1967"/>
      <c r="L309" s="1967"/>
      <c r="M309" s="1967"/>
      <c r="N309" s="1967"/>
      <c r="O309" s="1967"/>
      <c r="P309" s="1967"/>
      <c r="Q309" s="1967"/>
      <c r="R309" s="1967"/>
      <c r="S309" s="1967"/>
      <c r="T309" s="1967"/>
      <c r="U309" s="1967"/>
      <c r="V309" s="1967"/>
      <c r="W309" s="1967"/>
      <c r="X309" s="1967"/>
      <c r="Y309" s="1967"/>
      <c r="Z309" s="1967"/>
      <c r="AA309" s="1967"/>
      <c r="AB309" s="1967"/>
      <c r="AC309" s="1967"/>
      <c r="AD309" s="1968"/>
      <c r="AE309" s="475"/>
      <c r="AF309" s="475"/>
      <c r="AG309" s="463"/>
      <c r="AH309" s="475"/>
      <c r="AI309" s="475"/>
      <c r="AJ309" s="474"/>
      <c r="AK309" s="474"/>
      <c r="AL309" s="474"/>
      <c r="AM309" s="474"/>
      <c r="AN309" s="59"/>
      <c r="AO309" s="14"/>
      <c r="AP309" s="26"/>
    </row>
    <row r="310" spans="1:42" hidden="1">
      <c r="A310" s="474"/>
      <c r="B310" s="475"/>
      <c r="C310" s="654"/>
      <c r="D310" s="654"/>
      <c r="E310" s="471"/>
      <c r="F310" s="894"/>
      <c r="G310" s="566"/>
      <c r="H310" s="566"/>
      <c r="I310" s="566"/>
      <c r="J310" s="566"/>
      <c r="K310" s="566"/>
      <c r="L310" s="566"/>
      <c r="M310" s="566"/>
      <c r="N310" s="566"/>
      <c r="O310" s="566"/>
      <c r="P310" s="566"/>
      <c r="Q310" s="566"/>
      <c r="R310" s="566"/>
      <c r="S310" s="566"/>
      <c r="T310" s="566"/>
      <c r="U310" s="566"/>
      <c r="V310" s="566"/>
      <c r="W310" s="566"/>
      <c r="X310" s="566"/>
      <c r="Y310" s="566"/>
      <c r="Z310" s="566"/>
      <c r="AA310" s="566"/>
      <c r="AB310" s="566"/>
      <c r="AC310" s="566"/>
      <c r="AD310" s="577"/>
      <c r="AE310" s="475"/>
      <c r="AF310" s="475"/>
      <c r="AG310" s="463"/>
      <c r="AH310" s="475"/>
      <c r="AI310" s="475"/>
      <c r="AJ310" s="474"/>
      <c r="AK310" s="474"/>
      <c r="AL310" s="474"/>
      <c r="AM310" s="474"/>
      <c r="AN310" s="59"/>
      <c r="AO310" s="14"/>
      <c r="AP310" s="26"/>
    </row>
    <row r="311" spans="1:42" hidden="1">
      <c r="A311" s="474"/>
      <c r="B311" s="475"/>
      <c r="C311" s="654"/>
      <c r="D311" s="654"/>
      <c r="E311" s="471"/>
      <c r="F311" s="578" t="s">
        <v>2132</v>
      </c>
      <c r="G311" s="475"/>
      <c r="H311" s="475"/>
      <c r="I311" s="475"/>
      <c r="J311" s="475"/>
      <c r="K311" s="475"/>
      <c r="L311" s="475"/>
      <c r="M311" s="475"/>
      <c r="N311" s="475"/>
      <c r="O311" s="475"/>
      <c r="P311" s="475"/>
      <c r="Q311" s="475"/>
      <c r="R311" s="475"/>
      <c r="S311" s="475"/>
      <c r="T311" s="475"/>
      <c r="U311" s="475"/>
      <c r="V311" s="475"/>
      <c r="W311" s="475"/>
      <c r="X311" s="475"/>
      <c r="Y311" s="475"/>
      <c r="Z311" s="475"/>
      <c r="AA311" s="475"/>
      <c r="AB311" s="475"/>
      <c r="AC311" s="475"/>
      <c r="AD311" s="579"/>
      <c r="AE311" s="475"/>
      <c r="AF311" s="475"/>
      <c r="AG311" s="463"/>
      <c r="AH311" s="475"/>
      <c r="AI311" s="475"/>
      <c r="AJ311" s="474"/>
      <c r="AK311" s="474"/>
      <c r="AL311" s="474"/>
      <c r="AM311" s="474"/>
      <c r="AN311" s="59"/>
      <c r="AO311" s="14"/>
      <c r="AP311" s="26"/>
    </row>
    <row r="312" spans="1:42" hidden="1">
      <c r="A312" s="474"/>
      <c r="B312" s="475"/>
      <c r="C312" s="654"/>
      <c r="D312" s="654"/>
      <c r="E312" s="471"/>
      <c r="F312" s="578"/>
      <c r="G312" s="475"/>
      <c r="H312" s="475"/>
      <c r="I312" s="475"/>
      <c r="J312" s="475"/>
      <c r="K312" s="475"/>
      <c r="L312" s="475"/>
      <c r="M312" s="475"/>
      <c r="N312" s="475"/>
      <c r="O312" s="475"/>
      <c r="P312" s="475"/>
      <c r="Q312" s="475"/>
      <c r="R312" s="475"/>
      <c r="S312" s="475"/>
      <c r="T312" s="475"/>
      <c r="U312" s="475"/>
      <c r="V312" s="475"/>
      <c r="W312" s="475"/>
      <c r="X312" s="475"/>
      <c r="Y312" s="475"/>
      <c r="Z312" s="475"/>
      <c r="AA312" s="475"/>
      <c r="AB312" s="475"/>
      <c r="AC312" s="475"/>
      <c r="AD312" s="579"/>
      <c r="AE312" s="475"/>
      <c r="AF312" s="475"/>
      <c r="AG312" s="463"/>
      <c r="AH312" s="475"/>
      <c r="AI312" s="475"/>
      <c r="AJ312" s="474"/>
      <c r="AK312" s="474"/>
      <c r="AL312" s="474"/>
      <c r="AM312" s="474"/>
      <c r="AN312" s="59"/>
      <c r="AO312" s="14"/>
      <c r="AP312" s="481" t="s">
        <v>1075</v>
      </c>
    </row>
    <row r="313" spans="1:42" ht="12.75" hidden="1" customHeight="1">
      <c r="A313" s="474"/>
      <c r="B313" s="475"/>
      <c r="C313" s="654"/>
      <c r="D313" s="654"/>
      <c r="E313" s="471"/>
      <c r="F313" s="580"/>
      <c r="G313" s="499" t="s">
        <v>21</v>
      </c>
      <c r="H313" s="499"/>
      <c r="I313" s="1969" t="s">
        <v>1075</v>
      </c>
      <c r="J313" s="1969"/>
      <c r="K313" s="1969"/>
      <c r="L313" s="1969"/>
      <c r="M313" s="1969"/>
      <c r="N313" s="1969"/>
      <c r="O313" s="1969"/>
      <c r="P313" s="1969"/>
      <c r="Q313" s="1969"/>
      <c r="R313" s="1969"/>
      <c r="S313" s="1969"/>
      <c r="T313" s="1969"/>
      <c r="U313" s="1969"/>
      <c r="V313" s="1969"/>
      <c r="W313" s="1969"/>
      <c r="X313" s="1969"/>
      <c r="Y313" s="1969"/>
      <c r="Z313" s="1969"/>
      <c r="AA313" s="1969"/>
      <c r="AB313" s="1969"/>
      <c r="AC313" s="1969"/>
      <c r="AD313" s="1970"/>
      <c r="AE313" s="475"/>
      <c r="AF313" s="475"/>
      <c r="AG313" s="463"/>
      <c r="AH313" s="475"/>
      <c r="AI313" s="475"/>
      <c r="AJ313" s="474"/>
      <c r="AK313" s="474"/>
      <c r="AL313" s="474"/>
      <c r="AM313" s="474"/>
      <c r="AN313" s="59"/>
      <c r="AO313" s="14"/>
      <c r="AP313" s="481" t="s">
        <v>2133</v>
      </c>
    </row>
    <row r="314" spans="1:42" hidden="1">
      <c r="A314" s="474"/>
      <c r="B314" s="475"/>
      <c r="C314" s="654"/>
      <c r="D314" s="654"/>
      <c r="E314" s="471"/>
      <c r="F314" s="580"/>
      <c r="G314" s="499"/>
      <c r="H314" s="499"/>
      <c r="I314" s="1969"/>
      <c r="J314" s="1969"/>
      <c r="K314" s="1969"/>
      <c r="L314" s="1969"/>
      <c r="M314" s="1969"/>
      <c r="N314" s="1969"/>
      <c r="O314" s="1969"/>
      <c r="P314" s="1969"/>
      <c r="Q314" s="1969"/>
      <c r="R314" s="1969"/>
      <c r="S314" s="1969"/>
      <c r="T314" s="1969"/>
      <c r="U314" s="1969"/>
      <c r="V314" s="1969"/>
      <c r="W314" s="1969"/>
      <c r="X314" s="1969"/>
      <c r="Y314" s="1969"/>
      <c r="Z314" s="1969"/>
      <c r="AA314" s="1969"/>
      <c r="AB314" s="1969"/>
      <c r="AC314" s="1969"/>
      <c r="AD314" s="1970"/>
      <c r="AE314" s="475"/>
      <c r="AF314" s="475"/>
      <c r="AG314" s="463"/>
      <c r="AH314" s="475"/>
      <c r="AI314" s="475"/>
      <c r="AJ314" s="474"/>
      <c r="AK314" s="474"/>
      <c r="AL314" s="474"/>
      <c r="AM314" s="474"/>
      <c r="AN314" s="59"/>
      <c r="AO314" s="14"/>
      <c r="AP314" s="481" t="s">
        <v>2134</v>
      </c>
    </row>
    <row r="315" spans="1:42" hidden="1">
      <c r="A315" s="474"/>
      <c r="B315" s="475"/>
      <c r="C315" s="575"/>
      <c r="D315" s="575"/>
      <c r="E315" s="471"/>
      <c r="F315" s="580"/>
      <c r="G315" s="499"/>
      <c r="H315" s="499"/>
      <c r="I315" s="1969"/>
      <c r="J315" s="1969"/>
      <c r="K315" s="1969"/>
      <c r="L315" s="1969"/>
      <c r="M315" s="1969"/>
      <c r="N315" s="1969"/>
      <c r="O315" s="1969"/>
      <c r="P315" s="1969"/>
      <c r="Q315" s="1969"/>
      <c r="R315" s="1969"/>
      <c r="S315" s="1969"/>
      <c r="T315" s="1969"/>
      <c r="U315" s="1969"/>
      <c r="V315" s="1969"/>
      <c r="W315" s="1969"/>
      <c r="X315" s="1969"/>
      <c r="Y315" s="1969"/>
      <c r="Z315" s="1969"/>
      <c r="AA315" s="1969"/>
      <c r="AB315" s="1969"/>
      <c r="AC315" s="1969"/>
      <c r="AD315" s="1970"/>
      <c r="AE315" s="475"/>
      <c r="AF315" s="475"/>
      <c r="AG315" s="463"/>
      <c r="AH315" s="475"/>
      <c r="AI315" s="475"/>
      <c r="AJ315" s="474"/>
      <c r="AK315" s="474"/>
      <c r="AL315" s="474"/>
      <c r="AM315" s="474"/>
      <c r="AN315" s="59"/>
      <c r="AO315" s="14"/>
      <c r="AP315" s="481" t="s">
        <v>2135</v>
      </c>
    </row>
    <row r="316" spans="1:42" hidden="1">
      <c r="A316" s="474"/>
      <c r="B316" s="475"/>
      <c r="C316" s="575"/>
      <c r="D316" s="575"/>
      <c r="E316" s="471"/>
      <c r="F316" s="578"/>
      <c r="G316" s="475"/>
      <c r="H316" s="475"/>
      <c r="I316" s="1971"/>
      <c r="J316" s="1971"/>
      <c r="K316" s="1971"/>
      <c r="L316" s="1971"/>
      <c r="M316" s="1971"/>
      <c r="N316" s="1971"/>
      <c r="O316" s="1971"/>
      <c r="P316" s="1971"/>
      <c r="Q316" s="1971"/>
      <c r="R316" s="1971"/>
      <c r="S316" s="1971"/>
      <c r="T316" s="1971"/>
      <c r="U316" s="1971"/>
      <c r="V316" s="1971"/>
      <c r="W316" s="1971"/>
      <c r="X316" s="1971"/>
      <c r="Y316" s="1971"/>
      <c r="Z316" s="1971"/>
      <c r="AA316" s="1971"/>
      <c r="AB316" s="1971"/>
      <c r="AC316" s="1971"/>
      <c r="AD316" s="1972"/>
      <c r="AE316" s="475"/>
      <c r="AF316" s="475"/>
      <c r="AG316" s="463"/>
      <c r="AH316" s="475"/>
      <c r="AI316" s="475"/>
      <c r="AJ316" s="474"/>
      <c r="AK316" s="474"/>
      <c r="AL316" s="474"/>
      <c r="AM316" s="474"/>
      <c r="AN316" s="59"/>
      <c r="AO316" s="14"/>
      <c r="AP316" s="481" t="s">
        <v>2136</v>
      </c>
    </row>
    <row r="317" spans="1:42" hidden="1">
      <c r="A317" s="474"/>
      <c r="B317" s="475"/>
      <c r="C317" s="575"/>
      <c r="D317" s="575"/>
      <c r="E317" s="471"/>
      <c r="F317" s="578"/>
      <c r="G317" s="475"/>
      <c r="H317" s="475"/>
      <c r="I317" s="475"/>
      <c r="J317" s="475"/>
      <c r="K317" s="475"/>
      <c r="L317" s="475"/>
      <c r="M317" s="475"/>
      <c r="N317" s="475"/>
      <c r="O317" s="475"/>
      <c r="P317" s="475"/>
      <c r="Q317" s="475"/>
      <c r="R317" s="475"/>
      <c r="S317" s="475"/>
      <c r="T317" s="475"/>
      <c r="U317" s="475"/>
      <c r="V317" s="475"/>
      <c r="W317" s="475"/>
      <c r="X317" s="475"/>
      <c r="Y317" s="475"/>
      <c r="Z317" s="475"/>
      <c r="AA317" s="475"/>
      <c r="AB317" s="475"/>
      <c r="AC317" s="475"/>
      <c r="AD317" s="579"/>
      <c r="AE317" s="475"/>
      <c r="AF317" s="475"/>
      <c r="AG317" s="463"/>
      <c r="AH317" s="475"/>
      <c r="AI317" s="475"/>
      <c r="AJ317" s="474"/>
      <c r="AK317" s="474"/>
      <c r="AL317" s="474"/>
      <c r="AM317" s="474"/>
      <c r="AN317" s="59"/>
      <c r="AO317" s="14"/>
      <c r="AP317" s="26"/>
    </row>
    <row r="318" spans="1:42" hidden="1">
      <c r="A318" s="474"/>
      <c r="B318" s="475"/>
      <c r="C318" s="575"/>
      <c r="D318" s="575"/>
      <c r="E318" s="471"/>
      <c r="F318" s="578"/>
      <c r="G318" s="475" t="s">
        <v>26</v>
      </c>
      <c r="H318" s="475"/>
      <c r="I318" s="1969" t="s">
        <v>1075</v>
      </c>
      <c r="J318" s="1969"/>
      <c r="K318" s="1969"/>
      <c r="L318" s="1969"/>
      <c r="M318" s="1969"/>
      <c r="N318" s="1969"/>
      <c r="O318" s="1969"/>
      <c r="P318" s="1969"/>
      <c r="Q318" s="1969"/>
      <c r="R318" s="1969"/>
      <c r="S318" s="1969"/>
      <c r="T318" s="1969"/>
      <c r="U318" s="1969"/>
      <c r="V318" s="1969"/>
      <c r="W318" s="1969"/>
      <c r="X318" s="1969"/>
      <c r="Y318" s="1969"/>
      <c r="Z318" s="1969"/>
      <c r="AA318" s="1969"/>
      <c r="AB318" s="1969"/>
      <c r="AC318" s="1969"/>
      <c r="AD318" s="1970"/>
      <c r="AE318" s="475"/>
      <c r="AF318" s="475"/>
      <c r="AG318" s="463"/>
      <c r="AH318" s="475"/>
      <c r="AI318" s="475"/>
      <c r="AJ318" s="474"/>
      <c r="AK318" s="474"/>
      <c r="AL318" s="474"/>
      <c r="AM318" s="474"/>
      <c r="AN318" s="59"/>
      <c r="AO318" s="14"/>
    </row>
    <row r="319" spans="1:42" hidden="1">
      <c r="A319" s="474"/>
      <c r="B319" s="475"/>
      <c r="C319" s="575"/>
      <c r="D319" s="575"/>
      <c r="E319" s="471"/>
      <c r="F319" s="578"/>
      <c r="G319" s="475"/>
      <c r="H319" s="475"/>
      <c r="I319" s="1969"/>
      <c r="J319" s="1969"/>
      <c r="K319" s="1969"/>
      <c r="L319" s="1969"/>
      <c r="M319" s="1969"/>
      <c r="N319" s="1969"/>
      <c r="O319" s="1969"/>
      <c r="P319" s="1969"/>
      <c r="Q319" s="1969"/>
      <c r="R319" s="1969"/>
      <c r="S319" s="1969"/>
      <c r="T319" s="1969"/>
      <c r="U319" s="1969"/>
      <c r="V319" s="1969"/>
      <c r="W319" s="1969"/>
      <c r="X319" s="1969"/>
      <c r="Y319" s="1969"/>
      <c r="Z319" s="1969"/>
      <c r="AA319" s="1969"/>
      <c r="AB319" s="1969"/>
      <c r="AC319" s="1969"/>
      <c r="AD319" s="1970"/>
      <c r="AE319" s="475"/>
      <c r="AF319" s="475"/>
      <c r="AG319" s="463"/>
      <c r="AH319" s="475"/>
      <c r="AI319" s="475"/>
      <c r="AJ319" s="474"/>
      <c r="AK319" s="474"/>
      <c r="AL319" s="474"/>
      <c r="AM319" s="474"/>
      <c r="AN319" s="59"/>
      <c r="AO319" s="14"/>
      <c r="AP319" s="481" t="s">
        <v>1075</v>
      </c>
    </row>
    <row r="320" spans="1:42" hidden="1">
      <c r="A320" s="474"/>
      <c r="B320" s="475"/>
      <c r="C320" s="575"/>
      <c r="D320" s="575"/>
      <c r="E320" s="471"/>
      <c r="F320" s="581"/>
      <c r="G320" s="582"/>
      <c r="H320" s="582"/>
      <c r="I320" s="1971"/>
      <c r="J320" s="1971"/>
      <c r="K320" s="1971"/>
      <c r="L320" s="1971"/>
      <c r="M320" s="1971"/>
      <c r="N320" s="1971"/>
      <c r="O320" s="1971"/>
      <c r="P320" s="1971"/>
      <c r="Q320" s="1971"/>
      <c r="R320" s="1971"/>
      <c r="S320" s="1971"/>
      <c r="T320" s="1971"/>
      <c r="U320" s="1971"/>
      <c r="V320" s="1971"/>
      <c r="W320" s="1971"/>
      <c r="X320" s="1971"/>
      <c r="Y320" s="1971"/>
      <c r="Z320" s="1971"/>
      <c r="AA320" s="1971"/>
      <c r="AB320" s="1971"/>
      <c r="AC320" s="1971"/>
      <c r="AD320" s="1972"/>
      <c r="AE320" s="475"/>
      <c r="AF320" s="475"/>
      <c r="AG320" s="463"/>
      <c r="AH320" s="475"/>
      <c r="AI320" s="475"/>
      <c r="AJ320" s="474"/>
      <c r="AK320" s="474"/>
      <c r="AL320" s="474"/>
      <c r="AM320" s="474"/>
      <c r="AN320" s="59"/>
      <c r="AO320" s="14"/>
      <c r="AP320" s="481" t="s">
        <v>2137</v>
      </c>
    </row>
    <row r="321" spans="1:44" hidden="1">
      <c r="A321" s="474"/>
      <c r="B321" s="475"/>
      <c r="C321" s="474"/>
      <c r="D321" s="475"/>
      <c r="E321" s="474"/>
      <c r="F321" s="540"/>
      <c r="G321" s="475"/>
      <c r="H321" s="475"/>
      <c r="I321" s="475"/>
      <c r="J321" s="475"/>
      <c r="K321" s="475"/>
      <c r="L321" s="475"/>
      <c r="M321" s="475"/>
      <c r="N321" s="475"/>
      <c r="O321" s="475"/>
      <c r="P321" s="475"/>
      <c r="Q321" s="475"/>
      <c r="R321" s="475"/>
      <c r="S321" s="475"/>
      <c r="T321" s="475"/>
      <c r="U321" s="475"/>
      <c r="V321" s="475"/>
      <c r="W321" s="475"/>
      <c r="X321" s="475"/>
      <c r="Y321" s="475"/>
      <c r="Z321" s="475"/>
      <c r="AA321" s="475"/>
      <c r="AB321" s="475"/>
      <c r="AC321" s="475"/>
      <c r="AD321" s="475"/>
      <c r="AE321" s="475"/>
      <c r="AF321" s="475"/>
      <c r="AG321" s="475"/>
      <c r="AH321" s="475"/>
      <c r="AI321" s="475"/>
      <c r="AJ321" s="474"/>
      <c r="AK321" s="474"/>
      <c r="AL321" s="474"/>
      <c r="AM321" s="474"/>
      <c r="AN321" s="59"/>
      <c r="AO321" s="14"/>
      <c r="AP321" s="481" t="s">
        <v>2138</v>
      </c>
    </row>
    <row r="322" spans="1:44" ht="12.75" hidden="1" customHeight="1">
      <c r="A322" s="1568" t="s">
        <v>2139</v>
      </c>
      <c r="B322" s="1568"/>
      <c r="C322" s="1856" t="s">
        <v>299</v>
      </c>
      <c r="D322" s="1856"/>
      <c r="E322" s="471"/>
      <c r="F322" s="1957" t="s">
        <v>2140</v>
      </c>
      <c r="G322" s="1958"/>
      <c r="H322" s="1958"/>
      <c r="I322" s="1958"/>
      <c r="J322" s="1958"/>
      <c r="K322" s="1958"/>
      <c r="L322" s="1958"/>
      <c r="M322" s="1958"/>
      <c r="N322" s="1958"/>
      <c r="O322" s="1958"/>
      <c r="P322" s="1958"/>
      <c r="Q322" s="1958"/>
      <c r="R322" s="1958"/>
      <c r="S322" s="1958"/>
      <c r="T322" s="1958"/>
      <c r="U322" s="1958"/>
      <c r="V322" s="1958"/>
      <c r="W322" s="1958"/>
      <c r="X322" s="1958"/>
      <c r="Y322" s="1958"/>
      <c r="Z322" s="1958"/>
      <c r="AA322" s="1958"/>
      <c r="AB322" s="1958"/>
      <c r="AC322" s="1958"/>
      <c r="AD322" s="1959"/>
      <c r="AE322" s="475"/>
      <c r="AF322" s="475"/>
      <c r="AG322" s="463" t="s">
        <v>2123</v>
      </c>
      <c r="AH322" s="475"/>
      <c r="AI322" s="475"/>
      <c r="AJ322" s="474"/>
      <c r="AK322" s="474"/>
      <c r="AL322" s="474"/>
      <c r="AM322" s="474"/>
      <c r="AN322" s="59"/>
      <c r="AO322" s="14"/>
    </row>
    <row r="323" spans="1:44" ht="15" hidden="1" customHeight="1">
      <c r="A323" s="474"/>
      <c r="B323" s="475"/>
      <c r="C323" s="475"/>
      <c r="D323" s="475"/>
      <c r="E323" s="475"/>
      <c r="F323" s="1960"/>
      <c r="G323" s="1961"/>
      <c r="H323" s="1961"/>
      <c r="I323" s="1961"/>
      <c r="J323" s="1961"/>
      <c r="K323" s="1961"/>
      <c r="L323" s="1961"/>
      <c r="M323" s="1961"/>
      <c r="N323" s="1961"/>
      <c r="O323" s="1961"/>
      <c r="P323" s="1961"/>
      <c r="Q323" s="1961"/>
      <c r="R323" s="1961"/>
      <c r="S323" s="1961"/>
      <c r="T323" s="1961"/>
      <c r="U323" s="1961"/>
      <c r="V323" s="1961"/>
      <c r="W323" s="1961"/>
      <c r="X323" s="1961"/>
      <c r="Y323" s="1961"/>
      <c r="Z323" s="1961"/>
      <c r="AA323" s="1961"/>
      <c r="AB323" s="1961"/>
      <c r="AC323" s="1961"/>
      <c r="AD323" s="1962"/>
      <c r="AE323" s="475"/>
      <c r="AF323" s="475"/>
      <c r="AG323" s="475"/>
      <c r="AH323" s="475"/>
      <c r="AI323" s="475"/>
      <c r="AJ323" s="474"/>
      <c r="AK323" s="474"/>
      <c r="AL323" s="474"/>
      <c r="AM323" s="474"/>
      <c r="AN323" s="59"/>
      <c r="AO323" s="14"/>
    </row>
    <row r="324" spans="1:44" ht="15" hidden="1" customHeight="1">
      <c r="A324" s="474"/>
      <c r="B324" s="475"/>
      <c r="C324" s="475"/>
      <c r="D324" s="475"/>
      <c r="E324" s="475"/>
      <c r="F324" s="1960"/>
      <c r="G324" s="1961"/>
      <c r="H324" s="1961"/>
      <c r="I324" s="1961"/>
      <c r="J324" s="1961"/>
      <c r="K324" s="1961"/>
      <c r="L324" s="1961"/>
      <c r="M324" s="1961"/>
      <c r="N324" s="1961"/>
      <c r="O324" s="1961"/>
      <c r="P324" s="1961"/>
      <c r="Q324" s="1961"/>
      <c r="R324" s="1961"/>
      <c r="S324" s="1961"/>
      <c r="T324" s="1961"/>
      <c r="U324" s="1961"/>
      <c r="V324" s="1961"/>
      <c r="W324" s="1961"/>
      <c r="X324" s="1961"/>
      <c r="Y324" s="1961"/>
      <c r="Z324" s="1961"/>
      <c r="AA324" s="1961"/>
      <c r="AB324" s="1961"/>
      <c r="AC324" s="1961"/>
      <c r="AD324" s="1962"/>
      <c r="AE324" s="475"/>
      <c r="AF324" s="475"/>
      <c r="AG324" s="475"/>
      <c r="AH324" s="475"/>
      <c r="AI324" s="475"/>
      <c r="AJ324" s="474"/>
      <c r="AK324" s="474"/>
      <c r="AL324" s="474"/>
      <c r="AM324" s="583"/>
      <c r="AN324" s="14"/>
      <c r="AO324" s="14"/>
    </row>
    <row r="325" spans="1:44" hidden="1">
      <c r="A325" s="474"/>
      <c r="B325" s="475"/>
      <c r="C325" s="474"/>
      <c r="D325" s="475"/>
      <c r="E325" s="474"/>
      <c r="F325" s="584" t="s">
        <v>2141</v>
      </c>
      <c r="G325" s="585"/>
      <c r="H325" s="585"/>
      <c r="I325" s="585"/>
      <c r="J325" s="585"/>
      <c r="K325" s="585"/>
      <c r="L325" s="585"/>
      <c r="M325" s="585"/>
      <c r="N325" s="585"/>
      <c r="O325" s="585"/>
      <c r="P325" s="585"/>
      <c r="Q325" s="585"/>
      <c r="R325" s="585"/>
      <c r="S325" s="585"/>
      <c r="T325" s="585"/>
      <c r="U325" s="585"/>
      <c r="V325" s="585"/>
      <c r="W325" s="585"/>
      <c r="X325" s="585"/>
      <c r="Y325" s="585"/>
      <c r="Z325" s="585"/>
      <c r="AA325" s="585"/>
      <c r="AB325" s="585"/>
      <c r="AC325" s="585"/>
      <c r="AD325" s="586"/>
      <c r="AE325" s="475"/>
      <c r="AF325" s="475"/>
      <c r="AG325" s="475"/>
      <c r="AH325" s="475"/>
      <c r="AI325" s="475"/>
      <c r="AJ325" s="474"/>
      <c r="AK325" s="474"/>
      <c r="AL325" s="474"/>
      <c r="AM325" s="583"/>
      <c r="AN325" s="26"/>
    </row>
    <row r="326" spans="1:44" hidden="1">
      <c r="A326" s="474"/>
      <c r="B326" s="475"/>
      <c r="C326" s="474"/>
      <c r="D326" s="475"/>
      <c r="E326" s="474"/>
      <c r="F326" s="587"/>
      <c r="G326" s="587"/>
      <c r="H326" s="587"/>
      <c r="I326" s="587"/>
      <c r="J326" s="587"/>
      <c r="K326" s="587"/>
      <c r="L326" s="587"/>
      <c r="M326" s="587"/>
      <c r="N326" s="587"/>
      <c r="O326" s="587"/>
      <c r="P326" s="587"/>
      <c r="Q326" s="587"/>
      <c r="R326" s="587"/>
      <c r="S326" s="587"/>
      <c r="T326" s="587"/>
      <c r="U326" s="587"/>
      <c r="V326" s="587"/>
      <c r="W326" s="587"/>
      <c r="X326" s="587"/>
      <c r="Y326" s="587"/>
      <c r="Z326" s="587"/>
      <c r="AA326" s="587"/>
      <c r="AB326" s="587"/>
      <c r="AC326" s="587"/>
      <c r="AD326" s="587"/>
      <c r="AE326" s="475"/>
      <c r="AF326" s="475"/>
      <c r="AG326" s="475"/>
      <c r="AH326" s="475"/>
      <c r="AI326" s="475"/>
      <c r="AJ326" s="474"/>
      <c r="AK326" s="474"/>
      <c r="AL326" s="474"/>
      <c r="AM326" s="583"/>
      <c r="AN326" s="26"/>
    </row>
    <row r="327" spans="1:44">
      <c r="A327" s="530"/>
      <c r="B327" s="588"/>
      <c r="C327" s="588"/>
      <c r="D327" s="588"/>
      <c r="E327" s="588"/>
      <c r="F327" s="588"/>
      <c r="G327" s="588"/>
      <c r="H327" s="588"/>
      <c r="I327" s="588"/>
      <c r="J327" s="588"/>
      <c r="K327" s="588"/>
      <c r="L327" s="588"/>
      <c r="M327" s="588"/>
      <c r="N327" s="588"/>
      <c r="O327" s="588"/>
      <c r="P327" s="588"/>
      <c r="Q327" s="588"/>
      <c r="R327" s="588"/>
      <c r="S327" s="588"/>
      <c r="T327" s="588"/>
      <c r="U327" s="588"/>
      <c r="V327" s="588"/>
      <c r="W327" s="588"/>
      <c r="X327" s="588"/>
      <c r="Y327" s="588"/>
      <c r="Z327" s="588"/>
      <c r="AA327" s="588"/>
      <c r="AB327" s="588"/>
      <c r="AC327" s="589"/>
      <c r="AD327" s="588"/>
      <c r="AE327" s="488"/>
      <c r="AF327" s="488"/>
      <c r="AG327" s="488"/>
      <c r="AH327" s="488"/>
      <c r="AI327" s="489"/>
      <c r="AJ327" s="489" t="s">
        <v>2142</v>
      </c>
      <c r="AK327" s="1841">
        <f>IF(NOT(OR(Application!M355="Yes",Application!M356="Yes")),0,AP284)</f>
        <v>10</v>
      </c>
      <c r="AL327" s="1842"/>
      <c r="AM327" s="1843"/>
      <c r="AN327" s="26"/>
    </row>
    <row r="328" spans="1:44" s="474" customFormat="1" ht="12.75" customHeight="1" thickBot="1">
      <c r="A328" s="545"/>
      <c r="B328" s="545"/>
      <c r="C328" s="545"/>
      <c r="D328" s="545"/>
      <c r="E328" s="545"/>
      <c r="F328" s="545"/>
      <c r="G328" s="545"/>
      <c r="H328" s="545"/>
      <c r="I328" s="545"/>
      <c r="J328" s="545"/>
      <c r="K328" s="545"/>
      <c r="L328" s="545"/>
      <c r="M328" s="545"/>
      <c r="N328" s="545"/>
      <c r="O328" s="545"/>
      <c r="P328" s="545"/>
      <c r="Q328" s="545"/>
      <c r="R328" s="545"/>
      <c r="S328" s="545"/>
      <c r="T328" s="545"/>
      <c r="U328" s="545"/>
      <c r="V328" s="545"/>
      <c r="W328" s="545"/>
      <c r="X328" s="545"/>
      <c r="Y328" s="545"/>
      <c r="Z328" s="545"/>
      <c r="AA328" s="545"/>
      <c r="AB328" s="545"/>
      <c r="AC328" s="545"/>
      <c r="AD328" s="545"/>
      <c r="AE328" s="545"/>
      <c r="AF328" s="545"/>
      <c r="AG328" s="545"/>
      <c r="AH328" s="545"/>
      <c r="AI328" s="545"/>
      <c r="AJ328" s="545"/>
      <c r="AK328" s="545"/>
      <c r="AL328" s="545"/>
      <c r="AM328" s="545"/>
      <c r="AN328" s="521"/>
    </row>
    <row r="329" spans="1:44" s="47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1"/>
    </row>
    <row r="330" spans="1:44" s="474" customFormat="1" ht="12.75" customHeight="1">
      <c r="A330" s="463" t="s">
        <v>2143</v>
      </c>
      <c r="B330" s="463" t="s">
        <v>2144</v>
      </c>
      <c r="C330" s="460"/>
      <c r="AC330" s="463"/>
      <c r="AE330" s="1847" t="s">
        <v>1975</v>
      </c>
      <c r="AF330" s="1847"/>
      <c r="AG330" s="1847"/>
      <c r="AH330" s="1847"/>
      <c r="AI330" s="1847"/>
      <c r="AJ330" s="1847"/>
      <c r="AK330" s="1847"/>
      <c r="AL330" s="463"/>
      <c r="AM330" s="463"/>
      <c r="AN330" s="516"/>
    </row>
    <row r="331" spans="1:44" s="474" customFormat="1" ht="12.75" customHeight="1">
      <c r="A331" s="463"/>
      <c r="B331" s="463"/>
      <c r="C331" s="460"/>
      <c r="AC331" s="463"/>
      <c r="AE331" s="467"/>
      <c r="AF331" s="467"/>
      <c r="AG331" s="467"/>
      <c r="AH331" s="467"/>
      <c r="AI331" s="467"/>
      <c r="AJ331" s="467"/>
      <c r="AK331" s="467"/>
      <c r="AL331" s="463"/>
      <c r="AM331" s="463"/>
      <c r="AN331" s="516"/>
    </row>
    <row r="332" spans="1:44" s="474" customFormat="1" ht="12.75" customHeight="1">
      <c r="A332" s="527"/>
      <c r="B332" s="535"/>
      <c r="C332" s="1851" t="s">
        <v>2145</v>
      </c>
      <c r="D332" s="1851"/>
      <c r="E332" s="1851"/>
      <c r="F332" s="1851"/>
      <c r="G332" s="1851"/>
      <c r="H332" s="1851"/>
      <c r="I332" s="1851"/>
      <c r="J332" s="1851"/>
      <c r="K332" s="1851"/>
      <c r="L332" s="1851"/>
      <c r="M332" s="1851"/>
      <c r="N332" s="1851"/>
      <c r="O332" s="1851"/>
      <c r="P332" s="1851"/>
      <c r="Q332" s="1851"/>
      <c r="R332" s="1851"/>
      <c r="S332" s="1851"/>
      <c r="T332" s="1851"/>
      <c r="U332" s="1851"/>
      <c r="V332" s="1851"/>
      <c r="W332" s="1851"/>
      <c r="X332" s="1851"/>
      <c r="Y332" s="1851"/>
      <c r="Z332" s="1851"/>
      <c r="AA332" s="1851"/>
      <c r="AB332" s="1851"/>
      <c r="AC332" s="1851"/>
      <c r="AD332" s="1851"/>
      <c r="AE332" s="1851"/>
      <c r="AF332" s="1851"/>
      <c r="AG332" s="1851"/>
      <c r="AH332" s="1851"/>
      <c r="AI332" s="1851"/>
      <c r="AJ332" s="1851"/>
      <c r="AK332" s="527"/>
      <c r="AL332" s="527"/>
      <c r="AM332" s="527"/>
      <c r="AN332" s="521"/>
    </row>
    <row r="333" spans="1:44" s="474" customFormat="1" ht="12.75" customHeight="1">
      <c r="A333" s="527"/>
      <c r="B333" s="535"/>
      <c r="C333" s="1851"/>
      <c r="D333" s="1851"/>
      <c r="E333" s="1851"/>
      <c r="F333" s="1851"/>
      <c r="G333" s="1851"/>
      <c r="H333" s="1851"/>
      <c r="I333" s="1851"/>
      <c r="J333" s="1851"/>
      <c r="K333" s="1851"/>
      <c r="L333" s="1851"/>
      <c r="M333" s="1851"/>
      <c r="N333" s="1851"/>
      <c r="O333" s="1851"/>
      <c r="P333" s="1851"/>
      <c r="Q333" s="1851"/>
      <c r="R333" s="1851"/>
      <c r="S333" s="1851"/>
      <c r="T333" s="1851"/>
      <c r="U333" s="1851"/>
      <c r="V333" s="1851"/>
      <c r="W333" s="1851"/>
      <c r="X333" s="1851"/>
      <c r="Y333" s="1851"/>
      <c r="Z333" s="1851"/>
      <c r="AA333" s="1851"/>
      <c r="AB333" s="1851"/>
      <c r="AC333" s="1851"/>
      <c r="AD333" s="1851"/>
      <c r="AE333" s="1851"/>
      <c r="AF333" s="1851"/>
      <c r="AG333" s="1851"/>
      <c r="AH333" s="1851"/>
      <c r="AI333" s="1851"/>
      <c r="AJ333" s="1851"/>
      <c r="AK333" s="527"/>
      <c r="AL333" s="527"/>
      <c r="AM333" s="527"/>
      <c r="AN333" s="521"/>
    </row>
    <row r="334" spans="1:44" s="474" customFormat="1" ht="12.75" customHeight="1">
      <c r="A334" s="527"/>
      <c r="B334" s="535"/>
      <c r="C334" s="1851"/>
      <c r="D334" s="1851"/>
      <c r="E334" s="1851"/>
      <c r="F334" s="1851"/>
      <c r="G334" s="1851"/>
      <c r="H334" s="1851"/>
      <c r="I334" s="1851"/>
      <c r="J334" s="1851"/>
      <c r="K334" s="1851"/>
      <c r="L334" s="1851"/>
      <c r="M334" s="1851"/>
      <c r="N334" s="1851"/>
      <c r="O334" s="1851"/>
      <c r="P334" s="1851"/>
      <c r="Q334" s="1851"/>
      <c r="R334" s="1851"/>
      <c r="S334" s="1851"/>
      <c r="T334" s="1851"/>
      <c r="U334" s="1851"/>
      <c r="V334" s="1851"/>
      <c r="W334" s="1851"/>
      <c r="X334" s="1851"/>
      <c r="Y334" s="1851"/>
      <c r="Z334" s="1851"/>
      <c r="AA334" s="1851"/>
      <c r="AB334" s="1851"/>
      <c r="AC334" s="1851"/>
      <c r="AD334" s="1851"/>
      <c r="AE334" s="1851"/>
      <c r="AF334" s="1851"/>
      <c r="AG334" s="1851"/>
      <c r="AH334" s="1851"/>
      <c r="AI334" s="1851"/>
      <c r="AJ334" s="1851"/>
      <c r="AK334" s="527"/>
      <c r="AL334" s="527"/>
      <c r="AM334" s="527"/>
      <c r="AN334" s="521"/>
      <c r="AQ334" s="494"/>
    </row>
    <row r="335" spans="1:44" s="474" customFormat="1" ht="12.75" customHeight="1">
      <c r="A335" s="527"/>
      <c r="B335" s="535"/>
      <c r="C335" s="1851"/>
      <c r="D335" s="1851"/>
      <c r="E335" s="1851"/>
      <c r="F335" s="1851"/>
      <c r="G335" s="1851"/>
      <c r="H335" s="1851"/>
      <c r="I335" s="1851"/>
      <c r="J335" s="1851"/>
      <c r="K335" s="1851"/>
      <c r="L335" s="1851"/>
      <c r="M335" s="1851"/>
      <c r="N335" s="1851"/>
      <c r="O335" s="1851"/>
      <c r="P335" s="1851"/>
      <c r="Q335" s="1851"/>
      <c r="R335" s="1851"/>
      <c r="S335" s="1851"/>
      <c r="T335" s="1851"/>
      <c r="U335" s="1851"/>
      <c r="V335" s="1851"/>
      <c r="W335" s="1851"/>
      <c r="X335" s="1851"/>
      <c r="Y335" s="1851"/>
      <c r="Z335" s="1851"/>
      <c r="AA335" s="1851"/>
      <c r="AB335" s="1851"/>
      <c r="AC335" s="1851"/>
      <c r="AD335" s="1851"/>
      <c r="AE335" s="1851"/>
      <c r="AF335" s="1851"/>
      <c r="AG335" s="1851"/>
      <c r="AH335" s="1851"/>
      <c r="AI335" s="1851"/>
      <c r="AJ335" s="1851"/>
      <c r="AK335" s="527"/>
      <c r="AL335" s="527"/>
      <c r="AM335" s="527"/>
      <c r="AN335" s="521"/>
      <c r="AQ335" s="494"/>
    </row>
    <row r="336" spans="1:44" s="474" customFormat="1" ht="12.45" customHeight="1">
      <c r="A336" s="527"/>
      <c r="B336" s="535"/>
      <c r="C336" s="1851"/>
      <c r="D336" s="1851"/>
      <c r="E336" s="1851"/>
      <c r="F336" s="1851"/>
      <c r="G336" s="1851"/>
      <c r="H336" s="1851"/>
      <c r="I336" s="1851"/>
      <c r="J336" s="1851"/>
      <c r="K336" s="1851"/>
      <c r="L336" s="1851"/>
      <c r="M336" s="1851"/>
      <c r="N336" s="1851"/>
      <c r="O336" s="1851"/>
      <c r="P336" s="1851"/>
      <c r="Q336" s="1851"/>
      <c r="R336" s="1851"/>
      <c r="S336" s="1851"/>
      <c r="T336" s="1851"/>
      <c r="U336" s="1851"/>
      <c r="V336" s="1851"/>
      <c r="W336" s="1851"/>
      <c r="X336" s="1851"/>
      <c r="Y336" s="1851"/>
      <c r="Z336" s="1851"/>
      <c r="AA336" s="1851"/>
      <c r="AB336" s="1851"/>
      <c r="AC336" s="1851"/>
      <c r="AD336" s="1851"/>
      <c r="AE336" s="1851"/>
      <c r="AF336" s="1851"/>
      <c r="AG336" s="1851"/>
      <c r="AH336" s="1851"/>
      <c r="AI336" s="1851"/>
      <c r="AJ336" s="1851"/>
      <c r="AK336" s="527"/>
      <c r="AL336" s="527"/>
      <c r="AM336" s="527"/>
      <c r="AN336" s="521"/>
      <c r="AQ336" s="494"/>
      <c r="AR336" s="494"/>
    </row>
    <row r="337" spans="1:46" s="474" customFormat="1" ht="45.75" customHeight="1">
      <c r="A337" s="527"/>
      <c r="B337" s="535"/>
      <c r="C337" s="1851" t="s">
        <v>2146</v>
      </c>
      <c r="D337" s="1851"/>
      <c r="E337" s="1851"/>
      <c r="F337" s="1851"/>
      <c r="G337" s="1851"/>
      <c r="H337" s="1851"/>
      <c r="I337" s="1851"/>
      <c r="J337" s="1851"/>
      <c r="K337" s="1851"/>
      <c r="L337" s="1851"/>
      <c r="M337" s="1851"/>
      <c r="N337" s="1851"/>
      <c r="O337" s="1851"/>
      <c r="P337" s="1851"/>
      <c r="Q337" s="1851"/>
      <c r="R337" s="1851"/>
      <c r="S337" s="1851"/>
      <c r="T337" s="1851"/>
      <c r="U337" s="1851"/>
      <c r="V337" s="1851"/>
      <c r="W337" s="1851"/>
      <c r="X337" s="1851"/>
      <c r="Y337" s="1851"/>
      <c r="Z337" s="1851"/>
      <c r="AA337" s="1851"/>
      <c r="AB337" s="1851"/>
      <c r="AC337" s="1851"/>
      <c r="AD337" s="1851"/>
      <c r="AE337" s="1851"/>
      <c r="AF337" s="1851"/>
      <c r="AG337" s="1851"/>
      <c r="AH337" s="1851"/>
      <c r="AI337" s="1851"/>
      <c r="AJ337" s="1851"/>
      <c r="AK337" s="527"/>
      <c r="AL337" s="527"/>
      <c r="AM337" s="527"/>
      <c r="AN337" s="521"/>
      <c r="AQ337" s="494"/>
      <c r="AR337" s="494"/>
    </row>
    <row r="338" spans="1:46" s="474" customFormat="1" ht="12.45" customHeight="1">
      <c r="A338" s="527"/>
      <c r="B338" s="535"/>
      <c r="C338" s="617"/>
      <c r="D338" s="617"/>
      <c r="E338" s="617"/>
      <c r="F338" s="617"/>
      <c r="G338" s="617"/>
      <c r="H338" s="617"/>
      <c r="I338" s="617"/>
      <c r="J338" s="617"/>
      <c r="K338" s="617"/>
      <c r="L338" s="617"/>
      <c r="M338" s="617"/>
      <c r="N338" s="617"/>
      <c r="O338" s="617"/>
      <c r="P338" s="617"/>
      <c r="Q338" s="617"/>
      <c r="R338" s="617"/>
      <c r="S338" s="617"/>
      <c r="T338" s="617"/>
      <c r="U338" s="617"/>
      <c r="V338" s="617"/>
      <c r="W338" s="617"/>
      <c r="X338" s="617"/>
      <c r="Y338" s="617"/>
      <c r="Z338" s="617"/>
      <c r="AA338" s="617"/>
      <c r="AB338" s="617"/>
      <c r="AC338" s="617"/>
      <c r="AD338" s="617"/>
      <c r="AE338" s="617"/>
      <c r="AF338" s="617"/>
      <c r="AG338" s="617"/>
      <c r="AH338" s="617"/>
      <c r="AI338" s="617"/>
      <c r="AJ338" s="617"/>
      <c r="AK338" s="527"/>
      <c r="AL338" s="527"/>
      <c r="AM338" s="527"/>
      <c r="AN338" s="521"/>
      <c r="AQ338" s="494"/>
      <c r="AR338" s="494"/>
    </row>
    <row r="339" spans="1:46" s="474" customFormat="1" ht="12.75" customHeight="1">
      <c r="A339" s="527"/>
      <c r="B339" s="535"/>
      <c r="C339" s="1851" t="s">
        <v>2147</v>
      </c>
      <c r="D339" s="1851"/>
      <c r="E339" s="1851"/>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527"/>
      <c r="AL339" s="527"/>
      <c r="AM339" s="527"/>
      <c r="AN339" s="521"/>
      <c r="AQ339" s="494"/>
      <c r="AR339" s="494"/>
    </row>
    <row r="340" spans="1:46" s="474" customFormat="1" ht="30" customHeight="1">
      <c r="A340" s="527"/>
      <c r="B340" s="535"/>
      <c r="C340" s="1851"/>
      <c r="D340" s="1851"/>
      <c r="E340" s="1851"/>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527"/>
      <c r="AL340" s="527"/>
      <c r="AM340" s="527"/>
      <c r="AN340" s="521"/>
      <c r="AR340" s="494"/>
    </row>
    <row r="341" spans="1:46" s="474" customFormat="1" ht="12.75" customHeight="1">
      <c r="A341" s="527"/>
      <c r="B341" s="535"/>
      <c r="C341" s="1851"/>
      <c r="D341" s="1851"/>
      <c r="E341" s="1851"/>
      <c r="F341" s="1851"/>
      <c r="G341" s="1851"/>
      <c r="H341" s="1851"/>
      <c r="I341" s="1851"/>
      <c r="J341" s="1851"/>
      <c r="K341" s="1851"/>
      <c r="L341" s="1851"/>
      <c r="M341" s="1851"/>
      <c r="N341" s="1851"/>
      <c r="O341" s="1851"/>
      <c r="P341" s="1851"/>
      <c r="Q341" s="1851"/>
      <c r="R341" s="1851"/>
      <c r="S341" s="1851"/>
      <c r="T341" s="1851"/>
      <c r="U341" s="1851"/>
      <c r="V341" s="1851"/>
      <c r="W341" s="1851"/>
      <c r="X341" s="1851"/>
      <c r="Y341" s="1851"/>
      <c r="Z341" s="1851"/>
      <c r="AA341" s="1851"/>
      <c r="AB341" s="1851"/>
      <c r="AC341" s="1851"/>
      <c r="AD341" s="1851"/>
      <c r="AE341" s="1851"/>
      <c r="AF341" s="1851"/>
      <c r="AG341" s="1851"/>
      <c r="AH341" s="1851"/>
      <c r="AI341" s="1851"/>
      <c r="AJ341" s="1851"/>
      <c r="AK341" s="527"/>
      <c r="AL341" s="527"/>
      <c r="AM341" s="527"/>
      <c r="AN341" s="521"/>
      <c r="AR341" s="494"/>
    </row>
    <row r="342" spans="1:46" s="474" customFormat="1" ht="12.75" customHeight="1">
      <c r="A342" s="527"/>
      <c r="B342" s="535"/>
      <c r="C342" s="1851" t="s">
        <v>2148</v>
      </c>
      <c r="D342" s="1851"/>
      <c r="E342" s="1851"/>
      <c r="F342" s="1851"/>
      <c r="G342" s="1851"/>
      <c r="H342" s="1851"/>
      <c r="I342" s="1851"/>
      <c r="J342" s="1851"/>
      <c r="K342" s="1851"/>
      <c r="L342" s="1851"/>
      <c r="M342" s="1851"/>
      <c r="N342" s="1851"/>
      <c r="O342" s="1851"/>
      <c r="P342" s="1851"/>
      <c r="Q342" s="1851"/>
      <c r="R342" s="1851"/>
      <c r="S342" s="1851"/>
      <c r="T342" s="1851"/>
      <c r="U342" s="1851"/>
      <c r="V342" s="1851"/>
      <c r="W342" s="1851"/>
      <c r="X342" s="1851"/>
      <c r="Y342" s="1851"/>
      <c r="Z342" s="1851"/>
      <c r="AA342" s="1851"/>
      <c r="AB342" s="1851"/>
      <c r="AC342" s="1851"/>
      <c r="AD342" s="1851"/>
      <c r="AE342" s="1851"/>
      <c r="AF342" s="1851"/>
      <c r="AG342" s="1851"/>
      <c r="AH342" s="1851"/>
      <c r="AI342" s="1851"/>
      <c r="AJ342" s="1851"/>
      <c r="AK342" s="527"/>
      <c r="AL342" s="527"/>
      <c r="AM342" s="527"/>
      <c r="AN342" s="521"/>
      <c r="AQ342" s="494"/>
      <c r="AR342" s="494"/>
    </row>
    <row r="343" spans="1:46" s="474" customFormat="1" ht="12.75" customHeight="1">
      <c r="A343" s="527"/>
      <c r="B343" s="535"/>
      <c r="C343" s="1851"/>
      <c r="D343" s="1851"/>
      <c r="E343" s="1851"/>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527"/>
      <c r="AL343" s="527"/>
      <c r="AM343" s="527"/>
      <c r="AN343" s="521"/>
      <c r="AQ343" s="494"/>
      <c r="AR343" s="494"/>
    </row>
    <row r="344" spans="1:46" s="474" customFormat="1" ht="13.2" customHeight="1">
      <c r="A344" s="527"/>
      <c r="B344" s="535"/>
      <c r="C344" s="1851"/>
      <c r="D344" s="1851"/>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527"/>
      <c r="AL344" s="527"/>
      <c r="AM344" s="527"/>
      <c r="AN344" s="521"/>
      <c r="AQ344" s="494"/>
      <c r="AR344" s="494"/>
    </row>
    <row r="345" spans="1:46" s="474" customFormat="1" ht="12.75" customHeight="1">
      <c r="A345" s="527"/>
      <c r="B345" s="535"/>
      <c r="C345" s="1851"/>
      <c r="D345" s="1851"/>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527"/>
      <c r="AL345" s="527"/>
      <c r="AM345" s="527"/>
      <c r="AN345" s="521"/>
      <c r="AO345" s="618"/>
      <c r="AP345" s="618"/>
      <c r="AQ345" s="494"/>
    </row>
    <row r="346" spans="1:46" s="474" customFormat="1" ht="11.85" customHeight="1">
      <c r="A346" s="527"/>
      <c r="B346" s="535"/>
      <c r="C346" s="1851"/>
      <c r="D346" s="1851"/>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527"/>
      <c r="AL346" s="527"/>
      <c r="AM346" s="527"/>
      <c r="AN346" s="521"/>
      <c r="AO346" s="619" t="s">
        <v>17</v>
      </c>
      <c r="AP346" s="620">
        <f>IF(C370="Yes",5,0)</f>
        <v>0</v>
      </c>
      <c r="AS346" s="463" t="s">
        <v>2149</v>
      </c>
    </row>
    <row r="347" spans="1:46" s="474" customFormat="1" ht="12.75" customHeight="1">
      <c r="A347" s="527"/>
      <c r="B347" s="535"/>
      <c r="C347" s="1851"/>
      <c r="D347" s="1851"/>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527"/>
      <c r="AL347" s="527"/>
      <c r="AM347" s="527"/>
      <c r="AN347" s="521"/>
      <c r="AO347" s="619" t="s">
        <v>30</v>
      </c>
      <c r="AP347" s="620">
        <f>IF(C378="Yes",5,0)</f>
        <v>0</v>
      </c>
      <c r="AS347" s="1816">
        <f>IF(Application!D211="Non-Targeted",(SUM(AQ355+AQ364)),AS351)</f>
        <v>10</v>
      </c>
      <c r="AT347" s="1816"/>
    </row>
    <row r="348" spans="1:46" s="474" customFormat="1" ht="12.75" customHeight="1">
      <c r="A348" s="527"/>
      <c r="B348" s="535"/>
      <c r="C348" s="1851"/>
      <c r="D348" s="1851"/>
      <c r="E348" s="1851"/>
      <c r="F348" s="1851"/>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527"/>
      <c r="AL348" s="527"/>
      <c r="AM348" s="527"/>
      <c r="AN348" s="521"/>
      <c r="AO348" s="619" t="s">
        <v>38</v>
      </c>
      <c r="AP348" s="620">
        <f>IF(C386="Yes",7,0)</f>
        <v>0</v>
      </c>
      <c r="AS348" s="463" t="s">
        <v>2150</v>
      </c>
    </row>
    <row r="349" spans="1:46" s="474" customFormat="1" ht="12.75" customHeight="1">
      <c r="A349" s="527"/>
      <c r="B349" s="535"/>
      <c r="C349" s="1851"/>
      <c r="D349" s="1851"/>
      <c r="E349" s="1851"/>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527"/>
      <c r="AL349" s="527"/>
      <c r="AM349" s="527"/>
      <c r="AN349" s="521"/>
      <c r="AO349" s="521"/>
      <c r="AP349" s="620">
        <f>IF(C388="Yes",5,0)</f>
        <v>0</v>
      </c>
      <c r="AS349" s="1816">
        <f>IF(AND(AQ355&gt;0,AQ364&gt;0),(AQ355+AQ364)/2,0)</f>
        <v>0</v>
      </c>
      <c r="AT349" s="1816"/>
    </row>
    <row r="350" spans="1:46" s="474" customFormat="1" ht="12.75" customHeight="1">
      <c r="A350" s="527"/>
      <c r="B350" s="535"/>
      <c r="C350" s="1851"/>
      <c r="D350" s="1851"/>
      <c r="E350" s="1851"/>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527"/>
      <c r="AL350" s="527"/>
      <c r="AM350" s="527"/>
      <c r="AN350" s="521"/>
      <c r="AO350" s="619" t="s">
        <v>81</v>
      </c>
      <c r="AP350" s="620">
        <f>IF(C396="Yes",5,0)</f>
        <v>0</v>
      </c>
      <c r="AS350" s="463" t="s">
        <v>2151</v>
      </c>
    </row>
    <row r="351" spans="1:46" s="474" customFormat="1" ht="12.75" customHeight="1">
      <c r="A351" s="527"/>
      <c r="B351" s="535"/>
      <c r="C351" s="1945" t="s">
        <v>2152</v>
      </c>
      <c r="D351" s="1945"/>
      <c r="E351" s="1945"/>
      <c r="F351" s="1945"/>
      <c r="G351" s="1945"/>
      <c r="H351" s="1945"/>
      <c r="I351" s="1945"/>
      <c r="J351" s="1945"/>
      <c r="K351" s="1945"/>
      <c r="L351" s="1945"/>
      <c r="M351" s="1945"/>
      <c r="N351" s="1945"/>
      <c r="O351" s="1945"/>
      <c r="P351" s="1945"/>
      <c r="Q351" s="1945"/>
      <c r="R351" s="1945"/>
      <c r="S351" s="1945"/>
      <c r="T351" s="1945"/>
      <c r="U351" s="1945"/>
      <c r="V351" s="1945"/>
      <c r="W351" s="1945"/>
      <c r="X351" s="1945"/>
      <c r="Y351" s="1945"/>
      <c r="Z351" s="1945"/>
      <c r="AA351" s="1945"/>
      <c r="AB351" s="1945"/>
      <c r="AC351" s="1945"/>
      <c r="AD351" s="1945"/>
      <c r="AE351" s="1945"/>
      <c r="AF351" s="1945"/>
      <c r="AG351" s="1945"/>
      <c r="AH351" s="1945"/>
      <c r="AI351" s="1945"/>
      <c r="AJ351" s="1945"/>
      <c r="AK351" s="527"/>
      <c r="AL351" s="527"/>
      <c r="AM351" s="527"/>
      <c r="AN351" s="521"/>
      <c r="AO351" s="521"/>
      <c r="AP351" s="620">
        <f>IF(C398="Yes",3,0)</f>
        <v>0</v>
      </c>
      <c r="AS351" s="1816">
        <f>IF(AQ355=0,AQ364,AQ355)</f>
        <v>10</v>
      </c>
      <c r="AT351" s="1816"/>
    </row>
    <row r="352" spans="1:46" s="474" customFormat="1" ht="12.75" customHeight="1">
      <c r="A352" s="527"/>
      <c r="B352" s="535"/>
      <c r="C352" s="1945"/>
      <c r="D352" s="1945"/>
      <c r="E352" s="1945"/>
      <c r="F352" s="1945"/>
      <c r="G352" s="1945"/>
      <c r="H352" s="1945"/>
      <c r="I352" s="1945"/>
      <c r="J352" s="1945"/>
      <c r="K352" s="1945"/>
      <c r="L352" s="1945"/>
      <c r="M352" s="1945"/>
      <c r="N352" s="1945"/>
      <c r="O352" s="1945"/>
      <c r="P352" s="1945"/>
      <c r="Q352" s="1945"/>
      <c r="R352" s="1945"/>
      <c r="S352" s="1945"/>
      <c r="T352" s="1945"/>
      <c r="U352" s="1945"/>
      <c r="V352" s="1945"/>
      <c r="W352" s="1945"/>
      <c r="X352" s="1945"/>
      <c r="Y352" s="1945"/>
      <c r="Z352" s="1945"/>
      <c r="AA352" s="1945"/>
      <c r="AB352" s="1945"/>
      <c r="AC352" s="1945"/>
      <c r="AD352" s="1945"/>
      <c r="AE352" s="1945"/>
      <c r="AF352" s="1945"/>
      <c r="AG352" s="1945"/>
      <c r="AH352" s="1945"/>
      <c r="AI352" s="1945"/>
      <c r="AJ352" s="1945"/>
      <c r="AK352" s="527"/>
      <c r="AL352" s="527"/>
      <c r="AM352" s="527"/>
      <c r="AN352" s="521"/>
      <c r="AO352" s="619" t="s">
        <v>85</v>
      </c>
      <c r="AP352" s="620">
        <f>IF(C401="Yes",5,0)</f>
        <v>0</v>
      </c>
    </row>
    <row r="353" spans="1:81" s="474" customFormat="1" ht="12.75" customHeight="1">
      <c r="A353" s="527"/>
      <c r="B353" s="535"/>
      <c r="C353" s="1945"/>
      <c r="D353" s="1945"/>
      <c r="E353" s="1945"/>
      <c r="F353" s="1945"/>
      <c r="G353" s="1945"/>
      <c r="H353" s="1945"/>
      <c r="I353" s="1945"/>
      <c r="J353" s="1945"/>
      <c r="K353" s="1945"/>
      <c r="L353" s="1945"/>
      <c r="M353" s="1945"/>
      <c r="N353" s="1945"/>
      <c r="O353" s="1945"/>
      <c r="P353" s="1945"/>
      <c r="Q353" s="1945"/>
      <c r="R353" s="1945"/>
      <c r="S353" s="1945"/>
      <c r="T353" s="1945"/>
      <c r="U353" s="1945"/>
      <c r="V353" s="1945"/>
      <c r="W353" s="1945"/>
      <c r="X353" s="1945"/>
      <c r="Y353" s="1945"/>
      <c r="Z353" s="1945"/>
      <c r="AA353" s="1945"/>
      <c r="AB353" s="1945"/>
      <c r="AC353" s="1945"/>
      <c r="AD353" s="1945"/>
      <c r="AE353" s="1945"/>
      <c r="AF353" s="1945"/>
      <c r="AG353" s="1945"/>
      <c r="AH353" s="1945"/>
      <c r="AI353" s="1945"/>
      <c r="AJ353" s="1945"/>
      <c r="AK353" s="527"/>
      <c r="AL353" s="527"/>
      <c r="AM353" s="527"/>
      <c r="AN353" s="521"/>
      <c r="AO353" s="619" t="s">
        <v>1468</v>
      </c>
      <c r="AP353" s="620">
        <f>IF(C410="Yes",5,0)</f>
        <v>0</v>
      </c>
    </row>
    <row r="354" spans="1:81" s="474" customFormat="1" ht="11.85" customHeight="1">
      <c r="A354" s="527"/>
      <c r="B354" s="535"/>
      <c r="C354" s="1945"/>
      <c r="D354" s="1945"/>
      <c r="E354" s="1945"/>
      <c r="F354" s="1945"/>
      <c r="G354" s="1945"/>
      <c r="H354" s="1945"/>
      <c r="I354" s="1945"/>
      <c r="J354" s="1945"/>
      <c r="K354" s="1945"/>
      <c r="L354" s="1945"/>
      <c r="M354" s="1945"/>
      <c r="N354" s="1945"/>
      <c r="O354" s="1945"/>
      <c r="P354" s="1945"/>
      <c r="Q354" s="1945"/>
      <c r="R354" s="1945"/>
      <c r="S354" s="1945"/>
      <c r="T354" s="1945"/>
      <c r="U354" s="1945"/>
      <c r="V354" s="1945"/>
      <c r="W354" s="1945"/>
      <c r="X354" s="1945"/>
      <c r="Y354" s="1945"/>
      <c r="Z354" s="1945"/>
      <c r="AA354" s="1945"/>
      <c r="AB354" s="1945"/>
      <c r="AC354" s="1945"/>
      <c r="AD354" s="1945"/>
      <c r="AE354" s="1945"/>
      <c r="AF354" s="1945"/>
      <c r="AG354" s="1945"/>
      <c r="AH354" s="1945"/>
      <c r="AI354" s="1945"/>
      <c r="AJ354" s="1945"/>
      <c r="AK354" s="527"/>
      <c r="AL354" s="527"/>
      <c r="AM354" s="527"/>
      <c r="AN354" s="521"/>
      <c r="AO354" s="621"/>
      <c r="AP354" s="622">
        <f>IF(C412="Yes",3,0)</f>
        <v>0</v>
      </c>
    </row>
    <row r="355" spans="1:81" s="474" customFormat="1" ht="12.45" customHeight="1">
      <c r="A355" s="527"/>
      <c r="B355" s="535"/>
      <c r="C355" s="1945"/>
      <c r="D355" s="1945"/>
      <c r="E355" s="1945"/>
      <c r="F355" s="1945"/>
      <c r="G355" s="1945"/>
      <c r="H355" s="1945"/>
      <c r="I355" s="1945"/>
      <c r="J355" s="1945"/>
      <c r="K355" s="1945"/>
      <c r="L355" s="1945"/>
      <c r="M355" s="1945"/>
      <c r="N355" s="1945"/>
      <c r="O355" s="1945"/>
      <c r="P355" s="1945"/>
      <c r="Q355" s="1945"/>
      <c r="R355" s="1945"/>
      <c r="S355" s="1945"/>
      <c r="T355" s="1945"/>
      <c r="U355" s="1945"/>
      <c r="V355" s="1945"/>
      <c r="W355" s="1945"/>
      <c r="X355" s="1945"/>
      <c r="Y355" s="1945"/>
      <c r="Z355" s="1945"/>
      <c r="AA355" s="1945"/>
      <c r="AB355" s="1945"/>
      <c r="AC355" s="1945"/>
      <c r="AD355" s="1945"/>
      <c r="AE355" s="1945"/>
      <c r="AF355" s="1945"/>
      <c r="AG355" s="1945"/>
      <c r="AH355" s="1945"/>
      <c r="AI355" s="1945"/>
      <c r="AJ355" s="1945"/>
      <c r="AK355" s="527"/>
      <c r="AL355" s="527"/>
      <c r="AM355" s="527"/>
      <c r="AN355" s="521"/>
      <c r="AO355" s="623" t="s">
        <v>2153</v>
      </c>
      <c r="AP355" s="624">
        <f>SUM(AP346:AP354)</f>
        <v>0</v>
      </c>
      <c r="AQ355" s="1854">
        <f>IF(AP355&gt;0,AP355,0)</f>
        <v>0</v>
      </c>
      <c r="AR355" s="1854"/>
    </row>
    <row r="356" spans="1:81" s="474" customFormat="1" ht="12.75" customHeight="1">
      <c r="A356" s="527"/>
      <c r="B356" s="535"/>
      <c r="C356" s="1945"/>
      <c r="D356" s="1945"/>
      <c r="E356" s="1945"/>
      <c r="F356" s="1945"/>
      <c r="G356" s="1945"/>
      <c r="H356" s="1945"/>
      <c r="I356" s="1945"/>
      <c r="J356" s="1945"/>
      <c r="K356" s="1945"/>
      <c r="L356" s="1945"/>
      <c r="M356" s="1945"/>
      <c r="N356" s="1945"/>
      <c r="O356" s="1945"/>
      <c r="P356" s="1945"/>
      <c r="Q356" s="1945"/>
      <c r="R356" s="1945"/>
      <c r="S356" s="1945"/>
      <c r="T356" s="1945"/>
      <c r="U356" s="1945"/>
      <c r="V356" s="1945"/>
      <c r="W356" s="1945"/>
      <c r="X356" s="1945"/>
      <c r="Y356" s="1945"/>
      <c r="Z356" s="1945"/>
      <c r="AA356" s="1945"/>
      <c r="AB356" s="1945"/>
      <c r="AC356" s="1945"/>
      <c r="AD356" s="1945"/>
      <c r="AE356" s="1945"/>
      <c r="AF356" s="1945"/>
      <c r="AG356" s="1945"/>
      <c r="AH356" s="1945"/>
      <c r="AI356" s="1945"/>
      <c r="AJ356" s="1945"/>
      <c r="AK356" s="527"/>
      <c r="AL356" s="527"/>
      <c r="AM356" s="527"/>
      <c r="AN356" s="521"/>
      <c r="AP356" s="494"/>
    </row>
    <row r="357" spans="1:81" s="474" customFormat="1" ht="12.75" customHeight="1">
      <c r="A357" s="527"/>
      <c r="B357" s="535"/>
      <c r="C357" s="616"/>
      <c r="D357" s="616"/>
      <c r="E357" s="616"/>
      <c r="F357" s="616"/>
      <c r="G357" s="616"/>
      <c r="H357" s="616"/>
      <c r="I357" s="616"/>
      <c r="J357" s="616"/>
      <c r="K357" s="616"/>
      <c r="L357" s="616"/>
      <c r="M357" s="616"/>
      <c r="N357" s="616"/>
      <c r="O357" s="616"/>
      <c r="P357" s="616"/>
      <c r="Q357" s="616"/>
      <c r="R357" s="616"/>
      <c r="S357" s="616"/>
      <c r="T357" s="616"/>
      <c r="U357" s="616"/>
      <c r="V357" s="616"/>
      <c r="W357" s="616"/>
      <c r="X357" s="616"/>
      <c r="Y357" s="616"/>
      <c r="Z357" s="616"/>
      <c r="AA357" s="616"/>
      <c r="AB357" s="616"/>
      <c r="AC357" s="616"/>
      <c r="AD357" s="616"/>
      <c r="AE357" s="616"/>
      <c r="AF357" s="616"/>
      <c r="AG357" s="616"/>
      <c r="AH357" s="616"/>
      <c r="AI357" s="616"/>
      <c r="AJ357" s="616"/>
      <c r="AK357" s="527"/>
      <c r="AL357" s="527"/>
      <c r="AM357" s="527"/>
      <c r="AN357" s="521"/>
      <c r="AO357" s="619" t="s">
        <v>1470</v>
      </c>
      <c r="AP357" s="620">
        <f>IF(C419="Yes",5,0)</f>
        <v>0</v>
      </c>
    </row>
    <row r="358" spans="1:81" s="474" customFormat="1" ht="12.75" customHeight="1">
      <c r="A358" s="527"/>
      <c r="B358" s="535"/>
      <c r="C358" s="1851" t="s">
        <v>2154</v>
      </c>
      <c r="D358" s="1851"/>
      <c r="E358" s="1851"/>
      <c r="F358" s="1851"/>
      <c r="G358" s="1851"/>
      <c r="H358" s="1851"/>
      <c r="I358" s="1851"/>
      <c r="J358" s="1851"/>
      <c r="K358" s="1851"/>
      <c r="L358" s="1851"/>
      <c r="M358" s="1851"/>
      <c r="N358" s="1851"/>
      <c r="O358" s="1851"/>
      <c r="P358" s="1851"/>
      <c r="Q358" s="1851"/>
      <c r="R358" s="1851"/>
      <c r="S358" s="1851"/>
      <c r="T358" s="1851"/>
      <c r="U358" s="1851"/>
      <c r="V358" s="1851"/>
      <c r="W358" s="1851"/>
      <c r="X358" s="1851"/>
      <c r="Y358" s="1851"/>
      <c r="Z358" s="1851"/>
      <c r="AA358" s="1851"/>
      <c r="AB358" s="1851"/>
      <c r="AC358" s="1851"/>
      <c r="AD358" s="1851"/>
      <c r="AE358" s="1851"/>
      <c r="AF358" s="1851"/>
      <c r="AG358" s="1851"/>
      <c r="AH358" s="1851"/>
      <c r="AI358" s="1851"/>
      <c r="AJ358" s="1851"/>
      <c r="AK358" s="527"/>
      <c r="AL358" s="527"/>
      <c r="AM358" s="527"/>
      <c r="AN358" s="521"/>
      <c r="AO358" s="619" t="s">
        <v>1471</v>
      </c>
      <c r="AP358" s="620">
        <f>IF(C431="Yes",5,0)</f>
        <v>5</v>
      </c>
    </row>
    <row r="359" spans="1:81" s="474" customFormat="1" ht="12.75" customHeight="1">
      <c r="A359" s="527"/>
      <c r="B359" s="535"/>
      <c r="C359" s="1851"/>
      <c r="D359" s="1851"/>
      <c r="E359" s="1851"/>
      <c r="F359" s="1851"/>
      <c r="G359" s="1851"/>
      <c r="H359" s="1851"/>
      <c r="I359" s="1851"/>
      <c r="J359" s="1851"/>
      <c r="K359" s="1851"/>
      <c r="L359" s="1851"/>
      <c r="M359" s="1851"/>
      <c r="N359" s="1851"/>
      <c r="O359" s="1851"/>
      <c r="P359" s="1851"/>
      <c r="Q359" s="1851"/>
      <c r="R359" s="1851"/>
      <c r="S359" s="1851"/>
      <c r="T359" s="1851"/>
      <c r="U359" s="1851"/>
      <c r="V359" s="1851"/>
      <c r="W359" s="1851"/>
      <c r="X359" s="1851"/>
      <c r="Y359" s="1851"/>
      <c r="Z359" s="1851"/>
      <c r="AA359" s="1851"/>
      <c r="AB359" s="1851"/>
      <c r="AC359" s="1851"/>
      <c r="AD359" s="1851"/>
      <c r="AE359" s="1851"/>
      <c r="AF359" s="1851"/>
      <c r="AG359" s="1851"/>
      <c r="AH359" s="1851"/>
      <c r="AI359" s="1851"/>
      <c r="AJ359" s="1851"/>
      <c r="AK359" s="527"/>
      <c r="AL359" s="527"/>
      <c r="AM359" s="527"/>
      <c r="AN359" s="521"/>
      <c r="AO359" s="619" t="s">
        <v>1472</v>
      </c>
      <c r="AP359" s="620">
        <f>IF(C438="Yes",5,0)</f>
        <v>5</v>
      </c>
    </row>
    <row r="360" spans="1:81" s="474" customFormat="1" ht="68.099999999999994" customHeight="1">
      <c r="A360" s="527"/>
      <c r="B360" s="535"/>
      <c r="C360" s="1851"/>
      <c r="D360" s="1851"/>
      <c r="E360" s="1851"/>
      <c r="F360" s="1851"/>
      <c r="G360" s="1851"/>
      <c r="H360" s="1851"/>
      <c r="I360" s="1851"/>
      <c r="J360" s="1851"/>
      <c r="K360" s="1851"/>
      <c r="L360" s="1851"/>
      <c r="M360" s="1851"/>
      <c r="N360" s="1851"/>
      <c r="O360" s="1851"/>
      <c r="P360" s="1851"/>
      <c r="Q360" s="1851"/>
      <c r="R360" s="1851"/>
      <c r="S360" s="1851"/>
      <c r="T360" s="1851"/>
      <c r="U360" s="1851"/>
      <c r="V360" s="1851"/>
      <c r="W360" s="1851"/>
      <c r="X360" s="1851"/>
      <c r="Y360" s="1851"/>
      <c r="Z360" s="1851"/>
      <c r="AA360" s="1851"/>
      <c r="AB360" s="1851"/>
      <c r="AC360" s="1851"/>
      <c r="AD360" s="1851"/>
      <c r="AE360" s="1851"/>
      <c r="AF360" s="1851"/>
      <c r="AG360" s="1851"/>
      <c r="AH360" s="1851"/>
      <c r="AI360" s="1851"/>
      <c r="AJ360" s="1851"/>
      <c r="AK360" s="527"/>
      <c r="AL360" s="527"/>
      <c r="AM360" s="527"/>
      <c r="AN360" s="521"/>
      <c r="AO360" s="619" t="s">
        <v>1473</v>
      </c>
      <c r="AP360" s="625">
        <f>IF(C442="Yes",5,0)</f>
        <v>0</v>
      </c>
    </row>
    <row r="361" spans="1:81" s="474" customFormat="1" ht="12.45" customHeight="1">
      <c r="A361" s="527"/>
      <c r="B361" s="535"/>
      <c r="C361" s="474" t="s">
        <v>2155</v>
      </c>
      <c r="AF361" s="527"/>
      <c r="AG361" s="527"/>
      <c r="AH361" s="527"/>
      <c r="AI361" s="527"/>
      <c r="AJ361" s="527"/>
      <c r="AK361" s="527"/>
      <c r="AL361" s="527"/>
      <c r="AM361" s="527"/>
      <c r="AN361" s="521"/>
      <c r="AO361" s="619" t="s">
        <v>1474</v>
      </c>
      <c r="AP361" s="620">
        <f>IF(C446="Yes",5,0)</f>
        <v>0</v>
      </c>
    </row>
    <row r="362" spans="1:81" s="474" customFormat="1" ht="12.75" customHeight="1">
      <c r="A362" s="527"/>
      <c r="B362" s="535"/>
      <c r="C362" s="626" t="s">
        <v>2156</v>
      </c>
      <c r="D362" s="627"/>
      <c r="E362" s="627"/>
      <c r="F362" s="627"/>
      <c r="G362" s="627"/>
      <c r="H362" s="627"/>
      <c r="I362" s="627"/>
      <c r="J362" s="627"/>
      <c r="K362" s="627"/>
      <c r="L362" s="627"/>
      <c r="M362" s="591"/>
      <c r="N362" s="591"/>
      <c r="O362" s="628"/>
      <c r="P362" s="627"/>
      <c r="Q362" s="627"/>
      <c r="R362" s="591"/>
      <c r="S362" s="591"/>
      <c r="T362" s="627"/>
      <c r="U362" s="1852">
        <f>Application!CS660-U363</f>
        <v>28</v>
      </c>
      <c r="V362" s="1852"/>
      <c r="W362" s="1852"/>
      <c r="X362" s="627"/>
      <c r="Y362" s="627"/>
      <c r="Z362" s="627"/>
      <c r="AA362" s="629"/>
      <c r="AB362" s="630"/>
      <c r="AC362" s="630"/>
      <c r="AD362" s="630"/>
      <c r="AE362" s="527"/>
      <c r="AF362" s="527"/>
      <c r="AG362" s="527"/>
      <c r="AH362" s="527"/>
      <c r="AI362" s="527"/>
      <c r="AJ362" s="527"/>
      <c r="AK362" s="527"/>
      <c r="AL362" s="527"/>
      <c r="AM362" s="527"/>
      <c r="AN362" s="521"/>
      <c r="AO362" s="619" t="s">
        <v>1475</v>
      </c>
      <c r="AP362" s="620">
        <f>IF(C455="Yes",5,0)</f>
        <v>0</v>
      </c>
    </row>
    <row r="363" spans="1:81" s="474" customFormat="1" ht="12.75" customHeight="1">
      <c r="A363" s="527"/>
      <c r="B363" s="535"/>
      <c r="C363" s="631" t="s">
        <v>2157</v>
      </c>
      <c r="D363" s="618"/>
      <c r="E363" s="618"/>
      <c r="F363" s="618"/>
      <c r="G363" s="618"/>
      <c r="H363" s="618"/>
      <c r="I363" s="618"/>
      <c r="J363" s="618"/>
      <c r="K363" s="618"/>
      <c r="L363" s="618"/>
      <c r="M363" s="618"/>
      <c r="N363" s="618"/>
      <c r="O363" s="618"/>
      <c r="P363" s="618"/>
      <c r="Q363" s="618"/>
      <c r="R363" s="618"/>
      <c r="S363" s="618"/>
      <c r="T363" s="618"/>
      <c r="U363" s="1853">
        <f>IF(Application!D211="SRO",Application!CS634,Application!AG756)</f>
        <v>75</v>
      </c>
      <c r="V363" s="1853"/>
      <c r="W363" s="1853"/>
      <c r="X363" s="618"/>
      <c r="Y363" s="618"/>
      <c r="Z363" s="618"/>
      <c r="AA363" s="632"/>
      <c r="AC363" s="633"/>
      <c r="AD363" s="633"/>
      <c r="AE363" s="527"/>
      <c r="AF363" s="527"/>
      <c r="AG363" s="527"/>
      <c r="AH363" s="527"/>
      <c r="AI363" s="527"/>
      <c r="AJ363" s="527"/>
      <c r="AK363" s="527"/>
      <c r="AL363" s="527"/>
      <c r="AM363" s="527"/>
      <c r="AN363" s="521"/>
      <c r="AO363" s="621"/>
      <c r="AP363" s="622"/>
    </row>
    <row r="364" spans="1:81" s="474" customFormat="1" ht="12.75" customHeight="1">
      <c r="A364" s="527"/>
      <c r="B364" s="535"/>
      <c r="C364" s="520"/>
      <c r="U364" s="711"/>
      <c r="V364" s="711"/>
      <c r="W364" s="711"/>
      <c r="AC364" s="633"/>
      <c r="AD364" s="633"/>
      <c r="AE364" s="527"/>
      <c r="AF364" s="527"/>
      <c r="AG364" s="527"/>
      <c r="AH364" s="527"/>
      <c r="AI364" s="527"/>
      <c r="AJ364" s="527"/>
      <c r="AK364" s="527"/>
      <c r="AL364" s="527"/>
      <c r="AM364" s="527"/>
      <c r="AN364" s="521"/>
      <c r="AO364" s="634" t="s">
        <v>2153</v>
      </c>
      <c r="AP364" s="635">
        <f>SUM(AP357:AP362)</f>
        <v>10</v>
      </c>
      <c r="AQ364" s="1854">
        <f>IF(AP364&gt;0,AP364,0)</f>
        <v>10</v>
      </c>
      <c r="AR364" s="1854"/>
    </row>
    <row r="365" spans="1:81" s="474" customFormat="1" ht="12.75" customHeight="1">
      <c r="A365" s="527"/>
      <c r="B365" s="14"/>
      <c r="C365" s="636" t="s">
        <v>2158</v>
      </c>
      <c r="D365" s="527"/>
      <c r="E365" s="527"/>
      <c r="F365" s="527"/>
      <c r="G365" s="527"/>
      <c r="H365" s="527"/>
      <c r="I365" s="527"/>
      <c r="J365" s="527"/>
      <c r="K365" s="527"/>
      <c r="L365" s="527"/>
      <c r="M365" s="527"/>
      <c r="N365" s="527"/>
      <c r="O365" s="527"/>
      <c r="P365" s="527"/>
      <c r="Q365" s="527"/>
      <c r="R365" s="527"/>
      <c r="S365" s="527"/>
      <c r="T365" s="527"/>
      <c r="U365" s="527"/>
      <c r="V365" s="527"/>
      <c r="W365" s="527"/>
      <c r="X365" s="527"/>
      <c r="Y365" s="527"/>
      <c r="Z365" s="527"/>
      <c r="AA365" s="527"/>
      <c r="AB365" s="527"/>
      <c r="AC365" s="527"/>
      <c r="AD365" s="527"/>
      <c r="AE365" s="527"/>
      <c r="AF365" s="527"/>
      <c r="AG365" s="527"/>
      <c r="AH365" s="527"/>
      <c r="AI365" s="527"/>
      <c r="AJ365" s="527"/>
      <c r="AK365" s="527"/>
      <c r="AL365" s="527"/>
      <c r="AM365" s="527"/>
      <c r="AN365" s="521"/>
      <c r="BS365" s="26"/>
      <c r="BT365" s="26"/>
      <c r="BU365" s="14"/>
      <c r="BV365" s="14"/>
      <c r="BW365" s="14"/>
    </row>
    <row r="366" spans="1:81" s="474" customFormat="1" ht="12.75" customHeight="1">
      <c r="A366" s="460"/>
      <c r="B366" s="14"/>
      <c r="C366" s="637"/>
      <c r="D366" s="638"/>
      <c r="E366" s="639" t="s">
        <v>1977</v>
      </c>
      <c r="F366" s="1845" t="s">
        <v>2159</v>
      </c>
      <c r="G366" s="1845"/>
      <c r="H366" s="1845"/>
      <c r="I366" s="1845"/>
      <c r="J366" s="1845"/>
      <c r="K366" s="1845"/>
      <c r="L366" s="1845"/>
      <c r="M366" s="1845"/>
      <c r="N366" s="1845"/>
      <c r="O366" s="1845"/>
      <c r="P366" s="1845"/>
      <c r="Q366" s="1845"/>
      <c r="R366" s="1845"/>
      <c r="S366" s="1845"/>
      <c r="T366" s="1845"/>
      <c r="U366" s="1845"/>
      <c r="V366" s="1845"/>
      <c r="W366" s="1845"/>
      <c r="X366" s="1845"/>
      <c r="Y366" s="1845"/>
      <c r="Z366" s="1845"/>
      <c r="AA366" s="1845"/>
      <c r="AB366" s="1845"/>
      <c r="AC366" s="1845"/>
      <c r="AD366" s="1845"/>
      <c r="AE366" s="1845"/>
      <c r="AF366" s="1845"/>
      <c r="AG366" s="640"/>
      <c r="AH366" s="640"/>
      <c r="AI366" s="640"/>
      <c r="AJ366" s="640"/>
      <c r="AK366" s="640"/>
      <c r="AL366" s="641"/>
      <c r="AM366" s="494"/>
      <c r="AN366" s="521"/>
      <c r="AP366" s="494"/>
      <c r="BS366" s="26"/>
      <c r="BT366" s="26"/>
      <c r="BU366" s="14"/>
      <c r="BV366" s="14"/>
      <c r="BW366" s="14"/>
      <c r="BX366" s="14"/>
      <c r="BY366" s="14"/>
      <c r="BZ366" s="14"/>
      <c r="CA366" s="14"/>
      <c r="CB366" s="14"/>
      <c r="CC366" s="14"/>
    </row>
    <row r="367" spans="1:81" s="474" customFormat="1" ht="12.75" customHeight="1">
      <c r="A367" s="460"/>
      <c r="B367" s="14"/>
      <c r="C367" s="642"/>
      <c r="D367" s="460"/>
      <c r="E367" s="643"/>
      <c r="F367" s="1846"/>
      <c r="G367" s="1846"/>
      <c r="H367" s="1846"/>
      <c r="I367" s="1846"/>
      <c r="J367" s="1846"/>
      <c r="K367" s="1846"/>
      <c r="L367" s="1846"/>
      <c r="M367" s="1846"/>
      <c r="N367" s="1846"/>
      <c r="O367" s="1846"/>
      <c r="P367" s="1846"/>
      <c r="Q367" s="1846"/>
      <c r="R367" s="1846"/>
      <c r="S367" s="1846"/>
      <c r="T367" s="1846"/>
      <c r="U367" s="1846"/>
      <c r="V367" s="1846"/>
      <c r="W367" s="1846"/>
      <c r="X367" s="1846"/>
      <c r="Y367" s="1846"/>
      <c r="Z367" s="1846"/>
      <c r="AA367" s="1846"/>
      <c r="AB367" s="1846"/>
      <c r="AC367" s="1846"/>
      <c r="AD367" s="1846"/>
      <c r="AE367" s="1846"/>
      <c r="AF367" s="1846"/>
      <c r="AG367" s="463"/>
      <c r="AH367" s="463"/>
      <c r="AI367" s="463"/>
      <c r="AJ367" s="463"/>
      <c r="AK367" s="463"/>
      <c r="AL367" s="644"/>
      <c r="AM367" s="494"/>
      <c r="AN367" s="521"/>
      <c r="AP367" s="494"/>
      <c r="BS367" s="26"/>
      <c r="BT367" s="26"/>
      <c r="BU367" s="14"/>
      <c r="BV367" s="14"/>
      <c r="BW367" s="14"/>
      <c r="BX367" s="14"/>
      <c r="BY367" s="14"/>
      <c r="BZ367" s="14"/>
      <c r="CA367" s="14"/>
      <c r="CB367" s="14"/>
      <c r="CC367" s="14"/>
    </row>
    <row r="368" spans="1:81" s="474" customFormat="1" ht="12.75" customHeight="1">
      <c r="A368" s="460"/>
      <c r="B368" s="14"/>
      <c r="C368" s="642"/>
      <c r="D368" s="460"/>
      <c r="E368" s="643"/>
      <c r="F368" s="1846"/>
      <c r="G368" s="1846"/>
      <c r="H368" s="1846"/>
      <c r="I368" s="1846"/>
      <c r="J368" s="1846"/>
      <c r="K368" s="1846"/>
      <c r="L368" s="1846"/>
      <c r="M368" s="1846"/>
      <c r="N368" s="1846"/>
      <c r="O368" s="1846"/>
      <c r="P368" s="1846"/>
      <c r="Q368" s="1846"/>
      <c r="R368" s="1846"/>
      <c r="S368" s="1846"/>
      <c r="T368" s="1846"/>
      <c r="U368" s="1846"/>
      <c r="V368" s="1846"/>
      <c r="W368" s="1846"/>
      <c r="X368" s="1846"/>
      <c r="Y368" s="1846"/>
      <c r="Z368" s="1846"/>
      <c r="AA368" s="1846"/>
      <c r="AB368" s="1846"/>
      <c r="AC368" s="1846"/>
      <c r="AD368" s="1846"/>
      <c r="AE368" s="1846"/>
      <c r="AF368" s="1846"/>
      <c r="AG368" s="463"/>
      <c r="AH368" s="463"/>
      <c r="AI368" s="463"/>
      <c r="AJ368" s="463"/>
      <c r="AK368" s="463"/>
      <c r="AL368" s="644"/>
      <c r="AM368" s="494"/>
      <c r="AN368" s="521"/>
      <c r="BS368" s="26"/>
      <c r="BT368" s="26"/>
      <c r="BU368" s="14"/>
      <c r="BV368" s="14"/>
      <c r="BW368" s="14"/>
      <c r="BX368" s="14"/>
      <c r="BY368" s="14"/>
      <c r="BZ368" s="14"/>
      <c r="CA368" s="14"/>
      <c r="CB368" s="14"/>
      <c r="CC368" s="14"/>
    </row>
    <row r="369" spans="1:81" s="474" customFormat="1" ht="12.75" customHeight="1">
      <c r="A369" s="460"/>
      <c r="B369" s="14"/>
      <c r="C369" s="642"/>
      <c r="D369" s="460"/>
      <c r="E369" s="643"/>
      <c r="F369" s="1846"/>
      <c r="G369" s="1846"/>
      <c r="H369" s="1846"/>
      <c r="I369" s="1846"/>
      <c r="J369" s="1846"/>
      <c r="K369" s="1846"/>
      <c r="L369" s="1846"/>
      <c r="M369" s="1846"/>
      <c r="N369" s="1846"/>
      <c r="O369" s="1846"/>
      <c r="P369" s="1846"/>
      <c r="Q369" s="1846"/>
      <c r="R369" s="1846"/>
      <c r="S369" s="1846"/>
      <c r="T369" s="1846"/>
      <c r="U369" s="1846"/>
      <c r="V369" s="1846"/>
      <c r="W369" s="1846"/>
      <c r="X369" s="1846"/>
      <c r="Y369" s="1846"/>
      <c r="Z369" s="1846"/>
      <c r="AA369" s="1846"/>
      <c r="AB369" s="1846"/>
      <c r="AC369" s="1846"/>
      <c r="AD369" s="1846"/>
      <c r="AE369" s="1846"/>
      <c r="AF369" s="1846"/>
      <c r="AG369" s="463"/>
      <c r="AH369" s="463"/>
      <c r="AI369" s="463"/>
      <c r="AJ369" s="463"/>
      <c r="AK369" s="463"/>
      <c r="AL369" s="644"/>
      <c r="AM369" s="494"/>
      <c r="AN369" s="521"/>
      <c r="BS369" s="26"/>
      <c r="BT369" s="26"/>
      <c r="BU369" s="14"/>
      <c r="BV369" s="14"/>
      <c r="BW369" s="14"/>
      <c r="BX369" s="14"/>
      <c r="BY369" s="14"/>
      <c r="BZ369" s="14"/>
      <c r="CA369" s="14"/>
      <c r="CB369" s="14"/>
      <c r="CC369" s="14"/>
    </row>
    <row r="370" spans="1:81" s="474" customFormat="1" ht="12.75" customHeight="1">
      <c r="A370" s="460"/>
      <c r="B370" s="14"/>
      <c r="C370" s="1855" t="s">
        <v>299</v>
      </c>
      <c r="D370" s="1856"/>
      <c r="E370" s="643"/>
      <c r="F370" s="645" t="s">
        <v>2160</v>
      </c>
      <c r="G370" s="527"/>
      <c r="H370" s="527"/>
      <c r="I370" s="527"/>
      <c r="J370" s="527"/>
      <c r="K370" s="527"/>
      <c r="L370" s="527"/>
      <c r="M370" s="527"/>
      <c r="N370" s="527"/>
      <c r="O370" s="527"/>
      <c r="P370" s="527"/>
      <c r="Q370" s="527"/>
      <c r="R370" s="527"/>
      <c r="S370" s="527"/>
      <c r="T370" s="527"/>
      <c r="U370" s="527"/>
      <c r="V370" s="527"/>
      <c r="W370" s="527"/>
      <c r="X370" s="527"/>
      <c r="Y370" s="527"/>
      <c r="Z370" s="527"/>
      <c r="AA370" s="527"/>
      <c r="AB370" s="527"/>
      <c r="AC370" s="527"/>
      <c r="AD370" s="527"/>
      <c r="AF370" s="1844" t="s">
        <v>2161</v>
      </c>
      <c r="AG370" s="1844"/>
      <c r="AH370" s="1844"/>
      <c r="AI370" s="1844"/>
      <c r="AJ370" s="1844"/>
      <c r="AK370" s="1844"/>
      <c r="AL370" s="1857"/>
      <c r="AM370" s="646"/>
      <c r="BS370" s="26"/>
      <c r="BT370" s="26"/>
      <c r="BU370" s="14"/>
      <c r="BV370" s="14"/>
      <c r="BW370" s="14"/>
      <c r="BX370" s="14"/>
      <c r="BY370" s="14"/>
      <c r="BZ370" s="14"/>
      <c r="CA370" s="14"/>
      <c r="CB370" s="14"/>
      <c r="CC370" s="14"/>
    </row>
    <row r="371" spans="1:81" s="474" customFormat="1" ht="12.75" customHeight="1">
      <c r="A371" s="460"/>
      <c r="B371" s="14"/>
      <c r="C371" s="680"/>
      <c r="D371" s="647"/>
      <c r="E371" s="648"/>
      <c r="F371" s="649"/>
      <c r="G371" s="650"/>
      <c r="H371" s="650"/>
      <c r="I371" s="650"/>
      <c r="J371" s="650"/>
      <c r="K371" s="650"/>
      <c r="L371" s="650"/>
      <c r="M371" s="650"/>
      <c r="N371" s="650"/>
      <c r="O371" s="650"/>
      <c r="P371" s="650"/>
      <c r="Q371" s="650"/>
      <c r="R371" s="650"/>
      <c r="S371" s="650"/>
      <c r="T371" s="650"/>
      <c r="U371" s="650"/>
      <c r="V371" s="650"/>
      <c r="W371" s="650"/>
      <c r="X371" s="650"/>
      <c r="Y371" s="650"/>
      <c r="Z371" s="650"/>
      <c r="AA371" s="650"/>
      <c r="AB371" s="650"/>
      <c r="AC371" s="650"/>
      <c r="AD371" s="650"/>
      <c r="AE371" s="651"/>
      <c r="AF371" s="651"/>
      <c r="AG371" s="651"/>
      <c r="AH371" s="651"/>
      <c r="AI371" s="651"/>
      <c r="AJ371" s="651"/>
      <c r="AK371" s="651"/>
      <c r="AL371" s="681"/>
      <c r="AM371" s="653"/>
      <c r="AN371" s="521"/>
      <c r="CC371" s="14"/>
    </row>
    <row r="372" spans="1:81" s="474" customFormat="1" ht="12.75" customHeight="1">
      <c r="A372" s="460"/>
      <c r="B372" s="14"/>
      <c r="C372" s="654"/>
      <c r="D372" s="654"/>
      <c r="E372" s="643"/>
      <c r="F372" s="600"/>
      <c r="G372" s="600"/>
      <c r="H372" s="600"/>
      <c r="I372" s="600"/>
      <c r="J372" s="600"/>
      <c r="K372" s="600"/>
      <c r="L372" s="600"/>
      <c r="M372" s="600"/>
      <c r="N372" s="600"/>
      <c r="O372" s="600"/>
      <c r="P372" s="600"/>
      <c r="Q372" s="600"/>
      <c r="R372" s="600"/>
      <c r="S372" s="600"/>
      <c r="T372" s="600"/>
      <c r="U372" s="600"/>
      <c r="V372" s="600"/>
      <c r="W372" s="600"/>
      <c r="X372" s="600"/>
      <c r="Y372" s="600"/>
      <c r="Z372" s="600"/>
      <c r="AA372" s="600"/>
      <c r="AB372" s="600"/>
      <c r="AC372" s="600"/>
      <c r="AD372" s="600"/>
      <c r="AE372" s="515"/>
      <c r="AF372" s="515"/>
      <c r="AG372" s="515"/>
      <c r="AH372" s="515"/>
      <c r="AI372" s="515"/>
      <c r="AJ372" s="515"/>
      <c r="AK372" s="515"/>
      <c r="AL372" s="515"/>
      <c r="AM372" s="494"/>
      <c r="AN372" s="521"/>
      <c r="BS372" s="26"/>
      <c r="BT372" s="26"/>
      <c r="BU372" s="14"/>
      <c r="BV372" s="14"/>
      <c r="BW372" s="14"/>
      <c r="BX372" s="14"/>
      <c r="BY372" s="14"/>
      <c r="BZ372" s="14"/>
      <c r="CA372" s="14"/>
      <c r="CB372" s="14"/>
      <c r="CC372" s="14"/>
    </row>
    <row r="373" spans="1:81" s="474" customFormat="1" ht="12.75" customHeight="1">
      <c r="A373" s="460"/>
      <c r="B373" s="14"/>
      <c r="C373" s="637"/>
      <c r="D373" s="638"/>
      <c r="E373" s="639" t="s">
        <v>1980</v>
      </c>
      <c r="F373" s="1845" t="s">
        <v>2162</v>
      </c>
      <c r="G373" s="1845"/>
      <c r="H373" s="1845"/>
      <c r="I373" s="1845"/>
      <c r="J373" s="1845"/>
      <c r="K373" s="1845"/>
      <c r="L373" s="1845"/>
      <c r="M373" s="1845"/>
      <c r="N373" s="1845"/>
      <c r="O373" s="1845"/>
      <c r="P373" s="1845"/>
      <c r="Q373" s="1845"/>
      <c r="R373" s="1845"/>
      <c r="S373" s="1845"/>
      <c r="T373" s="1845"/>
      <c r="U373" s="1845"/>
      <c r="V373" s="1845"/>
      <c r="W373" s="1845"/>
      <c r="X373" s="1845"/>
      <c r="Y373" s="1845"/>
      <c r="Z373" s="1845"/>
      <c r="AA373" s="1845"/>
      <c r="AB373" s="1845"/>
      <c r="AC373" s="1845"/>
      <c r="AD373" s="1845"/>
      <c r="AE373" s="1845"/>
      <c r="AF373" s="1845"/>
      <c r="AG373" s="640"/>
      <c r="AH373" s="640"/>
      <c r="AI373" s="640"/>
      <c r="AJ373" s="640"/>
      <c r="AK373" s="640"/>
      <c r="AL373" s="641"/>
      <c r="AM373" s="494"/>
      <c r="AN373" s="521"/>
      <c r="BS373" s="26"/>
      <c r="BT373" s="26"/>
      <c r="BU373" s="14"/>
      <c r="BV373" s="14"/>
      <c r="BW373" s="14"/>
      <c r="BX373" s="14"/>
      <c r="BY373" s="14"/>
      <c r="BZ373" s="14"/>
      <c r="CA373" s="14"/>
      <c r="CB373" s="14"/>
      <c r="CC373" s="14"/>
    </row>
    <row r="374" spans="1:81" s="474" customFormat="1" ht="12.75" customHeight="1">
      <c r="A374" s="460"/>
      <c r="B374" s="14"/>
      <c r="C374" s="655"/>
      <c r="D374" s="14"/>
      <c r="E374" s="615"/>
      <c r="F374" s="1846"/>
      <c r="G374" s="1846"/>
      <c r="H374" s="1846"/>
      <c r="I374" s="1846"/>
      <c r="J374" s="1846"/>
      <c r="K374" s="1846"/>
      <c r="L374" s="1846"/>
      <c r="M374" s="1846"/>
      <c r="N374" s="1846"/>
      <c r="O374" s="1846"/>
      <c r="P374" s="1846"/>
      <c r="Q374" s="1846"/>
      <c r="R374" s="1846"/>
      <c r="S374" s="1846"/>
      <c r="T374" s="1846"/>
      <c r="U374" s="1846"/>
      <c r="V374" s="1846"/>
      <c r="W374" s="1846"/>
      <c r="X374" s="1846"/>
      <c r="Y374" s="1846"/>
      <c r="Z374" s="1846"/>
      <c r="AA374" s="1846"/>
      <c r="AB374" s="1846"/>
      <c r="AC374" s="1846"/>
      <c r="AD374" s="1846"/>
      <c r="AE374" s="1846"/>
      <c r="AF374" s="1846"/>
      <c r="AG374" s="463"/>
      <c r="AH374" s="463"/>
      <c r="AI374" s="463"/>
      <c r="AJ374" s="463"/>
      <c r="AK374" s="463"/>
      <c r="AL374" s="644"/>
      <c r="AM374" s="494"/>
      <c r="AN374" s="521"/>
      <c r="BS374" s="26"/>
      <c r="BT374" s="26"/>
      <c r="BU374" s="14"/>
      <c r="BV374" s="14"/>
      <c r="BW374" s="14"/>
      <c r="BX374" s="14"/>
      <c r="BY374" s="14"/>
      <c r="BZ374" s="14"/>
      <c r="CA374" s="14"/>
      <c r="CB374" s="14"/>
      <c r="CC374" s="14"/>
    </row>
    <row r="375" spans="1:81" s="474" customFormat="1" ht="12.75" customHeight="1">
      <c r="A375" s="460"/>
      <c r="B375" s="14"/>
      <c r="C375" s="655"/>
      <c r="D375" s="14"/>
      <c r="E375" s="615"/>
      <c r="F375" s="1846"/>
      <c r="G375" s="1846"/>
      <c r="H375" s="1846"/>
      <c r="I375" s="1846"/>
      <c r="J375" s="1846"/>
      <c r="K375" s="1846"/>
      <c r="L375" s="1846"/>
      <c r="M375" s="1846"/>
      <c r="N375" s="1846"/>
      <c r="O375" s="1846"/>
      <c r="P375" s="1846"/>
      <c r="Q375" s="1846"/>
      <c r="R375" s="1846"/>
      <c r="S375" s="1846"/>
      <c r="T375" s="1846"/>
      <c r="U375" s="1846"/>
      <c r="V375" s="1846"/>
      <c r="W375" s="1846"/>
      <c r="X375" s="1846"/>
      <c r="Y375" s="1846"/>
      <c r="Z375" s="1846"/>
      <c r="AA375" s="1846"/>
      <c r="AB375" s="1846"/>
      <c r="AC375" s="1846"/>
      <c r="AD375" s="1846"/>
      <c r="AE375" s="1846"/>
      <c r="AF375" s="1846"/>
      <c r="AG375" s="463"/>
      <c r="AH375" s="463"/>
      <c r="AI375" s="463"/>
      <c r="AJ375" s="463"/>
      <c r="AK375" s="463"/>
      <c r="AL375" s="644"/>
      <c r="AM375" s="494"/>
      <c r="AN375" s="521"/>
      <c r="BS375" s="26"/>
      <c r="BT375" s="26"/>
      <c r="BU375" s="14"/>
      <c r="BV375" s="14"/>
      <c r="BW375" s="14"/>
      <c r="BX375" s="14"/>
      <c r="BY375" s="14"/>
      <c r="BZ375" s="14"/>
      <c r="CA375" s="14"/>
      <c r="CB375" s="14"/>
      <c r="CC375" s="14"/>
    </row>
    <row r="376" spans="1:81" s="474" customFormat="1" ht="12.75" customHeight="1">
      <c r="A376" s="460"/>
      <c r="B376" s="14"/>
      <c r="C376" s="655"/>
      <c r="D376" s="14"/>
      <c r="E376" s="615"/>
      <c r="F376" s="1846"/>
      <c r="G376" s="1846"/>
      <c r="H376" s="1846"/>
      <c r="I376" s="1846"/>
      <c r="J376" s="1846"/>
      <c r="K376" s="1846"/>
      <c r="L376" s="1846"/>
      <c r="M376" s="1846"/>
      <c r="N376" s="1846"/>
      <c r="O376" s="1846"/>
      <c r="P376" s="1846"/>
      <c r="Q376" s="1846"/>
      <c r="R376" s="1846"/>
      <c r="S376" s="1846"/>
      <c r="T376" s="1846"/>
      <c r="U376" s="1846"/>
      <c r="V376" s="1846"/>
      <c r="W376" s="1846"/>
      <c r="X376" s="1846"/>
      <c r="Y376" s="1846"/>
      <c r="Z376" s="1846"/>
      <c r="AA376" s="1846"/>
      <c r="AB376" s="1846"/>
      <c r="AC376" s="1846"/>
      <c r="AD376" s="1846"/>
      <c r="AE376" s="1846"/>
      <c r="AF376" s="1846"/>
      <c r="AG376" s="463"/>
      <c r="AH376" s="463"/>
      <c r="AI376" s="463"/>
      <c r="AJ376" s="463"/>
      <c r="AK376" s="463"/>
      <c r="AL376" s="644"/>
      <c r="AM376" s="494"/>
      <c r="AN376" s="521"/>
      <c r="BS376" s="26"/>
      <c r="BT376" s="26"/>
      <c r="BU376" s="14"/>
      <c r="BV376" s="14"/>
      <c r="BW376" s="14"/>
      <c r="BX376" s="14"/>
      <c r="BY376" s="14"/>
      <c r="BZ376" s="14"/>
      <c r="CA376" s="14"/>
      <c r="CB376" s="14"/>
      <c r="CC376" s="14"/>
    </row>
    <row r="377" spans="1:81" s="474" customFormat="1" ht="12.75" customHeight="1">
      <c r="A377" s="460"/>
      <c r="B377" s="14"/>
      <c r="C377" s="655"/>
      <c r="D377" s="14"/>
      <c r="E377" s="615"/>
      <c r="F377" s="1846"/>
      <c r="G377" s="1846"/>
      <c r="H377" s="1846"/>
      <c r="I377" s="1846"/>
      <c r="J377" s="1846"/>
      <c r="K377" s="1846"/>
      <c r="L377" s="1846"/>
      <c r="M377" s="1846"/>
      <c r="N377" s="1846"/>
      <c r="O377" s="1846"/>
      <c r="P377" s="1846"/>
      <c r="Q377" s="1846"/>
      <c r="R377" s="1846"/>
      <c r="S377" s="1846"/>
      <c r="T377" s="1846"/>
      <c r="U377" s="1846"/>
      <c r="V377" s="1846"/>
      <c r="W377" s="1846"/>
      <c r="X377" s="1846"/>
      <c r="Y377" s="1846"/>
      <c r="Z377" s="1846"/>
      <c r="AA377" s="1846"/>
      <c r="AB377" s="1846"/>
      <c r="AC377" s="1846"/>
      <c r="AD377" s="1846"/>
      <c r="AE377" s="1846"/>
      <c r="AF377" s="1846"/>
      <c r="AL377" s="656"/>
      <c r="AN377" s="521"/>
      <c r="BS377" s="26"/>
      <c r="BT377" s="26"/>
      <c r="BU377" s="14"/>
      <c r="BV377" s="14"/>
      <c r="BW377" s="14"/>
      <c r="BX377" s="14"/>
      <c r="BY377" s="14"/>
      <c r="BZ377" s="14"/>
      <c r="CA377" s="14"/>
      <c r="CB377" s="14"/>
      <c r="CC377" s="14"/>
    </row>
    <row r="378" spans="1:81" s="474" customFormat="1" ht="12.75" customHeight="1">
      <c r="A378" s="460"/>
      <c r="B378" s="14"/>
      <c r="C378" s="1855" t="s">
        <v>299</v>
      </c>
      <c r="D378" s="1856"/>
      <c r="E378" s="615"/>
      <c r="F378" s="645" t="s">
        <v>2163</v>
      </c>
      <c r="G378" s="527"/>
      <c r="H378" s="527"/>
      <c r="I378" s="527"/>
      <c r="J378" s="527"/>
      <c r="K378" s="527"/>
      <c r="L378" s="527"/>
      <c r="M378" s="527"/>
      <c r="N378" s="527"/>
      <c r="O378" s="527"/>
      <c r="P378" s="527"/>
      <c r="Q378" s="527"/>
      <c r="R378" s="527"/>
      <c r="S378" s="527"/>
      <c r="T378" s="527"/>
      <c r="U378" s="527"/>
      <c r="V378" s="527"/>
      <c r="W378" s="527"/>
      <c r="X378" s="527"/>
      <c r="Y378" s="527"/>
      <c r="Z378" s="527"/>
      <c r="AA378" s="527"/>
      <c r="AB378" s="527"/>
      <c r="AC378" s="527"/>
      <c r="AD378" s="527"/>
      <c r="AF378" s="1844" t="s">
        <v>2161</v>
      </c>
      <c r="AG378" s="1844"/>
      <c r="AH378" s="1844"/>
      <c r="AI378" s="1844"/>
      <c r="AJ378" s="1844"/>
      <c r="AK378" s="1844"/>
      <c r="AL378" s="1857"/>
      <c r="AM378" s="653"/>
      <c r="AN378" s="521"/>
      <c r="BS378" s="26"/>
      <c r="BT378" s="26"/>
      <c r="BU378" s="14"/>
      <c r="BV378" s="14"/>
      <c r="BW378" s="14"/>
      <c r="BX378" s="14"/>
      <c r="BY378" s="14"/>
      <c r="BZ378" s="14"/>
      <c r="CA378" s="14"/>
      <c r="CB378" s="14"/>
      <c r="CC378" s="14"/>
    </row>
    <row r="379" spans="1:81" s="474" customFormat="1" ht="12.75" customHeight="1">
      <c r="A379" s="460"/>
      <c r="B379" s="14"/>
      <c r="C379" s="664"/>
      <c r="D379" s="657"/>
      <c r="E379" s="658"/>
      <c r="F379" s="659"/>
      <c r="G379" s="660"/>
      <c r="H379" s="660"/>
      <c r="I379" s="660"/>
      <c r="J379" s="660"/>
      <c r="K379" s="660"/>
      <c r="L379" s="660"/>
      <c r="M379" s="660"/>
      <c r="N379" s="660"/>
      <c r="O379" s="660"/>
      <c r="P379" s="660"/>
      <c r="Q379" s="660"/>
      <c r="R379" s="660"/>
      <c r="S379" s="660"/>
      <c r="T379" s="660"/>
      <c r="U379" s="660"/>
      <c r="V379" s="660"/>
      <c r="W379" s="660"/>
      <c r="X379" s="660"/>
      <c r="Y379" s="660"/>
      <c r="Z379" s="660"/>
      <c r="AA379" s="660"/>
      <c r="AB379" s="660"/>
      <c r="AC379" s="660"/>
      <c r="AD379" s="660"/>
      <c r="AE379" s="661"/>
      <c r="AF379" s="507"/>
      <c r="AG379" s="661"/>
      <c r="AH379" s="651"/>
      <c r="AI379" s="651"/>
      <c r="AJ379" s="651"/>
      <c r="AK379" s="651"/>
      <c r="AL379" s="666"/>
      <c r="AM379" s="653"/>
      <c r="AN379" s="521"/>
      <c r="BS379" s="26"/>
      <c r="BT379" s="26"/>
      <c r="BU379" s="14"/>
      <c r="BV379" s="14"/>
      <c r="BW379" s="14"/>
      <c r="BX379" s="14"/>
      <c r="BY379" s="14"/>
      <c r="BZ379" s="14"/>
      <c r="CA379" s="14"/>
      <c r="CB379" s="14"/>
      <c r="CC379" s="14"/>
    </row>
    <row r="380" spans="1:81" s="474" customFormat="1" ht="12.75" customHeight="1">
      <c r="A380" s="460"/>
      <c r="B380" s="14"/>
      <c r="C380" s="14"/>
      <c r="D380" s="14"/>
      <c r="E380" s="615"/>
      <c r="F380" s="600"/>
      <c r="G380" s="600"/>
      <c r="H380" s="600"/>
      <c r="I380" s="600"/>
      <c r="J380" s="600"/>
      <c r="K380" s="600"/>
      <c r="L380" s="600"/>
      <c r="M380" s="600"/>
      <c r="N380" s="600"/>
      <c r="O380" s="600"/>
      <c r="P380" s="600"/>
      <c r="Q380" s="600"/>
      <c r="R380" s="600"/>
      <c r="S380" s="600"/>
      <c r="T380" s="600"/>
      <c r="U380" s="600"/>
      <c r="V380" s="600"/>
      <c r="W380" s="600"/>
      <c r="X380" s="600"/>
      <c r="Y380" s="600"/>
      <c r="Z380" s="600"/>
      <c r="AA380" s="600"/>
      <c r="AB380" s="600"/>
      <c r="AC380" s="600"/>
      <c r="AD380" s="600"/>
      <c r="AE380" s="460"/>
      <c r="AF380" s="463"/>
      <c r="AG380" s="460"/>
      <c r="AM380" s="494"/>
      <c r="AN380" s="521"/>
      <c r="BS380" s="26"/>
      <c r="BT380" s="26"/>
      <c r="BU380" s="14"/>
      <c r="BV380" s="14"/>
      <c r="BW380" s="14"/>
      <c r="BX380" s="14"/>
      <c r="BY380" s="14"/>
      <c r="BZ380" s="14"/>
      <c r="CA380" s="14"/>
      <c r="CB380" s="14"/>
      <c r="CC380" s="14"/>
    </row>
    <row r="381" spans="1:81" s="474" customFormat="1" ht="12.75" customHeight="1">
      <c r="A381" s="460"/>
      <c r="B381" s="14"/>
      <c r="C381" s="637"/>
      <c r="D381" s="638"/>
      <c r="E381" s="639" t="s">
        <v>1986</v>
      </c>
      <c r="F381" s="1845" t="s">
        <v>2164</v>
      </c>
      <c r="G381" s="1845"/>
      <c r="H381" s="1845"/>
      <c r="I381" s="1845"/>
      <c r="J381" s="1845"/>
      <c r="K381" s="1845"/>
      <c r="L381" s="1845"/>
      <c r="M381" s="1845"/>
      <c r="N381" s="1845"/>
      <c r="O381" s="1845"/>
      <c r="P381" s="1845"/>
      <c r="Q381" s="1845"/>
      <c r="R381" s="1845"/>
      <c r="S381" s="1845"/>
      <c r="T381" s="1845"/>
      <c r="U381" s="1845"/>
      <c r="V381" s="1845"/>
      <c r="W381" s="1845"/>
      <c r="X381" s="1845"/>
      <c r="Y381" s="1845"/>
      <c r="Z381" s="1845"/>
      <c r="AA381" s="1845"/>
      <c r="AB381" s="1845"/>
      <c r="AC381" s="1845"/>
      <c r="AD381" s="1845"/>
      <c r="AE381" s="1845"/>
      <c r="AF381" s="1845"/>
      <c r="AG381" s="640"/>
      <c r="AH381" s="640"/>
      <c r="AI381" s="640"/>
      <c r="AJ381" s="640"/>
      <c r="AK381" s="640"/>
      <c r="AL381" s="641"/>
      <c r="AM381" s="494"/>
      <c r="AN381" s="521"/>
      <c r="BS381" s="494"/>
      <c r="BT381" s="494"/>
      <c r="BU381" s="494"/>
      <c r="BV381" s="494"/>
      <c r="BW381" s="494"/>
      <c r="BX381" s="494"/>
      <c r="BY381" s="494"/>
      <c r="BZ381" s="494"/>
      <c r="CA381" s="494"/>
      <c r="CB381" s="494"/>
      <c r="CC381" s="494"/>
    </row>
    <row r="382" spans="1:81" s="474" customFormat="1" ht="12.75" customHeight="1">
      <c r="A382" s="460"/>
      <c r="B382" s="14"/>
      <c r="C382" s="655"/>
      <c r="D382" s="14"/>
      <c r="E382" s="615"/>
      <c r="F382" s="1846"/>
      <c r="G382" s="1846"/>
      <c r="H382" s="1846"/>
      <c r="I382" s="1846"/>
      <c r="J382" s="1846"/>
      <c r="K382" s="1846"/>
      <c r="L382" s="1846"/>
      <c r="M382" s="1846"/>
      <c r="N382" s="1846"/>
      <c r="O382" s="1846"/>
      <c r="P382" s="1846"/>
      <c r="Q382" s="1846"/>
      <c r="R382" s="1846"/>
      <c r="S382" s="1846"/>
      <c r="T382" s="1846"/>
      <c r="U382" s="1846"/>
      <c r="V382" s="1846"/>
      <c r="W382" s="1846"/>
      <c r="X382" s="1846"/>
      <c r="Y382" s="1846"/>
      <c r="Z382" s="1846"/>
      <c r="AA382" s="1846"/>
      <c r="AB382" s="1846"/>
      <c r="AC382" s="1846"/>
      <c r="AD382" s="1846"/>
      <c r="AE382" s="1846"/>
      <c r="AF382" s="1846"/>
      <c r="AG382" s="463"/>
      <c r="AH382" s="463"/>
      <c r="AI382" s="463"/>
      <c r="AJ382" s="463"/>
      <c r="AK382" s="463"/>
      <c r="AL382" s="644"/>
      <c r="AM382" s="494"/>
      <c r="AN382" s="521"/>
      <c r="BS382" s="494"/>
      <c r="BT382" s="494"/>
      <c r="BU382" s="494"/>
      <c r="BV382" s="494"/>
      <c r="BW382" s="494"/>
      <c r="BX382" s="494"/>
      <c r="BY382" s="494"/>
      <c r="BZ382" s="494"/>
      <c r="CA382" s="494"/>
      <c r="CB382" s="494"/>
      <c r="CC382" s="494"/>
    </row>
    <row r="383" spans="1:81" s="474" customFormat="1" ht="12.75" customHeight="1">
      <c r="A383" s="460"/>
      <c r="B383" s="14"/>
      <c r="C383" s="655"/>
      <c r="D383" s="14"/>
      <c r="E383" s="615"/>
      <c r="F383" s="1846"/>
      <c r="G383" s="1846"/>
      <c r="H383" s="1846"/>
      <c r="I383" s="1846"/>
      <c r="J383" s="1846"/>
      <c r="K383" s="1846"/>
      <c r="L383" s="1846"/>
      <c r="M383" s="1846"/>
      <c r="N383" s="1846"/>
      <c r="O383" s="1846"/>
      <c r="P383" s="1846"/>
      <c r="Q383" s="1846"/>
      <c r="R383" s="1846"/>
      <c r="S383" s="1846"/>
      <c r="T383" s="1846"/>
      <c r="U383" s="1846"/>
      <c r="V383" s="1846"/>
      <c r="W383" s="1846"/>
      <c r="X383" s="1846"/>
      <c r="Y383" s="1846"/>
      <c r="Z383" s="1846"/>
      <c r="AA383" s="1846"/>
      <c r="AB383" s="1846"/>
      <c r="AC383" s="1846"/>
      <c r="AD383" s="1846"/>
      <c r="AE383" s="1846"/>
      <c r="AF383" s="1846"/>
      <c r="AG383" s="463"/>
      <c r="AH383" s="463"/>
      <c r="AI383" s="463"/>
      <c r="AJ383" s="463"/>
      <c r="AK383" s="463"/>
      <c r="AL383" s="644"/>
      <c r="AM383" s="494"/>
      <c r="AN383" s="521"/>
      <c r="BS383" s="494"/>
      <c r="BT383" s="494"/>
      <c r="BU383" s="494"/>
      <c r="BV383" s="494"/>
      <c r="BW383" s="494"/>
      <c r="BX383" s="494"/>
      <c r="BY383" s="494"/>
      <c r="BZ383" s="494"/>
      <c r="CA383" s="494"/>
      <c r="CB383" s="494"/>
      <c r="CC383" s="494"/>
    </row>
    <row r="384" spans="1:81" s="474" customFormat="1" ht="12.75" customHeight="1">
      <c r="A384" s="460"/>
      <c r="B384" s="14"/>
      <c r="C384" s="655"/>
      <c r="D384" s="14"/>
      <c r="E384" s="615"/>
      <c r="F384" s="1846"/>
      <c r="G384" s="1846"/>
      <c r="H384" s="1846"/>
      <c r="I384" s="1846"/>
      <c r="J384" s="1846"/>
      <c r="K384" s="1846"/>
      <c r="L384" s="1846"/>
      <c r="M384" s="1846"/>
      <c r="N384" s="1846"/>
      <c r="O384" s="1846"/>
      <c r="P384" s="1846"/>
      <c r="Q384" s="1846"/>
      <c r="R384" s="1846"/>
      <c r="S384" s="1846"/>
      <c r="T384" s="1846"/>
      <c r="U384" s="1846"/>
      <c r="V384" s="1846"/>
      <c r="W384" s="1846"/>
      <c r="X384" s="1846"/>
      <c r="Y384" s="1846"/>
      <c r="Z384" s="1846"/>
      <c r="AA384" s="1846"/>
      <c r="AB384" s="1846"/>
      <c r="AC384" s="1846"/>
      <c r="AD384" s="1846"/>
      <c r="AE384" s="1846"/>
      <c r="AF384" s="1846"/>
      <c r="AG384" s="463"/>
      <c r="AH384" s="463"/>
      <c r="AI384" s="463"/>
      <c r="AJ384" s="463"/>
      <c r="AK384" s="463"/>
      <c r="AL384" s="644"/>
      <c r="AM384" s="494"/>
      <c r="AN384" s="521"/>
      <c r="BS384" s="494"/>
      <c r="BT384" s="494"/>
      <c r="BU384" s="494"/>
      <c r="BV384" s="494"/>
      <c r="BW384" s="494"/>
      <c r="BX384" s="494"/>
      <c r="BY384" s="494"/>
      <c r="BZ384" s="494"/>
      <c r="CA384" s="494"/>
      <c r="CB384" s="494"/>
      <c r="CC384" s="494"/>
    </row>
    <row r="385" spans="1:81" s="474" customFormat="1" ht="12.75" customHeight="1">
      <c r="A385" s="460"/>
      <c r="B385" s="14"/>
      <c r="C385" s="655"/>
      <c r="D385" s="14"/>
      <c r="E385" s="615"/>
      <c r="F385" s="1846"/>
      <c r="G385" s="1846"/>
      <c r="H385" s="1846"/>
      <c r="I385" s="1846"/>
      <c r="J385" s="1846"/>
      <c r="K385" s="1846"/>
      <c r="L385" s="1846"/>
      <c r="M385" s="1846"/>
      <c r="N385" s="1846"/>
      <c r="O385" s="1846"/>
      <c r="P385" s="1846"/>
      <c r="Q385" s="1846"/>
      <c r="R385" s="1846"/>
      <c r="S385" s="1846"/>
      <c r="T385" s="1846"/>
      <c r="U385" s="1846"/>
      <c r="V385" s="1846"/>
      <c r="W385" s="1846"/>
      <c r="X385" s="1846"/>
      <c r="Y385" s="1846"/>
      <c r="Z385" s="1846"/>
      <c r="AA385" s="1846"/>
      <c r="AB385" s="1846"/>
      <c r="AC385" s="1846"/>
      <c r="AD385" s="1846"/>
      <c r="AE385" s="1846"/>
      <c r="AF385" s="1846"/>
      <c r="AG385" s="463"/>
      <c r="AH385" s="463"/>
      <c r="AI385" s="463"/>
      <c r="AJ385" s="463"/>
      <c r="AK385" s="463"/>
      <c r="AL385" s="644"/>
      <c r="AM385" s="494"/>
      <c r="AN385" s="521"/>
      <c r="BS385" s="494"/>
      <c r="BT385" s="494"/>
      <c r="BU385" s="494"/>
      <c r="BV385" s="494"/>
      <c r="BW385" s="494"/>
      <c r="BX385" s="494"/>
      <c r="BY385" s="494"/>
      <c r="BZ385" s="494"/>
      <c r="CA385" s="494"/>
      <c r="CB385" s="494"/>
      <c r="CC385" s="494"/>
    </row>
    <row r="386" spans="1:81" s="474" customFormat="1" ht="12.75" customHeight="1">
      <c r="A386" s="460"/>
      <c r="B386" s="14"/>
      <c r="C386" s="1855" t="s">
        <v>299</v>
      </c>
      <c r="D386" s="1856"/>
      <c r="E386" s="615"/>
      <c r="F386" s="645" t="s">
        <v>2165</v>
      </c>
      <c r="G386" s="527"/>
      <c r="H386" s="527"/>
      <c r="I386" s="527"/>
      <c r="J386" s="527"/>
      <c r="K386" s="527"/>
      <c r="L386" s="527"/>
      <c r="M386" s="527"/>
      <c r="N386" s="527"/>
      <c r="O386" s="527"/>
      <c r="P386" s="527"/>
      <c r="Q386" s="527"/>
      <c r="R386" s="527"/>
      <c r="S386" s="527"/>
      <c r="T386" s="527"/>
      <c r="U386" s="527"/>
      <c r="V386" s="527"/>
      <c r="W386" s="527"/>
      <c r="X386" s="527"/>
      <c r="Y386" s="527"/>
      <c r="Z386" s="527"/>
      <c r="AA386" s="527"/>
      <c r="AB386" s="527"/>
      <c r="AC386" s="527"/>
      <c r="AD386" s="527"/>
      <c r="AF386" s="1844" t="s">
        <v>2166</v>
      </c>
      <c r="AG386" s="1844"/>
      <c r="AH386" s="1844"/>
      <c r="AI386" s="1844"/>
      <c r="AJ386" s="1844"/>
      <c r="AK386" s="1844"/>
      <c r="AL386" s="1857"/>
      <c r="AM386" s="646"/>
      <c r="BS386" s="494"/>
      <c r="BT386" s="494"/>
      <c r="BU386" s="494"/>
      <c r="BV386" s="494"/>
      <c r="BW386" s="494"/>
      <c r="BX386" s="494"/>
      <c r="BY386" s="494"/>
      <c r="BZ386" s="494"/>
      <c r="CA386" s="494"/>
      <c r="CB386" s="494"/>
      <c r="CC386" s="494"/>
    </row>
    <row r="387" spans="1:81" s="474" customFormat="1" ht="12.75" customHeight="1">
      <c r="A387" s="460"/>
      <c r="B387" s="14"/>
      <c r="C387" s="655"/>
      <c r="D387" s="14"/>
      <c r="E387" s="615"/>
      <c r="F387" s="497"/>
      <c r="G387" s="497"/>
      <c r="H387" s="497"/>
      <c r="I387" s="497"/>
      <c r="J387" s="497"/>
      <c r="K387" s="497"/>
      <c r="L387" s="497"/>
      <c r="M387" s="497"/>
      <c r="N387" s="497"/>
      <c r="O387" s="497"/>
      <c r="P387" s="497"/>
      <c r="Q387" s="497"/>
      <c r="R387" s="497"/>
      <c r="S387" s="497"/>
      <c r="T387" s="497"/>
      <c r="U387" s="497"/>
      <c r="V387" s="497"/>
      <c r="W387" s="497"/>
      <c r="X387" s="497"/>
      <c r="Y387" s="497"/>
      <c r="Z387" s="497"/>
      <c r="AA387" s="497"/>
      <c r="AB387" s="497"/>
      <c r="AC387" s="497"/>
      <c r="AD387" s="497"/>
      <c r="AL387" s="656"/>
      <c r="AM387" s="494"/>
      <c r="AN387" s="521"/>
      <c r="BS387" s="494"/>
      <c r="BT387" s="494"/>
      <c r="BU387" s="494"/>
      <c r="BV387" s="494"/>
      <c r="BW387" s="494"/>
      <c r="BX387" s="494"/>
      <c r="BY387" s="494"/>
      <c r="BZ387" s="494"/>
      <c r="CA387" s="494"/>
      <c r="CB387" s="494"/>
      <c r="CC387" s="494"/>
    </row>
    <row r="388" spans="1:81" s="474" customFormat="1" ht="12.75" customHeight="1">
      <c r="A388" s="460"/>
      <c r="B388" s="14"/>
      <c r="C388" s="1855" t="s">
        <v>299</v>
      </c>
      <c r="D388" s="1856"/>
      <c r="E388" s="615"/>
      <c r="F388" s="662" t="s">
        <v>2167</v>
      </c>
      <c r="G388" s="497"/>
      <c r="H388" s="497"/>
      <c r="I388" s="497"/>
      <c r="J388" s="497"/>
      <c r="K388" s="497"/>
      <c r="L388" s="497"/>
      <c r="M388" s="497"/>
      <c r="N388" s="497"/>
      <c r="O388" s="497"/>
      <c r="P388" s="497"/>
      <c r="Q388" s="497"/>
      <c r="R388" s="497"/>
      <c r="S388" s="497"/>
      <c r="T388" s="497"/>
      <c r="U388" s="497"/>
      <c r="V388" s="497"/>
      <c r="W388" s="497"/>
      <c r="X388" s="497"/>
      <c r="Y388" s="497"/>
      <c r="Z388" s="497"/>
      <c r="AA388" s="497"/>
      <c r="AB388" s="497"/>
      <c r="AC388" s="497"/>
      <c r="AD388" s="497"/>
      <c r="AF388" s="1844" t="s">
        <v>2161</v>
      </c>
      <c r="AG388" s="1844"/>
      <c r="AH388" s="1844"/>
      <c r="AI388" s="1844"/>
      <c r="AJ388" s="1844"/>
      <c r="AK388" s="1844"/>
      <c r="AL388" s="1857"/>
      <c r="AM388" s="494"/>
      <c r="AN388" s="521"/>
      <c r="BS388" s="494"/>
      <c r="BT388" s="494"/>
      <c r="BU388" s="494"/>
    </row>
    <row r="389" spans="1:81" s="474" customFormat="1" ht="12.75" customHeight="1">
      <c r="A389" s="460"/>
      <c r="B389" s="14"/>
      <c r="C389" s="663"/>
      <c r="E389" s="615"/>
      <c r="G389" s="497"/>
      <c r="H389" s="497"/>
      <c r="I389" s="497"/>
      <c r="J389" s="497"/>
      <c r="K389" s="497"/>
      <c r="L389" s="497"/>
      <c r="M389" s="497"/>
      <c r="N389" s="497"/>
      <c r="O389" s="497"/>
      <c r="P389" s="497"/>
      <c r="Q389" s="497"/>
      <c r="R389" s="497"/>
      <c r="S389" s="497"/>
      <c r="T389" s="497"/>
      <c r="U389" s="497"/>
      <c r="V389" s="497"/>
      <c r="W389" s="497"/>
      <c r="X389" s="497"/>
      <c r="Y389" s="497"/>
      <c r="Z389" s="497"/>
      <c r="AA389" s="497"/>
      <c r="AB389" s="497"/>
      <c r="AC389" s="497"/>
      <c r="AD389" s="497"/>
      <c r="AL389" s="656"/>
      <c r="AM389" s="494"/>
      <c r="AN389" s="521"/>
      <c r="BS389" s="494"/>
      <c r="BT389" s="494"/>
      <c r="BU389" s="494"/>
    </row>
    <row r="390" spans="1:81" s="474" customFormat="1" ht="12.75" customHeight="1">
      <c r="A390" s="460"/>
      <c r="B390" s="14"/>
      <c r="C390" s="664"/>
      <c r="D390" s="657"/>
      <c r="E390" s="658"/>
      <c r="F390" s="665" t="s">
        <v>2168</v>
      </c>
      <c r="G390" s="659"/>
      <c r="H390" s="659"/>
      <c r="I390" s="659"/>
      <c r="J390" s="659"/>
      <c r="K390" s="659"/>
      <c r="L390" s="659"/>
      <c r="M390" s="659"/>
      <c r="N390" s="659"/>
      <c r="O390" s="659"/>
      <c r="P390" s="659"/>
      <c r="Q390" s="659"/>
      <c r="R390" s="659"/>
      <c r="S390" s="659"/>
      <c r="T390" s="659"/>
      <c r="U390" s="659"/>
      <c r="V390" s="659"/>
      <c r="W390" s="659"/>
      <c r="X390" s="659"/>
      <c r="Y390" s="659"/>
      <c r="Z390" s="659"/>
      <c r="AA390" s="659"/>
      <c r="AB390" s="659"/>
      <c r="AC390" s="659"/>
      <c r="AD390" s="659"/>
      <c r="AE390" s="661"/>
      <c r="AF390" s="507"/>
      <c r="AG390" s="661"/>
      <c r="AH390" s="651"/>
      <c r="AI390" s="651"/>
      <c r="AJ390" s="651"/>
      <c r="AK390" s="651"/>
      <c r="AL390" s="666"/>
      <c r="AM390" s="494"/>
      <c r="AN390" s="521"/>
      <c r="BS390" s="494"/>
      <c r="BT390" s="494"/>
      <c r="BU390" s="494"/>
    </row>
    <row r="391" spans="1:81" s="474" customFormat="1" ht="12.75" customHeight="1">
      <c r="A391" s="460"/>
      <c r="B391" s="14"/>
      <c r="C391" s="14"/>
      <c r="D391" s="14"/>
      <c r="E391" s="615"/>
      <c r="F391" s="600"/>
      <c r="G391" s="600"/>
      <c r="H391" s="600"/>
      <c r="I391" s="600"/>
      <c r="J391" s="600"/>
      <c r="K391" s="600"/>
      <c r="L391" s="600"/>
      <c r="M391" s="600"/>
      <c r="N391" s="600"/>
      <c r="O391" s="600"/>
      <c r="P391" s="600"/>
      <c r="Q391" s="600"/>
      <c r="R391" s="600"/>
      <c r="S391" s="600"/>
      <c r="T391" s="600"/>
      <c r="U391" s="600"/>
      <c r="V391" s="600"/>
      <c r="W391" s="600"/>
      <c r="X391" s="600"/>
      <c r="Y391" s="600"/>
      <c r="Z391" s="600"/>
      <c r="AA391" s="600"/>
      <c r="AB391" s="600"/>
      <c r="AC391" s="600"/>
      <c r="AD391" s="600"/>
      <c r="AE391" s="460"/>
      <c r="AF391" s="463"/>
      <c r="AG391" s="460"/>
      <c r="AM391" s="494"/>
      <c r="AN391" s="521"/>
      <c r="BS391" s="494"/>
      <c r="BT391" s="494"/>
      <c r="BU391" s="494"/>
    </row>
    <row r="392" spans="1:81" s="474" customFormat="1" ht="12.75" customHeight="1">
      <c r="A392" s="460"/>
      <c r="B392" s="14"/>
      <c r="C392" s="637"/>
      <c r="D392" s="638"/>
      <c r="E392" s="639" t="s">
        <v>2169</v>
      </c>
      <c r="F392" s="1845" t="s">
        <v>2170</v>
      </c>
      <c r="G392" s="1845"/>
      <c r="H392" s="1845"/>
      <c r="I392" s="1845"/>
      <c r="J392" s="1845"/>
      <c r="K392" s="1845"/>
      <c r="L392" s="1845"/>
      <c r="M392" s="1845"/>
      <c r="N392" s="1845"/>
      <c r="O392" s="1845"/>
      <c r="P392" s="1845"/>
      <c r="Q392" s="1845"/>
      <c r="R392" s="1845"/>
      <c r="S392" s="1845"/>
      <c r="T392" s="1845"/>
      <c r="U392" s="1845"/>
      <c r="V392" s="1845"/>
      <c r="W392" s="1845"/>
      <c r="X392" s="1845"/>
      <c r="Y392" s="1845"/>
      <c r="Z392" s="1845"/>
      <c r="AA392" s="1845"/>
      <c r="AB392" s="1845"/>
      <c r="AC392" s="1845"/>
      <c r="AD392" s="1845"/>
      <c r="AE392" s="1845"/>
      <c r="AF392" s="1845"/>
      <c r="AG392" s="640"/>
      <c r="AH392" s="640"/>
      <c r="AI392" s="640"/>
      <c r="AJ392" s="640"/>
      <c r="AK392" s="640"/>
      <c r="AL392" s="641"/>
      <c r="AM392" s="494"/>
      <c r="AN392" s="521"/>
      <c r="BS392" s="494"/>
      <c r="BT392" s="494"/>
      <c r="BU392" s="494"/>
      <c r="BV392" s="494"/>
      <c r="BW392" s="494"/>
      <c r="BX392" s="494"/>
      <c r="BY392" s="494"/>
      <c r="BZ392" s="494"/>
      <c r="CA392" s="494"/>
      <c r="CB392" s="494"/>
      <c r="CC392" s="494"/>
    </row>
    <row r="393" spans="1:81" s="474" customFormat="1" ht="12.75" customHeight="1">
      <c r="A393" s="460"/>
      <c r="B393" s="14"/>
      <c r="C393" s="655"/>
      <c r="D393" s="14"/>
      <c r="E393" s="615"/>
      <c r="F393" s="1846"/>
      <c r="G393" s="1846"/>
      <c r="H393" s="1846"/>
      <c r="I393" s="1846"/>
      <c r="J393" s="1846"/>
      <c r="K393" s="1846"/>
      <c r="L393" s="1846"/>
      <c r="M393" s="1846"/>
      <c r="N393" s="1846"/>
      <c r="O393" s="1846"/>
      <c r="P393" s="1846"/>
      <c r="Q393" s="1846"/>
      <c r="R393" s="1846"/>
      <c r="S393" s="1846"/>
      <c r="T393" s="1846"/>
      <c r="U393" s="1846"/>
      <c r="V393" s="1846"/>
      <c r="W393" s="1846"/>
      <c r="X393" s="1846"/>
      <c r="Y393" s="1846"/>
      <c r="Z393" s="1846"/>
      <c r="AA393" s="1846"/>
      <c r="AB393" s="1846"/>
      <c r="AC393" s="1846"/>
      <c r="AD393" s="1846"/>
      <c r="AE393" s="1846"/>
      <c r="AF393" s="1846"/>
      <c r="AG393" s="463"/>
      <c r="AH393" s="463"/>
      <c r="AI393" s="463"/>
      <c r="AJ393" s="463"/>
      <c r="AK393" s="463"/>
      <c r="AL393" s="644"/>
      <c r="AM393" s="494"/>
      <c r="AN393" s="521"/>
      <c r="BS393" s="494"/>
      <c r="BT393" s="494"/>
      <c r="BU393" s="494"/>
      <c r="BV393" s="494"/>
      <c r="BW393" s="494"/>
      <c r="BX393" s="494"/>
      <c r="BY393" s="494"/>
      <c r="BZ393" s="494"/>
      <c r="CA393" s="494"/>
      <c r="CB393" s="494"/>
      <c r="CC393" s="494"/>
    </row>
    <row r="394" spans="1:81">
      <c r="A394" s="460"/>
      <c r="C394" s="655"/>
      <c r="E394" s="615"/>
      <c r="F394" s="1846"/>
      <c r="G394" s="1846"/>
      <c r="H394" s="1846"/>
      <c r="I394" s="1846"/>
      <c r="J394" s="1846"/>
      <c r="K394" s="1846"/>
      <c r="L394" s="1846"/>
      <c r="M394" s="1846"/>
      <c r="N394" s="1846"/>
      <c r="O394" s="1846"/>
      <c r="P394" s="1846"/>
      <c r="Q394" s="1846"/>
      <c r="R394" s="1846"/>
      <c r="S394" s="1846"/>
      <c r="T394" s="1846"/>
      <c r="U394" s="1846"/>
      <c r="V394" s="1846"/>
      <c r="W394" s="1846"/>
      <c r="X394" s="1846"/>
      <c r="Y394" s="1846"/>
      <c r="Z394" s="1846"/>
      <c r="AA394" s="1846"/>
      <c r="AB394" s="1846"/>
      <c r="AC394" s="1846"/>
      <c r="AD394" s="1846"/>
      <c r="AE394" s="1846"/>
      <c r="AF394" s="1846"/>
      <c r="AG394" s="463"/>
      <c r="AH394" s="463"/>
      <c r="AI394" s="463"/>
      <c r="AJ394" s="463"/>
      <c r="AK394" s="463"/>
      <c r="AL394" s="644"/>
      <c r="AM394" s="494"/>
      <c r="BS394" s="494"/>
      <c r="BT394" s="494"/>
      <c r="BU394" s="494"/>
      <c r="BV394" s="494"/>
      <c r="BW394" s="494"/>
      <c r="BX394" s="494"/>
      <c r="BY394" s="494"/>
      <c r="BZ394" s="494"/>
      <c r="CA394" s="494"/>
      <c r="CB394" s="494"/>
      <c r="CC394" s="494"/>
    </row>
    <row r="395" spans="1:81" s="474" customFormat="1" ht="12.75" customHeight="1">
      <c r="A395" s="460"/>
      <c r="B395" s="14"/>
      <c r="C395" s="655"/>
      <c r="D395" s="14"/>
      <c r="E395" s="615"/>
      <c r="F395" s="1846"/>
      <c r="G395" s="1846"/>
      <c r="H395" s="1846"/>
      <c r="I395" s="1846"/>
      <c r="J395" s="1846"/>
      <c r="K395" s="1846"/>
      <c r="L395" s="1846"/>
      <c r="M395" s="1846"/>
      <c r="N395" s="1846"/>
      <c r="O395" s="1846"/>
      <c r="P395" s="1846"/>
      <c r="Q395" s="1846"/>
      <c r="R395" s="1846"/>
      <c r="S395" s="1846"/>
      <c r="T395" s="1846"/>
      <c r="U395" s="1846"/>
      <c r="V395" s="1846"/>
      <c r="W395" s="1846"/>
      <c r="X395" s="1846"/>
      <c r="Y395" s="1846"/>
      <c r="Z395" s="1846"/>
      <c r="AA395" s="1846"/>
      <c r="AB395" s="1846"/>
      <c r="AC395" s="1846"/>
      <c r="AD395" s="1846"/>
      <c r="AE395" s="1846"/>
      <c r="AF395" s="1846"/>
      <c r="AG395" s="463"/>
      <c r="AH395" s="463"/>
      <c r="AI395" s="463"/>
      <c r="AJ395" s="463"/>
      <c r="AK395" s="463"/>
      <c r="AL395" s="644"/>
      <c r="AM395" s="494"/>
      <c r="AN395" s="521"/>
      <c r="BS395" s="494"/>
      <c r="BT395" s="494"/>
      <c r="BY395" s="494"/>
      <c r="BZ395" s="494"/>
      <c r="CA395" s="494"/>
      <c r="CB395" s="494"/>
      <c r="CC395" s="494"/>
    </row>
    <row r="396" spans="1:81" s="474" customFormat="1" ht="12.75" customHeight="1">
      <c r="A396" s="460"/>
      <c r="B396" s="14"/>
      <c r="C396" s="1855" t="s">
        <v>299</v>
      </c>
      <c r="D396" s="1856"/>
      <c r="E396" s="615"/>
      <c r="F396" s="645" t="s">
        <v>2171</v>
      </c>
      <c r="G396" s="527"/>
      <c r="H396" s="527"/>
      <c r="I396" s="527"/>
      <c r="J396" s="527"/>
      <c r="K396" s="527"/>
      <c r="L396" s="527"/>
      <c r="M396" s="527"/>
      <c r="N396" s="527"/>
      <c r="O396" s="527"/>
      <c r="P396" s="527"/>
      <c r="Q396" s="527"/>
      <c r="R396" s="527"/>
      <c r="S396" s="527"/>
      <c r="T396" s="527"/>
      <c r="U396" s="527"/>
      <c r="V396" s="527"/>
      <c r="W396" s="527"/>
      <c r="X396" s="527"/>
      <c r="Y396" s="527"/>
      <c r="Z396" s="527"/>
      <c r="AA396" s="527"/>
      <c r="AB396" s="527"/>
      <c r="AC396" s="527"/>
      <c r="AD396" s="527"/>
      <c r="AF396" s="1844" t="s">
        <v>2161</v>
      </c>
      <c r="AG396" s="1844"/>
      <c r="AH396" s="1844"/>
      <c r="AI396" s="1844"/>
      <c r="AJ396" s="1844"/>
      <c r="AK396" s="1844"/>
      <c r="AL396" s="1857"/>
      <c r="AM396" s="494"/>
      <c r="AN396" s="521"/>
      <c r="BS396" s="494"/>
      <c r="BT396" s="494"/>
      <c r="BY396" s="494"/>
      <c r="BZ396" s="494"/>
      <c r="CA396" s="494"/>
      <c r="CB396" s="494"/>
      <c r="CC396" s="494"/>
    </row>
    <row r="397" spans="1:81" s="474" customFormat="1" ht="12.75" customHeight="1">
      <c r="A397" s="460"/>
      <c r="B397" s="14"/>
      <c r="C397" s="655"/>
      <c r="D397" s="14"/>
      <c r="E397" s="615"/>
      <c r="G397" s="527"/>
      <c r="H397" s="527"/>
      <c r="I397" s="527"/>
      <c r="J397" s="527"/>
      <c r="K397" s="527"/>
      <c r="L397" s="527"/>
      <c r="M397" s="527"/>
      <c r="N397" s="527"/>
      <c r="O397" s="527"/>
      <c r="P397" s="527"/>
      <c r="Q397" s="527"/>
      <c r="R397" s="527"/>
      <c r="S397" s="527"/>
      <c r="T397" s="527"/>
      <c r="U397" s="527"/>
      <c r="V397" s="527"/>
      <c r="W397" s="527"/>
      <c r="X397" s="527"/>
      <c r="Y397" s="527"/>
      <c r="Z397" s="527"/>
      <c r="AA397" s="527"/>
      <c r="AB397" s="527"/>
      <c r="AC397" s="527"/>
      <c r="AD397" s="527"/>
      <c r="AL397" s="656"/>
      <c r="AM397" s="494"/>
      <c r="AN397" s="521"/>
      <c r="BS397" s="494"/>
      <c r="BT397" s="494"/>
      <c r="BY397" s="494"/>
      <c r="BZ397" s="494"/>
      <c r="CA397" s="494"/>
      <c r="CB397" s="494"/>
      <c r="CC397" s="494"/>
    </row>
    <row r="398" spans="1:81" s="474" customFormat="1" ht="12.75" customHeight="1">
      <c r="A398" s="460"/>
      <c r="B398" s="14"/>
      <c r="C398" s="1855" t="s">
        <v>299</v>
      </c>
      <c r="D398" s="1856"/>
      <c r="E398" s="643"/>
      <c r="F398" s="645" t="s">
        <v>2172</v>
      </c>
      <c r="G398" s="527"/>
      <c r="H398" s="527"/>
      <c r="I398" s="527"/>
      <c r="J398" s="527"/>
      <c r="K398" s="527"/>
      <c r="L398" s="527"/>
      <c r="M398" s="527"/>
      <c r="N398" s="527"/>
      <c r="O398" s="527"/>
      <c r="P398" s="527"/>
      <c r="Q398" s="527"/>
      <c r="R398" s="527"/>
      <c r="S398" s="527"/>
      <c r="T398" s="527"/>
      <c r="U398" s="527"/>
      <c r="V398" s="527"/>
      <c r="W398" s="527"/>
      <c r="X398" s="527"/>
      <c r="Y398" s="527"/>
      <c r="Z398" s="527"/>
      <c r="AA398" s="527"/>
      <c r="AB398" s="527"/>
      <c r="AC398" s="527"/>
      <c r="AD398" s="527"/>
      <c r="AF398" s="1844" t="s">
        <v>2173</v>
      </c>
      <c r="AG398" s="1844"/>
      <c r="AH398" s="1844"/>
      <c r="AI398" s="1844"/>
      <c r="AJ398" s="1844"/>
      <c r="AK398" s="1844"/>
      <c r="AL398" s="1857"/>
      <c r="AM398" s="494"/>
      <c r="AN398" s="521"/>
      <c r="BS398" s="494"/>
      <c r="BT398" s="494"/>
      <c r="BY398" s="494"/>
      <c r="BZ398" s="494"/>
      <c r="CA398" s="494"/>
      <c r="CB398" s="494"/>
      <c r="CC398" s="494"/>
    </row>
    <row r="399" spans="1:81" s="474" customFormat="1" ht="12.75" customHeight="1">
      <c r="A399" s="460"/>
      <c r="B399" s="14"/>
      <c r="C399" s="667"/>
      <c r="D399" s="651"/>
      <c r="E399" s="648"/>
      <c r="F399" s="651"/>
      <c r="G399" s="650"/>
      <c r="H399" s="650"/>
      <c r="I399" s="650"/>
      <c r="J399" s="650"/>
      <c r="K399" s="650"/>
      <c r="L399" s="650"/>
      <c r="M399" s="650"/>
      <c r="N399" s="650"/>
      <c r="O399" s="650"/>
      <c r="P399" s="650"/>
      <c r="Q399" s="650"/>
      <c r="R399" s="650"/>
      <c r="S399" s="650"/>
      <c r="T399" s="650"/>
      <c r="U399" s="650"/>
      <c r="V399" s="650"/>
      <c r="W399" s="650"/>
      <c r="X399" s="650"/>
      <c r="Y399" s="650"/>
      <c r="Z399" s="650"/>
      <c r="AA399" s="650"/>
      <c r="AB399" s="650"/>
      <c r="AC399" s="650"/>
      <c r="AD399" s="650"/>
      <c r="AE399" s="651"/>
      <c r="AF399" s="651"/>
      <c r="AG399" s="651"/>
      <c r="AH399" s="651"/>
      <c r="AI399" s="651"/>
      <c r="AJ399" s="651"/>
      <c r="AK399" s="651"/>
      <c r="AL399" s="666"/>
      <c r="AM399" s="494"/>
      <c r="AN399" s="521"/>
      <c r="BS399" s="494"/>
      <c r="BT399" s="494"/>
      <c r="BY399" s="494"/>
      <c r="BZ399" s="494"/>
      <c r="CA399" s="494"/>
      <c r="CB399" s="494"/>
      <c r="CC399" s="494"/>
    </row>
    <row r="400" spans="1:81" s="474" customFormat="1" ht="12.75" customHeight="1">
      <c r="A400" s="460"/>
      <c r="B400" s="14"/>
      <c r="C400" s="14"/>
      <c r="D400" s="14"/>
      <c r="E400" s="615"/>
      <c r="G400" s="527"/>
      <c r="H400" s="527"/>
      <c r="I400" s="527"/>
      <c r="J400" s="527"/>
      <c r="K400" s="527"/>
      <c r="L400" s="527"/>
      <c r="M400" s="527"/>
      <c r="N400" s="527"/>
      <c r="O400" s="527"/>
      <c r="P400" s="527"/>
      <c r="Q400" s="527"/>
      <c r="R400" s="527"/>
      <c r="S400" s="527"/>
      <c r="T400" s="527"/>
      <c r="U400" s="527"/>
      <c r="V400" s="527"/>
      <c r="W400" s="527"/>
      <c r="X400" s="527"/>
      <c r="Y400" s="527"/>
      <c r="Z400" s="527"/>
      <c r="AA400" s="527"/>
      <c r="AB400" s="527"/>
      <c r="AC400" s="527"/>
      <c r="AD400" s="527"/>
      <c r="AE400" s="460"/>
      <c r="AF400" s="463"/>
      <c r="AG400" s="460"/>
      <c r="AM400" s="494"/>
      <c r="AN400" s="521"/>
      <c r="BS400" s="494"/>
      <c r="BT400" s="494"/>
      <c r="BY400" s="494"/>
      <c r="BZ400" s="494"/>
      <c r="CA400" s="494"/>
      <c r="CB400" s="494"/>
      <c r="CC400" s="494"/>
    </row>
    <row r="401" spans="1:81" s="474" customFormat="1" ht="12.75" customHeight="1">
      <c r="A401" s="460"/>
      <c r="B401" s="14"/>
      <c r="C401" s="1855" t="s">
        <v>299</v>
      </c>
      <c r="D401" s="1856"/>
      <c r="E401" s="639" t="s">
        <v>2174</v>
      </c>
      <c r="F401" s="1845" t="s">
        <v>2175</v>
      </c>
      <c r="G401" s="1845"/>
      <c r="H401" s="1845"/>
      <c r="I401" s="1845"/>
      <c r="J401" s="1845"/>
      <c r="K401" s="1845"/>
      <c r="L401" s="1845"/>
      <c r="M401" s="1845"/>
      <c r="N401" s="1845"/>
      <c r="O401" s="1845"/>
      <c r="P401" s="1845"/>
      <c r="Q401" s="1845"/>
      <c r="R401" s="1845"/>
      <c r="S401" s="1845"/>
      <c r="T401" s="1845"/>
      <c r="U401" s="1845"/>
      <c r="V401" s="1845"/>
      <c r="W401" s="1845"/>
      <c r="X401" s="1845"/>
      <c r="Y401" s="1845"/>
      <c r="Z401" s="1845"/>
      <c r="AA401" s="1845"/>
      <c r="AB401" s="1845"/>
      <c r="AC401" s="1845"/>
      <c r="AD401" s="1845"/>
      <c r="AE401" s="1845"/>
      <c r="AF401" s="640"/>
      <c r="AG401" s="668"/>
      <c r="AH401" s="638"/>
      <c r="AI401" s="638"/>
      <c r="AJ401" s="638"/>
      <c r="AK401" s="638"/>
      <c r="AL401" s="669"/>
      <c r="AM401" s="494"/>
      <c r="AN401" s="521"/>
      <c r="BS401" s="494"/>
      <c r="BT401" s="494"/>
      <c r="BY401" s="494"/>
      <c r="BZ401" s="494"/>
      <c r="CA401" s="494"/>
      <c r="CB401" s="494"/>
      <c r="CC401" s="494"/>
    </row>
    <row r="402" spans="1:81" s="474" customFormat="1" ht="12.75" customHeight="1">
      <c r="A402" s="460"/>
      <c r="B402" s="14"/>
      <c r="C402" s="663"/>
      <c r="F402" s="1846"/>
      <c r="G402" s="1846"/>
      <c r="H402" s="1846"/>
      <c r="I402" s="1846"/>
      <c r="J402" s="1846"/>
      <c r="K402" s="1846"/>
      <c r="L402" s="1846"/>
      <c r="M402" s="1846"/>
      <c r="N402" s="1846"/>
      <c r="O402" s="1846"/>
      <c r="P402" s="1846"/>
      <c r="Q402" s="1846"/>
      <c r="R402" s="1846"/>
      <c r="S402" s="1846"/>
      <c r="T402" s="1846"/>
      <c r="U402" s="1846"/>
      <c r="V402" s="1846"/>
      <c r="W402" s="1846"/>
      <c r="X402" s="1846"/>
      <c r="Y402" s="1846"/>
      <c r="Z402" s="1846"/>
      <c r="AA402" s="1846"/>
      <c r="AB402" s="1846"/>
      <c r="AC402" s="1846"/>
      <c r="AD402" s="1846"/>
      <c r="AE402" s="1846"/>
      <c r="AF402" s="1914" t="s">
        <v>2161</v>
      </c>
      <c r="AG402" s="1914"/>
      <c r="AH402" s="1914"/>
      <c r="AI402" s="1914"/>
      <c r="AJ402" s="1914"/>
      <c r="AK402" s="1914"/>
      <c r="AL402" s="1944"/>
      <c r="AM402" s="494"/>
      <c r="AN402" s="521"/>
      <c r="BS402" s="494"/>
      <c r="BT402" s="494"/>
      <c r="BY402" s="494"/>
      <c r="BZ402" s="494"/>
      <c r="CA402" s="494"/>
      <c r="CB402" s="494"/>
      <c r="CC402" s="494"/>
    </row>
    <row r="403" spans="1:81" s="474" customFormat="1" ht="12.75" customHeight="1">
      <c r="A403" s="460"/>
      <c r="B403" s="14"/>
      <c r="C403" s="655"/>
      <c r="D403" s="14"/>
      <c r="E403" s="615"/>
      <c r="F403" s="1846"/>
      <c r="G403" s="1846"/>
      <c r="H403" s="1846"/>
      <c r="I403" s="1846"/>
      <c r="J403" s="1846"/>
      <c r="K403" s="1846"/>
      <c r="L403" s="1846"/>
      <c r="M403" s="1846"/>
      <c r="N403" s="1846"/>
      <c r="O403" s="1846"/>
      <c r="P403" s="1846"/>
      <c r="Q403" s="1846"/>
      <c r="R403" s="1846"/>
      <c r="S403" s="1846"/>
      <c r="T403" s="1846"/>
      <c r="U403" s="1846"/>
      <c r="V403" s="1846"/>
      <c r="W403" s="1846"/>
      <c r="X403" s="1846"/>
      <c r="Y403" s="1846"/>
      <c r="Z403" s="1846"/>
      <c r="AA403" s="1846"/>
      <c r="AB403" s="1846"/>
      <c r="AC403" s="1846"/>
      <c r="AD403" s="1846"/>
      <c r="AE403" s="1846"/>
      <c r="AL403" s="656"/>
      <c r="AM403" s="494"/>
      <c r="AN403" s="521"/>
      <c r="BS403" s="494"/>
      <c r="BT403" s="494"/>
      <c r="BU403" s="494"/>
      <c r="BV403" s="494"/>
      <c r="BW403" s="494"/>
      <c r="BX403" s="494"/>
      <c r="BY403" s="494"/>
      <c r="BZ403" s="494"/>
      <c r="CA403" s="494"/>
      <c r="CB403" s="494"/>
      <c r="CC403" s="494"/>
    </row>
    <row r="404" spans="1:81" s="474" customFormat="1" ht="12.75" customHeight="1">
      <c r="A404" s="460"/>
      <c r="B404" s="14"/>
      <c r="C404" s="664"/>
      <c r="D404" s="657"/>
      <c r="E404" s="658"/>
      <c r="F404" s="1928"/>
      <c r="G404" s="1928"/>
      <c r="H404" s="1928"/>
      <c r="I404" s="1928"/>
      <c r="J404" s="1928"/>
      <c r="K404" s="1928"/>
      <c r="L404" s="1928"/>
      <c r="M404" s="1928"/>
      <c r="N404" s="1928"/>
      <c r="O404" s="1928"/>
      <c r="P404" s="1928"/>
      <c r="Q404" s="1928"/>
      <c r="R404" s="1928"/>
      <c r="S404" s="1928"/>
      <c r="T404" s="1928"/>
      <c r="U404" s="1928"/>
      <c r="V404" s="1928"/>
      <c r="W404" s="1928"/>
      <c r="X404" s="1928"/>
      <c r="Y404" s="1928"/>
      <c r="Z404" s="1928"/>
      <c r="AA404" s="1928"/>
      <c r="AB404" s="1928"/>
      <c r="AC404" s="1928"/>
      <c r="AD404" s="1928"/>
      <c r="AE404" s="1928"/>
      <c r="AF404" s="507"/>
      <c r="AG404" s="661"/>
      <c r="AH404" s="651"/>
      <c r="AI404" s="651"/>
      <c r="AJ404" s="651"/>
      <c r="AK404" s="651"/>
      <c r="AL404" s="666"/>
      <c r="AM404" s="494"/>
      <c r="AN404" s="521"/>
    </row>
    <row r="405" spans="1:81">
      <c r="A405" s="460"/>
      <c r="E405" s="615"/>
      <c r="F405" s="527"/>
      <c r="G405" s="527"/>
      <c r="H405" s="527"/>
      <c r="I405" s="527"/>
      <c r="J405" s="527"/>
      <c r="K405" s="527"/>
      <c r="L405" s="527"/>
      <c r="M405" s="527"/>
      <c r="N405" s="527"/>
      <c r="O405" s="527"/>
      <c r="P405" s="527"/>
      <c r="Q405" s="527"/>
      <c r="R405" s="527"/>
      <c r="S405" s="527"/>
      <c r="T405" s="527"/>
      <c r="U405" s="527"/>
      <c r="V405" s="527"/>
      <c r="W405" s="527"/>
      <c r="X405" s="527"/>
      <c r="Y405" s="527"/>
      <c r="Z405" s="527"/>
      <c r="AA405" s="527"/>
      <c r="AB405" s="527"/>
      <c r="AC405" s="527"/>
      <c r="AD405" s="527"/>
      <c r="AE405" s="460"/>
      <c r="AF405" s="463"/>
      <c r="AG405" s="460"/>
      <c r="AH405" s="474"/>
      <c r="AI405" s="474"/>
      <c r="AJ405" s="474"/>
      <c r="AK405" s="474"/>
      <c r="AL405" s="474"/>
      <c r="AM405" s="494"/>
    </row>
    <row r="406" spans="1:81" ht="12.75" customHeight="1">
      <c r="A406" s="460"/>
      <c r="C406" s="670"/>
      <c r="D406" s="671"/>
      <c r="E406" s="639" t="s">
        <v>2176</v>
      </c>
      <c r="F406" s="1845" t="s">
        <v>2177</v>
      </c>
      <c r="G406" s="1845"/>
      <c r="H406" s="1845"/>
      <c r="I406" s="1845"/>
      <c r="J406" s="1845"/>
      <c r="K406" s="1845"/>
      <c r="L406" s="1845"/>
      <c r="M406" s="1845"/>
      <c r="N406" s="1845"/>
      <c r="O406" s="1845"/>
      <c r="P406" s="1845"/>
      <c r="Q406" s="1845"/>
      <c r="R406" s="1845"/>
      <c r="S406" s="1845"/>
      <c r="T406" s="1845"/>
      <c r="U406" s="1845"/>
      <c r="V406" s="1845"/>
      <c r="W406" s="1845"/>
      <c r="X406" s="1845"/>
      <c r="Y406" s="1845"/>
      <c r="Z406" s="1845"/>
      <c r="AA406" s="1845"/>
      <c r="AB406" s="1845"/>
      <c r="AC406" s="1845"/>
      <c r="AD406" s="1845"/>
      <c r="AE406" s="1845"/>
      <c r="AF406" s="671"/>
      <c r="AG406" s="671"/>
      <c r="AH406" s="671"/>
      <c r="AI406" s="671"/>
      <c r="AJ406" s="671"/>
      <c r="AK406" s="671"/>
      <c r="AL406" s="672"/>
      <c r="AM406" s="494"/>
    </row>
    <row r="407" spans="1:81">
      <c r="A407" s="460"/>
      <c r="C407" s="655"/>
      <c r="E407" s="615"/>
      <c r="F407" s="1846"/>
      <c r="G407" s="1846"/>
      <c r="H407" s="1846"/>
      <c r="I407" s="1846"/>
      <c r="J407" s="1846"/>
      <c r="K407" s="1846"/>
      <c r="L407" s="1846"/>
      <c r="M407" s="1846"/>
      <c r="N407" s="1846"/>
      <c r="O407" s="1846"/>
      <c r="P407" s="1846"/>
      <c r="Q407" s="1846"/>
      <c r="R407" s="1846"/>
      <c r="S407" s="1846"/>
      <c r="T407" s="1846"/>
      <c r="U407" s="1846"/>
      <c r="V407" s="1846"/>
      <c r="W407" s="1846"/>
      <c r="X407" s="1846"/>
      <c r="Y407" s="1846"/>
      <c r="Z407" s="1846"/>
      <c r="AA407" s="1846"/>
      <c r="AB407" s="1846"/>
      <c r="AC407" s="1846"/>
      <c r="AD407" s="1846"/>
      <c r="AE407" s="1846"/>
      <c r="AF407" s="463"/>
      <c r="AG407" s="460"/>
      <c r="AH407" s="474"/>
      <c r="AI407" s="474"/>
      <c r="AJ407" s="474"/>
      <c r="AK407" s="474"/>
      <c r="AL407" s="656"/>
      <c r="AM407" s="494"/>
    </row>
    <row r="408" spans="1:81" s="474" customFormat="1" ht="12.75" customHeight="1">
      <c r="A408" s="460"/>
      <c r="B408" s="14"/>
      <c r="C408" s="655"/>
      <c r="D408" s="14"/>
      <c r="E408" s="615"/>
      <c r="F408" s="1846"/>
      <c r="G408" s="1846"/>
      <c r="H408" s="1846"/>
      <c r="I408" s="1846"/>
      <c r="J408" s="1846"/>
      <c r="K408" s="1846"/>
      <c r="L408" s="1846"/>
      <c r="M408" s="1846"/>
      <c r="N408" s="1846"/>
      <c r="O408" s="1846"/>
      <c r="P408" s="1846"/>
      <c r="Q408" s="1846"/>
      <c r="R408" s="1846"/>
      <c r="S408" s="1846"/>
      <c r="T408" s="1846"/>
      <c r="U408" s="1846"/>
      <c r="V408" s="1846"/>
      <c r="W408" s="1846"/>
      <c r="X408" s="1846"/>
      <c r="Y408" s="1846"/>
      <c r="Z408" s="1846"/>
      <c r="AA408" s="1846"/>
      <c r="AB408" s="1846"/>
      <c r="AC408" s="1846"/>
      <c r="AD408" s="1846"/>
      <c r="AE408" s="1846"/>
      <c r="AL408" s="656"/>
      <c r="AM408" s="494"/>
      <c r="AN408" s="521"/>
    </row>
    <row r="409" spans="1:81" s="474" customFormat="1" ht="12.75" customHeight="1">
      <c r="A409" s="460"/>
      <c r="B409" s="14"/>
      <c r="C409" s="663"/>
      <c r="F409" s="1846"/>
      <c r="G409" s="1846"/>
      <c r="H409" s="1846"/>
      <c r="I409" s="1846"/>
      <c r="J409" s="1846"/>
      <c r="K409" s="1846"/>
      <c r="L409" s="1846"/>
      <c r="M409" s="1846"/>
      <c r="N409" s="1846"/>
      <c r="O409" s="1846"/>
      <c r="P409" s="1846"/>
      <c r="Q409" s="1846"/>
      <c r="R409" s="1846"/>
      <c r="S409" s="1846"/>
      <c r="T409" s="1846"/>
      <c r="U409" s="1846"/>
      <c r="V409" s="1846"/>
      <c r="W409" s="1846"/>
      <c r="X409" s="1846"/>
      <c r="Y409" s="1846"/>
      <c r="Z409" s="1846"/>
      <c r="AA409" s="1846"/>
      <c r="AB409" s="1846"/>
      <c r="AC409" s="1846"/>
      <c r="AD409" s="1846"/>
      <c r="AE409" s="1846"/>
      <c r="AL409" s="656"/>
      <c r="AM409" s="494"/>
      <c r="AN409" s="521"/>
    </row>
    <row r="410" spans="1:81" s="474" customFormat="1" ht="12.75" customHeight="1">
      <c r="A410" s="460"/>
      <c r="B410" s="14"/>
      <c r="C410" s="1855" t="s">
        <v>299</v>
      </c>
      <c r="D410" s="1856"/>
      <c r="E410" s="615"/>
      <c r="F410" s="645" t="s">
        <v>2178</v>
      </c>
      <c r="G410" s="527"/>
      <c r="H410" s="527"/>
      <c r="I410" s="527"/>
      <c r="J410" s="527"/>
      <c r="K410" s="527"/>
      <c r="L410" s="527"/>
      <c r="M410" s="527"/>
      <c r="N410" s="527"/>
      <c r="O410" s="527"/>
      <c r="P410" s="527"/>
      <c r="Q410" s="527"/>
      <c r="R410" s="527"/>
      <c r="S410" s="527"/>
      <c r="T410" s="527"/>
      <c r="U410" s="527"/>
      <c r="V410" s="527"/>
      <c r="W410" s="527"/>
      <c r="X410" s="527"/>
      <c r="Y410" s="527"/>
      <c r="Z410" s="527"/>
      <c r="AA410" s="527"/>
      <c r="AB410" s="527"/>
      <c r="AC410" s="527"/>
      <c r="AD410" s="527"/>
      <c r="AF410" s="1914" t="s">
        <v>2161</v>
      </c>
      <c r="AG410" s="1914"/>
      <c r="AH410" s="1914"/>
      <c r="AI410" s="1914"/>
      <c r="AJ410" s="1914"/>
      <c r="AK410" s="1914"/>
      <c r="AL410" s="1944"/>
      <c r="AM410" s="494"/>
      <c r="AN410" s="521"/>
    </row>
    <row r="411" spans="1:81" s="474" customFormat="1" ht="12.75" customHeight="1">
      <c r="A411" s="460"/>
      <c r="B411" s="14"/>
      <c r="C411" s="663"/>
      <c r="AL411" s="656"/>
      <c r="AM411" s="494"/>
      <c r="AN411" s="521"/>
    </row>
    <row r="412" spans="1:81" s="474" customFormat="1" ht="12.75" customHeight="1">
      <c r="A412" s="460"/>
      <c r="B412" s="14"/>
      <c r="C412" s="1855" t="s">
        <v>299</v>
      </c>
      <c r="D412" s="1856"/>
      <c r="E412" s="643"/>
      <c r="F412" s="645" t="s">
        <v>2179</v>
      </c>
      <c r="G412" s="527"/>
      <c r="H412" s="527"/>
      <c r="I412" s="527"/>
      <c r="J412" s="527"/>
      <c r="K412" s="527"/>
      <c r="L412" s="527"/>
      <c r="M412" s="527"/>
      <c r="N412" s="527"/>
      <c r="O412" s="527"/>
      <c r="P412" s="527"/>
      <c r="Q412" s="527"/>
      <c r="R412" s="527"/>
      <c r="S412" s="527"/>
      <c r="T412" s="527"/>
      <c r="U412" s="527"/>
      <c r="V412" s="527"/>
      <c r="W412" s="527"/>
      <c r="X412" s="527"/>
      <c r="Y412" s="527"/>
      <c r="Z412" s="527"/>
      <c r="AA412" s="527"/>
      <c r="AB412" s="527"/>
      <c r="AC412" s="527"/>
      <c r="AD412" s="527"/>
      <c r="AF412" s="1914" t="s">
        <v>2173</v>
      </c>
      <c r="AG412" s="1914"/>
      <c r="AH412" s="1914"/>
      <c r="AI412" s="1914"/>
      <c r="AJ412" s="1914"/>
      <c r="AK412" s="1914"/>
      <c r="AL412" s="1944"/>
      <c r="AM412" s="494"/>
      <c r="AN412" s="521"/>
      <c r="AO412" s="520"/>
      <c r="AP412" s="520"/>
      <c r="BC412" s="14"/>
    </row>
    <row r="413" spans="1:81" s="474" customFormat="1" ht="12.75" customHeight="1">
      <c r="A413" s="460"/>
      <c r="B413" s="14"/>
      <c r="C413" s="657"/>
      <c r="D413" s="657"/>
      <c r="E413" s="658"/>
      <c r="F413" s="649"/>
      <c r="G413" s="650"/>
      <c r="H413" s="650"/>
      <c r="I413" s="650"/>
      <c r="J413" s="650"/>
      <c r="K413" s="650"/>
      <c r="L413" s="650"/>
      <c r="M413" s="650"/>
      <c r="N413" s="650"/>
      <c r="O413" s="650"/>
      <c r="P413" s="650"/>
      <c r="Q413" s="650"/>
      <c r="R413" s="650"/>
      <c r="S413" s="650"/>
      <c r="T413" s="650"/>
      <c r="U413" s="650"/>
      <c r="V413" s="650"/>
      <c r="W413" s="650"/>
      <c r="X413" s="650"/>
      <c r="Y413" s="650"/>
      <c r="Z413" s="650"/>
      <c r="AA413" s="650"/>
      <c r="AB413" s="650"/>
      <c r="AC413" s="650"/>
      <c r="AD413" s="650"/>
      <c r="AE413" s="661"/>
      <c r="AF413" s="507"/>
      <c r="AG413" s="661"/>
      <c r="AH413" s="651"/>
      <c r="AI413" s="651"/>
      <c r="AJ413" s="651"/>
      <c r="AK413" s="651"/>
      <c r="AL413" s="666"/>
      <c r="AM413" s="494"/>
      <c r="AN413" s="521"/>
    </row>
    <row r="414" spans="1:81" s="474" customFormat="1" ht="12.75" customHeight="1">
      <c r="A414" s="460"/>
      <c r="B414" s="14"/>
      <c r="C414" s="14"/>
      <c r="D414" s="14"/>
      <c r="E414" s="615"/>
      <c r="F414" s="645"/>
      <c r="G414" s="527"/>
      <c r="H414" s="527"/>
      <c r="I414" s="527"/>
      <c r="J414" s="527"/>
      <c r="K414" s="527"/>
      <c r="L414" s="527"/>
      <c r="M414" s="527"/>
      <c r="N414" s="527"/>
      <c r="O414" s="527"/>
      <c r="P414" s="527"/>
      <c r="Q414" s="527"/>
      <c r="R414" s="527"/>
      <c r="S414" s="527"/>
      <c r="T414" s="527"/>
      <c r="U414" s="527"/>
      <c r="V414" s="527"/>
      <c r="W414" s="527"/>
      <c r="X414" s="527"/>
      <c r="Y414" s="527"/>
      <c r="Z414" s="527"/>
      <c r="AA414" s="527"/>
      <c r="AB414" s="527"/>
      <c r="AC414" s="527"/>
      <c r="AD414" s="527"/>
      <c r="AE414" s="460"/>
      <c r="AF414" s="463"/>
      <c r="AG414" s="460"/>
      <c r="AM414" s="494"/>
      <c r="AN414" s="521"/>
    </row>
    <row r="415" spans="1:81" s="474" customFormat="1" ht="12.75" customHeight="1">
      <c r="A415" s="460"/>
      <c r="B415" s="14"/>
      <c r="C415" s="636" t="s">
        <v>2180</v>
      </c>
      <c r="D415" s="14"/>
      <c r="E415" s="615"/>
      <c r="F415" s="527"/>
      <c r="G415" s="527"/>
      <c r="H415" s="527"/>
      <c r="I415" s="527"/>
      <c r="J415" s="527"/>
      <c r="K415" s="527"/>
      <c r="L415" s="527"/>
      <c r="M415" s="527"/>
      <c r="N415" s="527"/>
      <c r="O415" s="527"/>
      <c r="P415" s="527"/>
      <c r="Q415" s="527"/>
      <c r="R415" s="527"/>
      <c r="S415" s="527"/>
      <c r="T415" s="527"/>
      <c r="U415" s="527"/>
      <c r="V415" s="527"/>
      <c r="W415" s="527"/>
      <c r="X415" s="527"/>
      <c r="Y415" s="527"/>
      <c r="Z415" s="527"/>
      <c r="AA415" s="527"/>
      <c r="AB415" s="527"/>
      <c r="AC415" s="527"/>
      <c r="AD415" s="527"/>
      <c r="AE415" s="460"/>
      <c r="AF415" s="463"/>
      <c r="AG415" s="460"/>
      <c r="AM415" s="494"/>
      <c r="AN415" s="521"/>
    </row>
    <row r="416" spans="1:81" s="474" customFormat="1" ht="12.75" customHeight="1">
      <c r="A416" s="460"/>
      <c r="B416" s="14"/>
      <c r="C416" s="637"/>
      <c r="D416" s="638"/>
      <c r="E416" s="639" t="s">
        <v>2181</v>
      </c>
      <c r="F416" s="1845" t="s">
        <v>2182</v>
      </c>
      <c r="G416" s="1845"/>
      <c r="H416" s="1845"/>
      <c r="I416" s="1845"/>
      <c r="J416" s="1845"/>
      <c r="K416" s="1845"/>
      <c r="L416" s="1845"/>
      <c r="M416" s="1845"/>
      <c r="N416" s="1845"/>
      <c r="O416" s="1845"/>
      <c r="P416" s="1845"/>
      <c r="Q416" s="1845"/>
      <c r="R416" s="1845"/>
      <c r="S416" s="1845"/>
      <c r="T416" s="1845"/>
      <c r="U416" s="1845"/>
      <c r="V416" s="1845"/>
      <c r="W416" s="1845"/>
      <c r="X416" s="1845"/>
      <c r="Y416" s="1845"/>
      <c r="Z416" s="1845"/>
      <c r="AA416" s="1845"/>
      <c r="AB416" s="1845"/>
      <c r="AC416" s="1845"/>
      <c r="AD416" s="1845"/>
      <c r="AE416" s="1845"/>
      <c r="AF416" s="638"/>
      <c r="AG416" s="638"/>
      <c r="AH416" s="638"/>
      <c r="AI416" s="638"/>
      <c r="AJ416" s="638"/>
      <c r="AK416" s="638"/>
      <c r="AL416" s="669"/>
      <c r="AM416" s="494"/>
      <c r="AN416" s="521"/>
    </row>
    <row r="417" spans="1:60" s="474" customFormat="1" ht="12.75" customHeight="1">
      <c r="A417" s="460"/>
      <c r="B417" s="14"/>
      <c r="C417" s="655"/>
      <c r="D417" s="14"/>
      <c r="E417" s="615"/>
      <c r="F417" s="1846"/>
      <c r="G417" s="1846"/>
      <c r="H417" s="1846"/>
      <c r="I417" s="1846"/>
      <c r="J417" s="1846"/>
      <c r="K417" s="1846"/>
      <c r="L417" s="1846"/>
      <c r="M417" s="1846"/>
      <c r="N417" s="1846"/>
      <c r="O417" s="1846"/>
      <c r="P417" s="1846"/>
      <c r="Q417" s="1846"/>
      <c r="R417" s="1846"/>
      <c r="S417" s="1846"/>
      <c r="T417" s="1846"/>
      <c r="U417" s="1846"/>
      <c r="V417" s="1846"/>
      <c r="W417" s="1846"/>
      <c r="X417" s="1846"/>
      <c r="Y417" s="1846"/>
      <c r="Z417" s="1846"/>
      <c r="AA417" s="1846"/>
      <c r="AB417" s="1846"/>
      <c r="AC417" s="1846"/>
      <c r="AD417" s="1846"/>
      <c r="AE417" s="1846"/>
      <c r="AF417" s="463"/>
      <c r="AG417" s="460"/>
      <c r="AL417" s="656"/>
      <c r="AM417" s="494"/>
      <c r="AN417" s="521"/>
    </row>
    <row r="418" spans="1:60" s="474" customFormat="1" ht="12.45" customHeight="1">
      <c r="A418" s="460"/>
      <c r="B418" s="14"/>
      <c r="C418" s="655"/>
      <c r="D418" s="14"/>
      <c r="E418" s="615"/>
      <c r="F418" s="1846"/>
      <c r="G418" s="1846"/>
      <c r="H418" s="1846"/>
      <c r="I418" s="1846"/>
      <c r="J418" s="1846"/>
      <c r="K418" s="1846"/>
      <c r="L418" s="1846"/>
      <c r="M418" s="1846"/>
      <c r="N418" s="1846"/>
      <c r="O418" s="1846"/>
      <c r="P418" s="1846"/>
      <c r="Q418" s="1846"/>
      <c r="R418" s="1846"/>
      <c r="S418" s="1846"/>
      <c r="T418" s="1846"/>
      <c r="U418" s="1846"/>
      <c r="V418" s="1846"/>
      <c r="W418" s="1846"/>
      <c r="X418" s="1846"/>
      <c r="Y418" s="1846"/>
      <c r="Z418" s="1846"/>
      <c r="AA418" s="1846"/>
      <c r="AB418" s="1846"/>
      <c r="AC418" s="1846"/>
      <c r="AD418" s="1846"/>
      <c r="AE418" s="1846"/>
      <c r="AL418" s="656"/>
      <c r="AM418" s="494"/>
      <c r="AN418" s="521"/>
    </row>
    <row r="419" spans="1:60" s="474" customFormat="1" ht="12.75" customHeight="1">
      <c r="A419" s="460"/>
      <c r="B419" s="14"/>
      <c r="C419" s="1855" t="s">
        <v>299</v>
      </c>
      <c r="D419" s="1856"/>
      <c r="E419" s="615"/>
      <c r="F419" s="645" t="s">
        <v>2183</v>
      </c>
      <c r="G419" s="673"/>
      <c r="H419" s="673"/>
      <c r="I419" s="673"/>
      <c r="J419" s="673"/>
      <c r="K419" s="673"/>
      <c r="L419" s="673"/>
      <c r="M419" s="673"/>
      <c r="N419" s="673"/>
      <c r="O419" s="673"/>
      <c r="P419" s="673"/>
      <c r="Q419" s="673"/>
      <c r="R419" s="673"/>
      <c r="S419" s="673"/>
      <c r="T419" s="673"/>
      <c r="U419" s="673"/>
      <c r="V419" s="673"/>
      <c r="W419" s="673"/>
      <c r="X419" s="673"/>
      <c r="Y419" s="673"/>
      <c r="Z419" s="673"/>
      <c r="AA419" s="673"/>
      <c r="AB419" s="673"/>
      <c r="AC419" s="673"/>
      <c r="AD419" s="673"/>
      <c r="AF419" s="1914" t="s">
        <v>2161</v>
      </c>
      <c r="AG419" s="1914"/>
      <c r="AH419" s="1914"/>
      <c r="AI419" s="1914"/>
      <c r="AJ419" s="1914"/>
      <c r="AK419" s="1914"/>
      <c r="AL419" s="1944"/>
      <c r="AM419" s="494"/>
      <c r="AN419" s="521"/>
    </row>
    <row r="420" spans="1:60" s="474" customFormat="1" ht="12.75" customHeight="1">
      <c r="A420" s="460"/>
      <c r="B420" s="14"/>
      <c r="C420" s="667"/>
      <c r="D420" s="651"/>
      <c r="E420" s="648"/>
      <c r="F420" s="665"/>
      <c r="G420" s="650"/>
      <c r="H420" s="650"/>
      <c r="I420" s="650"/>
      <c r="J420" s="650"/>
      <c r="K420" s="650"/>
      <c r="L420" s="650"/>
      <c r="M420" s="650"/>
      <c r="N420" s="650"/>
      <c r="O420" s="650"/>
      <c r="P420" s="650"/>
      <c r="Q420" s="650"/>
      <c r="R420" s="650"/>
      <c r="S420" s="650"/>
      <c r="T420" s="650"/>
      <c r="U420" s="650"/>
      <c r="V420" s="650"/>
      <c r="W420" s="650"/>
      <c r="X420" s="650"/>
      <c r="Y420" s="650"/>
      <c r="Z420" s="650"/>
      <c r="AA420" s="650"/>
      <c r="AB420" s="650"/>
      <c r="AC420" s="650"/>
      <c r="AD420" s="650"/>
      <c r="AE420" s="651"/>
      <c r="AF420" s="651"/>
      <c r="AG420" s="651"/>
      <c r="AH420" s="651"/>
      <c r="AI420" s="651"/>
      <c r="AJ420" s="651"/>
      <c r="AK420" s="651"/>
      <c r="AL420" s="666"/>
      <c r="AM420" s="494"/>
      <c r="AN420" s="521"/>
    </row>
    <row r="421" spans="1:60" s="474" customFormat="1" ht="12.75" customHeight="1">
      <c r="A421" s="460"/>
      <c r="B421" s="14"/>
      <c r="C421" s="654"/>
      <c r="D421" s="654"/>
      <c r="E421" s="643"/>
      <c r="F421" s="645"/>
      <c r="G421" s="527"/>
      <c r="H421" s="527"/>
      <c r="I421" s="527"/>
      <c r="J421" s="527"/>
      <c r="K421" s="527"/>
      <c r="L421" s="527"/>
      <c r="M421" s="527"/>
      <c r="N421" s="527"/>
      <c r="O421" s="527"/>
      <c r="P421" s="527"/>
      <c r="Q421" s="527"/>
      <c r="R421" s="527"/>
      <c r="S421" s="527"/>
      <c r="T421" s="527"/>
      <c r="U421" s="527"/>
      <c r="V421" s="527"/>
      <c r="W421" s="527"/>
      <c r="X421" s="527"/>
      <c r="Y421" s="527"/>
      <c r="Z421" s="527"/>
      <c r="AA421" s="527"/>
      <c r="AB421" s="527"/>
      <c r="AC421" s="527"/>
      <c r="AD421" s="527"/>
      <c r="AE421" s="460"/>
      <c r="AM421" s="494"/>
      <c r="AN421" s="521"/>
    </row>
    <row r="422" spans="1:60" ht="13.2" customHeight="1">
      <c r="A422" s="460"/>
      <c r="C422" s="670"/>
      <c r="D422" s="671"/>
      <c r="E422" s="639" t="s">
        <v>2184</v>
      </c>
      <c r="F422" s="1845" t="s">
        <v>2185</v>
      </c>
      <c r="G422" s="1845"/>
      <c r="H422" s="1845"/>
      <c r="I422" s="1845"/>
      <c r="J422" s="1845"/>
      <c r="K422" s="1845"/>
      <c r="L422" s="1845"/>
      <c r="M422" s="1845"/>
      <c r="N422" s="1845"/>
      <c r="O422" s="1845"/>
      <c r="P422" s="1845"/>
      <c r="Q422" s="1845"/>
      <c r="R422" s="1845"/>
      <c r="S422" s="1845"/>
      <c r="T422" s="1845"/>
      <c r="U422" s="1845"/>
      <c r="V422" s="1845"/>
      <c r="W422" s="1845"/>
      <c r="X422" s="1845"/>
      <c r="Y422" s="1845"/>
      <c r="Z422" s="1845"/>
      <c r="AA422" s="1845"/>
      <c r="AB422" s="1845"/>
      <c r="AC422" s="1845"/>
      <c r="AD422" s="1845"/>
      <c r="AE422" s="1845"/>
      <c r="AF422" s="671"/>
      <c r="AG422" s="671"/>
      <c r="AH422" s="671"/>
      <c r="AI422" s="671"/>
      <c r="AJ422" s="671"/>
      <c r="AK422" s="671"/>
      <c r="AL422" s="672"/>
      <c r="AM422" s="494"/>
      <c r="AO422" s="474"/>
      <c r="AP422" s="474"/>
      <c r="BD422" s="14"/>
      <c r="BE422" s="14"/>
      <c r="BF422" s="14"/>
      <c r="BG422" s="14"/>
      <c r="BH422" s="14"/>
    </row>
    <row r="423" spans="1:60">
      <c r="A423" s="460"/>
      <c r="C423" s="655"/>
      <c r="E423" s="615"/>
      <c r="F423" s="1846"/>
      <c r="G423" s="1846"/>
      <c r="H423" s="1846"/>
      <c r="I423" s="1846"/>
      <c r="J423" s="1846"/>
      <c r="K423" s="1846"/>
      <c r="L423" s="1846"/>
      <c r="M423" s="1846"/>
      <c r="N423" s="1846"/>
      <c r="O423" s="1846"/>
      <c r="P423" s="1846"/>
      <c r="Q423" s="1846"/>
      <c r="R423" s="1846"/>
      <c r="S423" s="1846"/>
      <c r="T423" s="1846"/>
      <c r="U423" s="1846"/>
      <c r="V423" s="1846"/>
      <c r="W423" s="1846"/>
      <c r="X423" s="1846"/>
      <c r="Y423" s="1846"/>
      <c r="Z423" s="1846"/>
      <c r="AA423" s="1846"/>
      <c r="AB423" s="1846"/>
      <c r="AC423" s="1846"/>
      <c r="AD423" s="1846"/>
      <c r="AE423" s="1846"/>
      <c r="AF423" s="518"/>
      <c r="AG423" s="518"/>
      <c r="AH423" s="518"/>
      <c r="AI423" s="518"/>
      <c r="AJ423" s="518"/>
      <c r="AK423" s="518"/>
      <c r="AL423" s="674"/>
      <c r="AM423" s="494"/>
      <c r="AO423" s="474"/>
      <c r="AP423" s="474"/>
    </row>
    <row r="424" spans="1:60" s="474" customFormat="1" ht="12.75" customHeight="1">
      <c r="A424" s="460"/>
      <c r="B424" s="14"/>
      <c r="C424" s="655"/>
      <c r="D424" s="14"/>
      <c r="E424" s="615"/>
      <c r="F424" s="1846"/>
      <c r="G424" s="1846"/>
      <c r="H424" s="1846"/>
      <c r="I424" s="1846"/>
      <c r="J424" s="1846"/>
      <c r="K424" s="1846"/>
      <c r="L424" s="1846"/>
      <c r="M424" s="1846"/>
      <c r="N424" s="1846"/>
      <c r="O424" s="1846"/>
      <c r="P424" s="1846"/>
      <c r="Q424" s="1846"/>
      <c r="R424" s="1846"/>
      <c r="S424" s="1846"/>
      <c r="T424" s="1846"/>
      <c r="U424" s="1846"/>
      <c r="V424" s="1846"/>
      <c r="W424" s="1846"/>
      <c r="X424" s="1846"/>
      <c r="Y424" s="1846"/>
      <c r="Z424" s="1846"/>
      <c r="AA424" s="1846"/>
      <c r="AB424" s="1846"/>
      <c r="AC424" s="1846"/>
      <c r="AD424" s="1846"/>
      <c r="AE424" s="1846"/>
      <c r="AF424" s="518"/>
      <c r="AG424" s="518"/>
      <c r="AH424" s="518"/>
      <c r="AI424" s="518"/>
      <c r="AJ424" s="518"/>
      <c r="AK424" s="518"/>
      <c r="AL424" s="674"/>
      <c r="AM424" s="494"/>
      <c r="AN424" s="521"/>
    </row>
    <row r="425" spans="1:60" s="474" customFormat="1" ht="12.75" customHeight="1">
      <c r="A425" s="460"/>
      <c r="B425" s="14"/>
      <c r="C425" s="675"/>
      <c r="D425" s="654"/>
      <c r="E425" s="643"/>
      <c r="F425" s="1846"/>
      <c r="G425" s="1846"/>
      <c r="H425" s="1846"/>
      <c r="I425" s="1846"/>
      <c r="J425" s="1846"/>
      <c r="K425" s="1846"/>
      <c r="L425" s="1846"/>
      <c r="M425" s="1846"/>
      <c r="N425" s="1846"/>
      <c r="O425" s="1846"/>
      <c r="P425" s="1846"/>
      <c r="Q425" s="1846"/>
      <c r="R425" s="1846"/>
      <c r="S425" s="1846"/>
      <c r="T425" s="1846"/>
      <c r="U425" s="1846"/>
      <c r="V425" s="1846"/>
      <c r="W425" s="1846"/>
      <c r="X425" s="1846"/>
      <c r="Y425" s="1846"/>
      <c r="Z425" s="1846"/>
      <c r="AA425" s="1846"/>
      <c r="AB425" s="1846"/>
      <c r="AC425" s="1846"/>
      <c r="AD425" s="1846"/>
      <c r="AE425" s="1846"/>
      <c r="AF425" s="518"/>
      <c r="AG425" s="518"/>
      <c r="AH425" s="518"/>
      <c r="AI425" s="518"/>
      <c r="AJ425" s="518"/>
      <c r="AK425" s="518"/>
      <c r="AL425" s="674"/>
      <c r="AM425" s="494"/>
      <c r="AN425" s="521"/>
      <c r="AO425" s="26"/>
      <c r="AP425" s="14"/>
    </row>
    <row r="426" spans="1:60" s="474" customFormat="1" ht="12.75" customHeight="1">
      <c r="A426" s="460"/>
      <c r="B426" s="14"/>
      <c r="C426" s="675"/>
      <c r="D426" s="654"/>
      <c r="E426" s="643"/>
      <c r="F426" s="1846"/>
      <c r="G426" s="1846"/>
      <c r="H426" s="1846"/>
      <c r="I426" s="1846"/>
      <c r="J426" s="1846"/>
      <c r="K426" s="1846"/>
      <c r="L426" s="1846"/>
      <c r="M426" s="1846"/>
      <c r="N426" s="1846"/>
      <c r="O426" s="1846"/>
      <c r="P426" s="1846"/>
      <c r="Q426" s="1846"/>
      <c r="R426" s="1846"/>
      <c r="S426" s="1846"/>
      <c r="T426" s="1846"/>
      <c r="U426" s="1846"/>
      <c r="V426" s="1846"/>
      <c r="W426" s="1846"/>
      <c r="X426" s="1846"/>
      <c r="Y426" s="1846"/>
      <c r="Z426" s="1846"/>
      <c r="AA426" s="1846"/>
      <c r="AB426" s="1846"/>
      <c r="AC426" s="1846"/>
      <c r="AD426" s="1846"/>
      <c r="AE426" s="1846"/>
      <c r="AF426" s="518"/>
      <c r="AG426" s="518"/>
      <c r="AH426" s="518"/>
      <c r="AI426" s="518"/>
      <c r="AJ426" s="518"/>
      <c r="AK426" s="518"/>
      <c r="AL426" s="674"/>
      <c r="AM426" s="494"/>
      <c r="AN426" s="521"/>
    </row>
    <row r="427" spans="1:60" s="474" customFormat="1" ht="12.75" customHeight="1">
      <c r="A427" s="460"/>
      <c r="B427" s="14"/>
      <c r="C427" s="675"/>
      <c r="D427" s="654"/>
      <c r="E427" s="643"/>
      <c r="F427" s="1846"/>
      <c r="G427" s="1846"/>
      <c r="H427" s="1846"/>
      <c r="I427" s="1846"/>
      <c r="J427" s="1846"/>
      <c r="K427" s="1846"/>
      <c r="L427" s="1846"/>
      <c r="M427" s="1846"/>
      <c r="N427" s="1846"/>
      <c r="O427" s="1846"/>
      <c r="P427" s="1846"/>
      <c r="Q427" s="1846"/>
      <c r="R427" s="1846"/>
      <c r="S427" s="1846"/>
      <c r="T427" s="1846"/>
      <c r="U427" s="1846"/>
      <c r="V427" s="1846"/>
      <c r="W427" s="1846"/>
      <c r="X427" s="1846"/>
      <c r="Y427" s="1846"/>
      <c r="Z427" s="1846"/>
      <c r="AA427" s="1846"/>
      <c r="AB427" s="1846"/>
      <c r="AC427" s="1846"/>
      <c r="AD427" s="1846"/>
      <c r="AE427" s="1846"/>
      <c r="AF427" s="518"/>
      <c r="AG427" s="518"/>
      <c r="AH427" s="518"/>
      <c r="AI427" s="518"/>
      <c r="AJ427" s="518"/>
      <c r="AK427" s="518"/>
      <c r="AL427" s="674"/>
      <c r="AM427" s="494"/>
      <c r="AN427" s="521"/>
    </row>
    <row r="428" spans="1:60" s="474" customFormat="1" ht="12.75" customHeight="1">
      <c r="A428" s="460"/>
      <c r="B428" s="14"/>
      <c r="C428" s="675"/>
      <c r="D428" s="654"/>
      <c r="E428" s="643"/>
      <c r="F428" s="1846"/>
      <c r="G428" s="1846"/>
      <c r="H428" s="1846"/>
      <c r="I428" s="1846"/>
      <c r="J428" s="1846"/>
      <c r="K428" s="1846"/>
      <c r="L428" s="1846"/>
      <c r="M428" s="1846"/>
      <c r="N428" s="1846"/>
      <c r="O428" s="1846"/>
      <c r="P428" s="1846"/>
      <c r="Q428" s="1846"/>
      <c r="R428" s="1846"/>
      <c r="S428" s="1846"/>
      <c r="T428" s="1846"/>
      <c r="U428" s="1846"/>
      <c r="V428" s="1846"/>
      <c r="W428" s="1846"/>
      <c r="X428" s="1846"/>
      <c r="Y428" s="1846"/>
      <c r="Z428" s="1846"/>
      <c r="AA428" s="1846"/>
      <c r="AB428" s="1846"/>
      <c r="AC428" s="1846"/>
      <c r="AD428" s="1846"/>
      <c r="AE428" s="1846"/>
      <c r="AF428" s="518"/>
      <c r="AG428" s="518"/>
      <c r="AH428" s="518"/>
      <c r="AI428" s="518"/>
      <c r="AJ428" s="518"/>
      <c r="AK428" s="518"/>
      <c r="AL428" s="674"/>
      <c r="AM428" s="494"/>
      <c r="AN428" s="521"/>
    </row>
    <row r="429" spans="1:60" s="474" customFormat="1" ht="12.75" customHeight="1">
      <c r="A429" s="460"/>
      <c r="B429" s="14"/>
      <c r="C429" s="675"/>
      <c r="D429" s="654"/>
      <c r="E429" s="643"/>
      <c r="F429" s="1846"/>
      <c r="G429" s="1846"/>
      <c r="H429" s="1846"/>
      <c r="I429" s="1846"/>
      <c r="J429" s="1846"/>
      <c r="K429" s="1846"/>
      <c r="L429" s="1846"/>
      <c r="M429" s="1846"/>
      <c r="N429" s="1846"/>
      <c r="O429" s="1846"/>
      <c r="P429" s="1846"/>
      <c r="Q429" s="1846"/>
      <c r="R429" s="1846"/>
      <c r="S429" s="1846"/>
      <c r="T429" s="1846"/>
      <c r="U429" s="1846"/>
      <c r="V429" s="1846"/>
      <c r="W429" s="1846"/>
      <c r="X429" s="1846"/>
      <c r="Y429" s="1846"/>
      <c r="Z429" s="1846"/>
      <c r="AA429" s="1846"/>
      <c r="AB429" s="1846"/>
      <c r="AC429" s="1846"/>
      <c r="AD429" s="1846"/>
      <c r="AE429" s="1846"/>
      <c r="AF429" s="518"/>
      <c r="AG429" s="518"/>
      <c r="AH429" s="518"/>
      <c r="AI429" s="518"/>
      <c r="AJ429" s="518"/>
      <c r="AK429" s="518"/>
      <c r="AL429" s="674"/>
      <c r="AM429" s="494"/>
      <c r="AN429" s="521"/>
    </row>
    <row r="430" spans="1:60" s="474" customFormat="1" ht="17.25" customHeight="1">
      <c r="A430" s="460"/>
      <c r="B430" s="14"/>
      <c r="C430" s="675"/>
      <c r="D430" s="654"/>
      <c r="E430" s="643"/>
      <c r="F430" s="1846"/>
      <c r="G430" s="1846"/>
      <c r="H430" s="1846"/>
      <c r="I430" s="1846"/>
      <c r="J430" s="1846"/>
      <c r="K430" s="1846"/>
      <c r="L430" s="1846"/>
      <c r="M430" s="1846"/>
      <c r="N430" s="1846"/>
      <c r="O430" s="1846"/>
      <c r="P430" s="1846"/>
      <c r="Q430" s="1846"/>
      <c r="R430" s="1846"/>
      <c r="S430" s="1846"/>
      <c r="T430" s="1846"/>
      <c r="U430" s="1846"/>
      <c r="V430" s="1846"/>
      <c r="W430" s="1846"/>
      <c r="X430" s="1846"/>
      <c r="Y430" s="1846"/>
      <c r="Z430" s="1846"/>
      <c r="AA430" s="1846"/>
      <c r="AB430" s="1846"/>
      <c r="AC430" s="1846"/>
      <c r="AD430" s="1846"/>
      <c r="AE430" s="1846"/>
      <c r="AL430" s="656"/>
      <c r="AM430" s="494"/>
      <c r="AN430" s="521"/>
    </row>
    <row r="431" spans="1:60" s="474" customFormat="1" ht="12.75" customHeight="1">
      <c r="A431" s="460"/>
      <c r="B431" s="14"/>
      <c r="C431" s="1855" t="s">
        <v>836</v>
      </c>
      <c r="D431" s="1856"/>
      <c r="E431" s="643"/>
      <c r="F431" s="520" t="s">
        <v>2186</v>
      </c>
      <c r="G431" s="600"/>
      <c r="H431" s="600"/>
      <c r="I431" s="600"/>
      <c r="J431" s="600"/>
      <c r="K431" s="600"/>
      <c r="L431" s="600"/>
      <c r="M431" s="600"/>
      <c r="N431" s="600"/>
      <c r="O431" s="600"/>
      <c r="P431" s="600"/>
      <c r="Q431" s="600"/>
      <c r="R431" s="600"/>
      <c r="S431" s="600"/>
      <c r="T431" s="600"/>
      <c r="U431" s="600"/>
      <c r="V431" s="600"/>
      <c r="W431" s="600"/>
      <c r="X431" s="600"/>
      <c r="Y431" s="600"/>
      <c r="Z431" s="600"/>
      <c r="AA431" s="600"/>
      <c r="AB431" s="600"/>
      <c r="AC431" s="600"/>
      <c r="AD431" s="600"/>
      <c r="AF431" s="1914" t="s">
        <v>2161</v>
      </c>
      <c r="AG431" s="1914"/>
      <c r="AH431" s="1914"/>
      <c r="AI431" s="1914"/>
      <c r="AJ431" s="1914"/>
      <c r="AK431" s="1914"/>
      <c r="AL431" s="1944"/>
      <c r="AM431" s="494"/>
      <c r="AN431" s="521"/>
    </row>
    <row r="432" spans="1:60" s="474" customFormat="1" ht="12.75" customHeight="1">
      <c r="A432" s="460"/>
      <c r="B432" s="14"/>
      <c r="C432" s="667"/>
      <c r="D432" s="651"/>
      <c r="E432" s="648"/>
      <c r="F432" s="665"/>
      <c r="G432" s="650"/>
      <c r="H432" s="650"/>
      <c r="I432" s="650"/>
      <c r="J432" s="650"/>
      <c r="K432" s="650"/>
      <c r="L432" s="650"/>
      <c r="M432" s="650"/>
      <c r="N432" s="650"/>
      <c r="O432" s="650"/>
      <c r="P432" s="650"/>
      <c r="Q432" s="650"/>
      <c r="R432" s="650"/>
      <c r="S432" s="650"/>
      <c r="T432" s="650"/>
      <c r="U432" s="650"/>
      <c r="V432" s="650"/>
      <c r="W432" s="650"/>
      <c r="X432" s="650"/>
      <c r="Y432" s="650"/>
      <c r="Z432" s="650"/>
      <c r="AA432" s="650"/>
      <c r="AB432" s="650"/>
      <c r="AC432" s="650"/>
      <c r="AD432" s="650"/>
      <c r="AE432" s="651"/>
      <c r="AF432" s="651"/>
      <c r="AG432" s="651"/>
      <c r="AH432" s="651"/>
      <c r="AI432" s="651"/>
      <c r="AJ432" s="651"/>
      <c r="AK432" s="651"/>
      <c r="AL432" s="666"/>
      <c r="AM432" s="494"/>
      <c r="AN432" s="521"/>
    </row>
    <row r="433" spans="1:40" s="474" customFormat="1" ht="12.75" customHeight="1">
      <c r="A433" s="460"/>
      <c r="B433" s="14"/>
      <c r="C433" s="654"/>
      <c r="D433" s="654"/>
      <c r="E433" s="643"/>
      <c r="F433" s="645"/>
      <c r="G433" s="527"/>
      <c r="H433" s="527"/>
      <c r="I433" s="527"/>
      <c r="J433" s="527"/>
      <c r="K433" s="527"/>
      <c r="L433" s="527"/>
      <c r="M433" s="527"/>
      <c r="N433" s="527"/>
      <c r="O433" s="527"/>
      <c r="P433" s="527"/>
      <c r="Q433" s="527"/>
      <c r="R433" s="527"/>
      <c r="S433" s="527"/>
      <c r="T433" s="527"/>
      <c r="U433" s="527"/>
      <c r="V433" s="527"/>
      <c r="W433" s="527"/>
      <c r="X433" s="527"/>
      <c r="Y433" s="527"/>
      <c r="Z433" s="527"/>
      <c r="AA433" s="527"/>
      <c r="AB433" s="527"/>
      <c r="AC433" s="527"/>
      <c r="AD433" s="527"/>
      <c r="AE433" s="515"/>
      <c r="AF433" s="515"/>
      <c r="AG433" s="515"/>
      <c r="AH433" s="515"/>
      <c r="AI433" s="515"/>
      <c r="AJ433" s="515"/>
      <c r="AK433" s="515"/>
      <c r="AL433" s="515"/>
      <c r="AM433" s="494"/>
      <c r="AN433" s="521"/>
    </row>
    <row r="434" spans="1:40" s="474" customFormat="1" ht="12.75" customHeight="1">
      <c r="A434" s="460"/>
      <c r="B434" s="14"/>
      <c r="C434" s="637"/>
      <c r="D434" s="638"/>
      <c r="E434" s="639" t="s">
        <v>2187</v>
      </c>
      <c r="F434" s="1845" t="s">
        <v>2188</v>
      </c>
      <c r="G434" s="1845"/>
      <c r="H434" s="1845"/>
      <c r="I434" s="1845"/>
      <c r="J434" s="1845"/>
      <c r="K434" s="1845"/>
      <c r="L434" s="1845"/>
      <c r="M434" s="1845"/>
      <c r="N434" s="1845"/>
      <c r="O434" s="1845"/>
      <c r="P434" s="1845"/>
      <c r="Q434" s="1845"/>
      <c r="R434" s="1845"/>
      <c r="S434" s="1845"/>
      <c r="T434" s="1845"/>
      <c r="U434" s="1845"/>
      <c r="V434" s="1845"/>
      <c r="W434" s="1845"/>
      <c r="X434" s="1845"/>
      <c r="Y434" s="1845"/>
      <c r="Z434" s="1845"/>
      <c r="AA434" s="1845"/>
      <c r="AB434" s="1845"/>
      <c r="AC434" s="1845"/>
      <c r="AD434" s="1845"/>
      <c r="AE434" s="1845"/>
      <c r="AF434" s="638"/>
      <c r="AG434" s="638"/>
      <c r="AH434" s="638"/>
      <c r="AI434" s="638"/>
      <c r="AJ434" s="638"/>
      <c r="AK434" s="638"/>
      <c r="AL434" s="669"/>
      <c r="AM434" s="494"/>
      <c r="AN434" s="521"/>
    </row>
    <row r="435" spans="1:40" s="474" customFormat="1" ht="12.75" customHeight="1">
      <c r="A435" s="460"/>
      <c r="B435" s="14"/>
      <c r="C435" s="675"/>
      <c r="D435" s="654"/>
      <c r="E435" s="643"/>
      <c r="F435" s="1846"/>
      <c r="G435" s="1846"/>
      <c r="H435" s="1846"/>
      <c r="I435" s="1846"/>
      <c r="J435" s="1846"/>
      <c r="K435" s="1846"/>
      <c r="L435" s="1846"/>
      <c r="M435" s="1846"/>
      <c r="N435" s="1846"/>
      <c r="O435" s="1846"/>
      <c r="P435" s="1846"/>
      <c r="Q435" s="1846"/>
      <c r="R435" s="1846"/>
      <c r="S435" s="1846"/>
      <c r="T435" s="1846"/>
      <c r="U435" s="1846"/>
      <c r="V435" s="1846"/>
      <c r="W435" s="1846"/>
      <c r="X435" s="1846"/>
      <c r="Y435" s="1846"/>
      <c r="Z435" s="1846"/>
      <c r="AA435" s="1846"/>
      <c r="AB435" s="1846"/>
      <c r="AC435" s="1846"/>
      <c r="AD435" s="1846"/>
      <c r="AE435" s="1846"/>
      <c r="AF435" s="515"/>
      <c r="AG435" s="515"/>
      <c r="AH435" s="515"/>
      <c r="AI435" s="515"/>
      <c r="AJ435" s="515"/>
      <c r="AK435" s="515"/>
      <c r="AL435" s="644"/>
      <c r="AM435" s="494"/>
      <c r="AN435" s="521"/>
    </row>
    <row r="436" spans="1:40" s="474" customFormat="1" ht="12.75" customHeight="1">
      <c r="A436" s="460"/>
      <c r="B436" s="14"/>
      <c r="C436" s="675"/>
      <c r="D436" s="654"/>
      <c r="E436" s="643"/>
      <c r="F436" s="1846"/>
      <c r="G436" s="1846"/>
      <c r="H436" s="1846"/>
      <c r="I436" s="1846"/>
      <c r="J436" s="1846"/>
      <c r="K436" s="1846"/>
      <c r="L436" s="1846"/>
      <c r="M436" s="1846"/>
      <c r="N436" s="1846"/>
      <c r="O436" s="1846"/>
      <c r="P436" s="1846"/>
      <c r="Q436" s="1846"/>
      <c r="R436" s="1846"/>
      <c r="S436" s="1846"/>
      <c r="T436" s="1846"/>
      <c r="U436" s="1846"/>
      <c r="V436" s="1846"/>
      <c r="W436" s="1846"/>
      <c r="X436" s="1846"/>
      <c r="Y436" s="1846"/>
      <c r="Z436" s="1846"/>
      <c r="AA436" s="1846"/>
      <c r="AB436" s="1846"/>
      <c r="AC436" s="1846"/>
      <c r="AD436" s="1846"/>
      <c r="AE436" s="1846"/>
      <c r="AF436" s="515"/>
      <c r="AG436" s="515"/>
      <c r="AH436" s="515"/>
      <c r="AI436" s="515"/>
      <c r="AJ436" s="515"/>
      <c r="AK436" s="515"/>
      <c r="AL436" s="644"/>
      <c r="AM436" s="494"/>
      <c r="AN436" s="521"/>
    </row>
    <row r="437" spans="1:40" s="474" customFormat="1" ht="12.75" customHeight="1">
      <c r="A437" s="460"/>
      <c r="B437" s="14"/>
      <c r="C437" s="675"/>
      <c r="D437" s="654"/>
      <c r="E437" s="643"/>
      <c r="F437" s="1846"/>
      <c r="G437" s="1846"/>
      <c r="H437" s="1846"/>
      <c r="I437" s="1846"/>
      <c r="J437" s="1846"/>
      <c r="K437" s="1846"/>
      <c r="L437" s="1846"/>
      <c r="M437" s="1846"/>
      <c r="N437" s="1846"/>
      <c r="O437" s="1846"/>
      <c r="P437" s="1846"/>
      <c r="Q437" s="1846"/>
      <c r="R437" s="1846"/>
      <c r="S437" s="1846"/>
      <c r="T437" s="1846"/>
      <c r="U437" s="1846"/>
      <c r="V437" s="1846"/>
      <c r="W437" s="1846"/>
      <c r="X437" s="1846"/>
      <c r="Y437" s="1846"/>
      <c r="Z437" s="1846"/>
      <c r="AA437" s="1846"/>
      <c r="AB437" s="1846"/>
      <c r="AC437" s="1846"/>
      <c r="AD437" s="1846"/>
      <c r="AE437" s="1846"/>
      <c r="AL437" s="656"/>
      <c r="AM437" s="494"/>
      <c r="AN437" s="521"/>
    </row>
    <row r="438" spans="1:40" s="474" customFormat="1" ht="12.75" customHeight="1">
      <c r="A438" s="460"/>
      <c r="B438" s="14"/>
      <c r="C438" s="1855" t="s">
        <v>836</v>
      </c>
      <c r="D438" s="1856"/>
      <c r="E438" s="643"/>
      <c r="F438" s="645" t="s">
        <v>2189</v>
      </c>
      <c r="G438" s="527"/>
      <c r="H438" s="527"/>
      <c r="I438" s="527"/>
      <c r="J438" s="527"/>
      <c r="K438" s="527"/>
      <c r="L438" s="527"/>
      <c r="M438" s="527"/>
      <c r="N438" s="527"/>
      <c r="O438" s="527"/>
      <c r="P438" s="527"/>
      <c r="Q438" s="527"/>
      <c r="R438" s="527"/>
      <c r="S438" s="527"/>
      <c r="T438" s="527"/>
      <c r="U438" s="527"/>
      <c r="V438" s="527"/>
      <c r="W438" s="527"/>
      <c r="X438" s="527"/>
      <c r="Y438" s="527"/>
      <c r="Z438" s="527"/>
      <c r="AA438" s="527"/>
      <c r="AB438" s="527"/>
      <c r="AC438" s="527"/>
      <c r="AD438" s="527"/>
      <c r="AF438" s="1914" t="s">
        <v>2161</v>
      </c>
      <c r="AG438" s="1914"/>
      <c r="AH438" s="1914"/>
      <c r="AI438" s="1914"/>
      <c r="AJ438" s="1914"/>
      <c r="AK438" s="1914"/>
      <c r="AL438" s="1944"/>
      <c r="AM438" s="494"/>
      <c r="AN438" s="677"/>
    </row>
    <row r="439" spans="1:40" s="474" customFormat="1" ht="12.75" customHeight="1">
      <c r="A439" s="460"/>
      <c r="B439" s="14"/>
      <c r="C439" s="675"/>
      <c r="D439" s="654"/>
      <c r="E439" s="643"/>
      <c r="F439" s="645"/>
      <c r="G439" s="527"/>
      <c r="H439" s="527"/>
      <c r="I439" s="527"/>
      <c r="J439" s="527"/>
      <c r="K439" s="527"/>
      <c r="L439" s="527"/>
      <c r="M439" s="527"/>
      <c r="N439" s="527"/>
      <c r="O439" s="527"/>
      <c r="P439" s="527"/>
      <c r="Q439" s="527"/>
      <c r="R439" s="527"/>
      <c r="S439" s="527"/>
      <c r="T439" s="527"/>
      <c r="U439" s="527"/>
      <c r="V439" s="527"/>
      <c r="W439" s="527"/>
      <c r="X439" s="527"/>
      <c r="Y439" s="527"/>
      <c r="Z439" s="527"/>
      <c r="AA439" s="527"/>
      <c r="AB439" s="527"/>
      <c r="AC439" s="527"/>
      <c r="AD439" s="527"/>
      <c r="AE439" s="515"/>
      <c r="AL439" s="656"/>
      <c r="AM439" s="494"/>
      <c r="AN439" s="677"/>
    </row>
    <row r="440" spans="1:40" s="474" customFormat="1" ht="12.75" customHeight="1">
      <c r="A440" s="460"/>
      <c r="B440" s="14"/>
      <c r="C440" s="664"/>
      <c r="D440" s="657"/>
      <c r="E440" s="658"/>
      <c r="F440" s="651" t="s">
        <v>2168</v>
      </c>
      <c r="G440" s="659"/>
      <c r="H440" s="659"/>
      <c r="I440" s="659"/>
      <c r="J440" s="659"/>
      <c r="K440" s="659"/>
      <c r="L440" s="659"/>
      <c r="M440" s="659"/>
      <c r="N440" s="659"/>
      <c r="O440" s="659"/>
      <c r="P440" s="659"/>
      <c r="Q440" s="659"/>
      <c r="R440" s="659"/>
      <c r="S440" s="659"/>
      <c r="T440" s="659"/>
      <c r="U440" s="659"/>
      <c r="V440" s="659"/>
      <c r="W440" s="659"/>
      <c r="X440" s="659"/>
      <c r="Y440" s="659"/>
      <c r="Z440" s="659"/>
      <c r="AA440" s="659"/>
      <c r="AB440" s="659"/>
      <c r="AC440" s="659"/>
      <c r="AD440" s="659"/>
      <c r="AE440" s="661"/>
      <c r="AF440" s="507"/>
      <c r="AG440" s="661"/>
      <c r="AH440" s="651"/>
      <c r="AI440" s="651"/>
      <c r="AJ440" s="651"/>
      <c r="AK440" s="651"/>
      <c r="AL440" s="666"/>
      <c r="AM440" s="494"/>
      <c r="AN440" s="677"/>
    </row>
    <row r="441" spans="1:40" s="474" customFormat="1" ht="12.75" customHeight="1">
      <c r="A441" s="460"/>
      <c r="B441" s="14"/>
      <c r="C441" s="654"/>
      <c r="D441" s="654"/>
      <c r="E441" s="643"/>
      <c r="F441" s="645"/>
      <c r="G441" s="527"/>
      <c r="H441" s="527"/>
      <c r="I441" s="527"/>
      <c r="J441" s="527"/>
      <c r="K441" s="527"/>
      <c r="L441" s="527"/>
      <c r="M441" s="527"/>
      <c r="N441" s="527"/>
      <c r="O441" s="527"/>
      <c r="P441" s="527"/>
      <c r="Q441" s="527"/>
      <c r="R441" s="527"/>
      <c r="S441" s="527"/>
      <c r="T441" s="527"/>
      <c r="U441" s="527"/>
      <c r="V441" s="527"/>
      <c r="W441" s="527"/>
      <c r="X441" s="527"/>
      <c r="Y441" s="527"/>
      <c r="Z441" s="527"/>
      <c r="AA441" s="527"/>
      <c r="AB441" s="527"/>
      <c r="AC441" s="527"/>
      <c r="AD441" s="527"/>
      <c r="AE441" s="515"/>
      <c r="AM441" s="494"/>
      <c r="AN441" s="677"/>
    </row>
    <row r="442" spans="1:40" s="474" customFormat="1" ht="12.75" customHeight="1">
      <c r="A442" s="460"/>
      <c r="B442" s="14"/>
      <c r="C442" s="1973" t="s">
        <v>299</v>
      </c>
      <c r="D442" s="1974"/>
      <c r="E442" s="639" t="s">
        <v>2190</v>
      </c>
      <c r="F442" s="1845" t="s">
        <v>2191</v>
      </c>
      <c r="G442" s="1845"/>
      <c r="H442" s="1845"/>
      <c r="I442" s="1845"/>
      <c r="J442" s="1845"/>
      <c r="K442" s="1845"/>
      <c r="L442" s="1845"/>
      <c r="M442" s="1845"/>
      <c r="N442" s="1845"/>
      <c r="O442" s="1845"/>
      <c r="P442" s="1845"/>
      <c r="Q442" s="1845"/>
      <c r="R442" s="1845"/>
      <c r="S442" s="1845"/>
      <c r="T442" s="1845"/>
      <c r="U442" s="1845"/>
      <c r="V442" s="1845"/>
      <c r="W442" s="1845"/>
      <c r="X442" s="1845"/>
      <c r="Y442" s="1845"/>
      <c r="Z442" s="1845"/>
      <c r="AA442" s="1845"/>
      <c r="AB442" s="1845"/>
      <c r="AC442" s="1845"/>
      <c r="AD442" s="1845"/>
      <c r="AE442" s="1845"/>
      <c r="AF442" s="1940" t="s">
        <v>2161</v>
      </c>
      <c r="AG442" s="1940"/>
      <c r="AH442" s="1940"/>
      <c r="AI442" s="1940"/>
      <c r="AJ442" s="1940"/>
      <c r="AK442" s="1940"/>
      <c r="AL442" s="1941"/>
      <c r="AM442" s="494"/>
      <c r="AN442" s="677"/>
    </row>
    <row r="443" spans="1:40" s="474" customFormat="1" ht="12.75" customHeight="1">
      <c r="A443" s="460"/>
      <c r="B443" s="14"/>
      <c r="C443" s="675"/>
      <c r="D443" s="654"/>
      <c r="E443" s="643"/>
      <c r="F443" s="1846"/>
      <c r="G443" s="1846"/>
      <c r="H443" s="1846"/>
      <c r="I443" s="1846"/>
      <c r="J443" s="1846"/>
      <c r="K443" s="1846"/>
      <c r="L443" s="1846"/>
      <c r="M443" s="1846"/>
      <c r="N443" s="1846"/>
      <c r="O443" s="1846"/>
      <c r="P443" s="1846"/>
      <c r="Q443" s="1846"/>
      <c r="R443" s="1846"/>
      <c r="S443" s="1846"/>
      <c r="T443" s="1846"/>
      <c r="U443" s="1846"/>
      <c r="V443" s="1846"/>
      <c r="W443" s="1846"/>
      <c r="X443" s="1846"/>
      <c r="Y443" s="1846"/>
      <c r="Z443" s="1846"/>
      <c r="AA443" s="1846"/>
      <c r="AB443" s="1846"/>
      <c r="AC443" s="1846"/>
      <c r="AD443" s="1846"/>
      <c r="AE443" s="1846"/>
      <c r="AF443" s="515"/>
      <c r="AG443" s="515"/>
      <c r="AH443" s="515"/>
      <c r="AI443" s="515"/>
      <c r="AJ443" s="515"/>
      <c r="AK443" s="515"/>
      <c r="AL443" s="644"/>
      <c r="AM443" s="494"/>
      <c r="AN443" s="678"/>
    </row>
    <row r="444" spans="1:40" s="474" customFormat="1" ht="17.7" customHeight="1">
      <c r="A444" s="460"/>
      <c r="B444" s="14"/>
      <c r="C444" s="680"/>
      <c r="D444" s="647"/>
      <c r="E444" s="648"/>
      <c r="F444" s="1928"/>
      <c r="G444" s="1928"/>
      <c r="H444" s="1928"/>
      <c r="I444" s="1928"/>
      <c r="J444" s="1928"/>
      <c r="K444" s="1928"/>
      <c r="L444" s="1928"/>
      <c r="M444" s="1928"/>
      <c r="N444" s="1928"/>
      <c r="O444" s="1928"/>
      <c r="P444" s="1928"/>
      <c r="Q444" s="1928"/>
      <c r="R444" s="1928"/>
      <c r="S444" s="1928"/>
      <c r="T444" s="1928"/>
      <c r="U444" s="1928"/>
      <c r="V444" s="1928"/>
      <c r="W444" s="1928"/>
      <c r="X444" s="1928"/>
      <c r="Y444" s="1928"/>
      <c r="Z444" s="1928"/>
      <c r="AA444" s="1928"/>
      <c r="AB444" s="1928"/>
      <c r="AC444" s="1928"/>
      <c r="AD444" s="1928"/>
      <c r="AE444" s="1928"/>
      <c r="AF444" s="652"/>
      <c r="AG444" s="652"/>
      <c r="AH444" s="652"/>
      <c r="AI444" s="652"/>
      <c r="AJ444" s="652"/>
      <c r="AK444" s="652"/>
      <c r="AL444" s="681"/>
      <c r="AM444" s="494"/>
      <c r="AN444" s="459"/>
    </row>
    <row r="445" spans="1:40" s="474" customFormat="1" ht="12.75" customHeight="1">
      <c r="A445" s="460"/>
      <c r="B445" s="14"/>
      <c r="C445" s="654"/>
      <c r="D445" s="654"/>
      <c r="E445" s="643"/>
      <c r="F445" s="645"/>
      <c r="G445" s="527"/>
      <c r="H445" s="527"/>
      <c r="I445" s="527"/>
      <c r="J445" s="527"/>
      <c r="K445" s="527"/>
      <c r="L445" s="527"/>
      <c r="M445" s="527"/>
      <c r="N445" s="527"/>
      <c r="O445" s="527"/>
      <c r="P445" s="527"/>
      <c r="Q445" s="527"/>
      <c r="R445" s="527"/>
      <c r="S445" s="527"/>
      <c r="T445" s="527"/>
      <c r="U445" s="527"/>
      <c r="V445" s="527"/>
      <c r="W445" s="527"/>
      <c r="X445" s="527"/>
      <c r="Y445" s="527"/>
      <c r="Z445" s="527"/>
      <c r="AA445" s="527"/>
      <c r="AB445" s="527"/>
      <c r="AC445" s="527"/>
      <c r="AD445" s="527"/>
      <c r="AE445" s="515"/>
      <c r="AM445" s="494"/>
      <c r="AN445" s="459"/>
    </row>
    <row r="446" spans="1:40" s="474" customFormat="1" ht="12.75" customHeight="1">
      <c r="A446" s="460"/>
      <c r="B446" s="14"/>
      <c r="C446" s="1855" t="s">
        <v>299</v>
      </c>
      <c r="D446" s="1856"/>
      <c r="E446" s="639" t="s">
        <v>2192</v>
      </c>
      <c r="F446" s="1845" t="s">
        <v>2193</v>
      </c>
      <c r="G446" s="1845"/>
      <c r="H446" s="1845"/>
      <c r="I446" s="1845"/>
      <c r="J446" s="1845"/>
      <c r="K446" s="1845"/>
      <c r="L446" s="1845"/>
      <c r="M446" s="1845"/>
      <c r="N446" s="1845"/>
      <c r="O446" s="1845"/>
      <c r="P446" s="1845"/>
      <c r="Q446" s="1845"/>
      <c r="R446" s="1845"/>
      <c r="S446" s="1845"/>
      <c r="T446" s="1845"/>
      <c r="U446" s="1845"/>
      <c r="V446" s="1845"/>
      <c r="W446" s="1845"/>
      <c r="X446" s="1845"/>
      <c r="Y446" s="1845"/>
      <c r="Z446" s="1845"/>
      <c r="AA446" s="1845"/>
      <c r="AB446" s="1845"/>
      <c r="AC446" s="1845"/>
      <c r="AD446" s="1845"/>
      <c r="AE446" s="1845"/>
      <c r="AF446" s="1940" t="s">
        <v>2161</v>
      </c>
      <c r="AG446" s="1940"/>
      <c r="AH446" s="1940"/>
      <c r="AI446" s="1940"/>
      <c r="AJ446" s="1940"/>
      <c r="AK446" s="1940"/>
      <c r="AL446" s="1941"/>
      <c r="AM446" s="494"/>
      <c r="AN446" s="459"/>
    </row>
    <row r="447" spans="1:40" s="474" customFormat="1" ht="12.75" customHeight="1">
      <c r="A447" s="460"/>
      <c r="B447" s="14"/>
      <c r="C447" s="655"/>
      <c r="D447" s="14"/>
      <c r="E447" s="615"/>
      <c r="F447" s="1846"/>
      <c r="G447" s="1846"/>
      <c r="H447" s="1846"/>
      <c r="I447" s="1846"/>
      <c r="J447" s="1846"/>
      <c r="K447" s="1846"/>
      <c r="L447" s="1846"/>
      <c r="M447" s="1846"/>
      <c r="N447" s="1846"/>
      <c r="O447" s="1846"/>
      <c r="P447" s="1846"/>
      <c r="Q447" s="1846"/>
      <c r="R447" s="1846"/>
      <c r="S447" s="1846"/>
      <c r="T447" s="1846"/>
      <c r="U447" s="1846"/>
      <c r="V447" s="1846"/>
      <c r="W447" s="1846"/>
      <c r="X447" s="1846"/>
      <c r="Y447" s="1846"/>
      <c r="Z447" s="1846"/>
      <c r="AA447" s="1846"/>
      <c r="AB447" s="1846"/>
      <c r="AC447" s="1846"/>
      <c r="AD447" s="1846"/>
      <c r="AE447" s="1846"/>
      <c r="AF447" s="463"/>
      <c r="AG447" s="460"/>
      <c r="AL447" s="656"/>
      <c r="AM447" s="494"/>
      <c r="AN447" s="459"/>
    </row>
    <row r="448" spans="1:40" s="474" customFormat="1" ht="12.75" customHeight="1">
      <c r="A448" s="460"/>
      <c r="B448" s="14"/>
      <c r="C448" s="655"/>
      <c r="D448" s="14"/>
      <c r="E448" s="615"/>
      <c r="F448" s="1846"/>
      <c r="G448" s="1846"/>
      <c r="H448" s="1846"/>
      <c r="I448" s="1846"/>
      <c r="J448" s="1846"/>
      <c r="K448" s="1846"/>
      <c r="L448" s="1846"/>
      <c r="M448" s="1846"/>
      <c r="N448" s="1846"/>
      <c r="O448" s="1846"/>
      <c r="P448" s="1846"/>
      <c r="Q448" s="1846"/>
      <c r="R448" s="1846"/>
      <c r="S448" s="1846"/>
      <c r="T448" s="1846"/>
      <c r="U448" s="1846"/>
      <c r="V448" s="1846"/>
      <c r="W448" s="1846"/>
      <c r="X448" s="1846"/>
      <c r="Y448" s="1846"/>
      <c r="Z448" s="1846"/>
      <c r="AA448" s="1846"/>
      <c r="AB448" s="1846"/>
      <c r="AC448" s="1846"/>
      <c r="AD448" s="1846"/>
      <c r="AE448" s="1846"/>
      <c r="AF448" s="463"/>
      <c r="AG448" s="460"/>
      <c r="AL448" s="656"/>
      <c r="AM448" s="494"/>
      <c r="AN448" s="459"/>
    </row>
    <row r="449" spans="1:48" s="474" customFormat="1" ht="12.75" customHeight="1">
      <c r="A449" s="460"/>
      <c r="B449" s="14"/>
      <c r="C449" s="680"/>
      <c r="D449" s="647"/>
      <c r="E449" s="648"/>
      <c r="F449" s="1928"/>
      <c r="G449" s="1928"/>
      <c r="H449" s="1928"/>
      <c r="I449" s="1928"/>
      <c r="J449" s="1928"/>
      <c r="K449" s="1928"/>
      <c r="L449" s="1928"/>
      <c r="M449" s="1928"/>
      <c r="N449" s="1928"/>
      <c r="O449" s="1928"/>
      <c r="P449" s="1928"/>
      <c r="Q449" s="1928"/>
      <c r="R449" s="1928"/>
      <c r="S449" s="1928"/>
      <c r="T449" s="1928"/>
      <c r="U449" s="1928"/>
      <c r="V449" s="1928"/>
      <c r="W449" s="1928"/>
      <c r="X449" s="1928"/>
      <c r="Y449" s="1928"/>
      <c r="Z449" s="1928"/>
      <c r="AA449" s="1928"/>
      <c r="AB449" s="1928"/>
      <c r="AC449" s="1928"/>
      <c r="AD449" s="1928"/>
      <c r="AE449" s="1928"/>
      <c r="AF449" s="652"/>
      <c r="AG449" s="652"/>
      <c r="AH449" s="652"/>
      <c r="AI449" s="652"/>
      <c r="AJ449" s="652"/>
      <c r="AK449" s="652"/>
      <c r="AL449" s="681"/>
      <c r="AM449" s="494"/>
      <c r="AN449" s="521"/>
    </row>
    <row r="450" spans="1:48" s="474" customFormat="1" ht="12.75" customHeight="1">
      <c r="A450" s="460"/>
      <c r="B450" s="14"/>
      <c r="G450" s="527"/>
      <c r="H450" s="527"/>
      <c r="I450" s="527"/>
      <c r="J450" s="527"/>
      <c r="K450" s="527"/>
      <c r="L450" s="527"/>
      <c r="M450" s="527"/>
      <c r="N450" s="527"/>
      <c r="O450" s="527"/>
      <c r="P450" s="527"/>
      <c r="Q450" s="527"/>
      <c r="R450" s="527"/>
      <c r="S450" s="527"/>
      <c r="T450" s="527"/>
      <c r="U450" s="527"/>
      <c r="V450" s="527"/>
      <c r="W450" s="527"/>
      <c r="X450" s="527"/>
      <c r="Y450" s="527"/>
      <c r="Z450" s="527"/>
      <c r="AA450" s="527"/>
      <c r="AB450" s="527"/>
      <c r="AC450" s="527"/>
      <c r="AD450" s="527"/>
      <c r="AM450" s="494"/>
      <c r="AN450" s="521"/>
    </row>
    <row r="451" spans="1:48" s="474" customFormat="1" ht="12.75" customHeight="1">
      <c r="A451" s="460"/>
      <c r="B451" s="14"/>
      <c r="C451" s="637"/>
      <c r="D451" s="638"/>
      <c r="E451" s="639" t="s">
        <v>2194</v>
      </c>
      <c r="F451" s="1845" t="s">
        <v>2195</v>
      </c>
      <c r="G451" s="1845"/>
      <c r="H451" s="1845"/>
      <c r="I451" s="1845"/>
      <c r="J451" s="1845"/>
      <c r="K451" s="1845"/>
      <c r="L451" s="1845"/>
      <c r="M451" s="1845"/>
      <c r="N451" s="1845"/>
      <c r="O451" s="1845"/>
      <c r="P451" s="1845"/>
      <c r="Q451" s="1845"/>
      <c r="R451" s="1845"/>
      <c r="S451" s="1845"/>
      <c r="T451" s="1845"/>
      <c r="U451" s="1845"/>
      <c r="V451" s="1845"/>
      <c r="W451" s="1845"/>
      <c r="X451" s="1845"/>
      <c r="Y451" s="1845"/>
      <c r="Z451" s="1845"/>
      <c r="AA451" s="1845"/>
      <c r="AB451" s="1845"/>
      <c r="AC451" s="1845"/>
      <c r="AD451" s="1845"/>
      <c r="AE451" s="1845"/>
      <c r="AF451" s="1845"/>
      <c r="AG451" s="668"/>
      <c r="AH451" s="638"/>
      <c r="AI451" s="638"/>
      <c r="AJ451" s="638"/>
      <c r="AK451" s="638"/>
      <c r="AL451" s="669"/>
      <c r="AM451" s="494"/>
      <c r="AN451" s="521"/>
    </row>
    <row r="452" spans="1:48" s="474" customFormat="1" ht="12.75" customHeight="1">
      <c r="A452" s="460"/>
      <c r="B452" s="14"/>
      <c r="C452" s="655"/>
      <c r="D452" s="14"/>
      <c r="E452" s="615"/>
      <c r="F452" s="1846"/>
      <c r="G452" s="1846"/>
      <c r="H452" s="1846"/>
      <c r="I452" s="1846"/>
      <c r="J452" s="1846"/>
      <c r="K452" s="1846"/>
      <c r="L452" s="1846"/>
      <c r="M452" s="1846"/>
      <c r="N452" s="1846"/>
      <c r="O452" s="1846"/>
      <c r="P452" s="1846"/>
      <c r="Q452" s="1846"/>
      <c r="R452" s="1846"/>
      <c r="S452" s="1846"/>
      <c r="T452" s="1846"/>
      <c r="U452" s="1846"/>
      <c r="V452" s="1846"/>
      <c r="W452" s="1846"/>
      <c r="X452" s="1846"/>
      <c r="Y452" s="1846"/>
      <c r="Z452" s="1846"/>
      <c r="AA452" s="1846"/>
      <c r="AB452" s="1846"/>
      <c r="AC452" s="1846"/>
      <c r="AD452" s="1846"/>
      <c r="AE452" s="1846"/>
      <c r="AF452" s="1846"/>
      <c r="AL452" s="656"/>
      <c r="AM452" s="494"/>
      <c r="AN452" s="521"/>
    </row>
    <row r="453" spans="1:48" s="474" customFormat="1" ht="12.75" customHeight="1">
      <c r="A453" s="460"/>
      <c r="B453" s="14"/>
      <c r="C453" s="663"/>
      <c r="F453" s="1846"/>
      <c r="G453" s="1846"/>
      <c r="H453" s="1846"/>
      <c r="I453" s="1846"/>
      <c r="J453" s="1846"/>
      <c r="K453" s="1846"/>
      <c r="L453" s="1846"/>
      <c r="M453" s="1846"/>
      <c r="N453" s="1846"/>
      <c r="O453" s="1846"/>
      <c r="P453" s="1846"/>
      <c r="Q453" s="1846"/>
      <c r="R453" s="1846"/>
      <c r="S453" s="1846"/>
      <c r="T453" s="1846"/>
      <c r="U453" s="1846"/>
      <c r="V453" s="1846"/>
      <c r="W453" s="1846"/>
      <c r="X453" s="1846"/>
      <c r="Y453" s="1846"/>
      <c r="Z453" s="1846"/>
      <c r="AA453" s="1846"/>
      <c r="AB453" s="1846"/>
      <c r="AC453" s="1846"/>
      <c r="AD453" s="1846"/>
      <c r="AE453" s="1846"/>
      <c r="AF453" s="1846"/>
      <c r="AL453" s="656"/>
      <c r="AM453" s="494"/>
      <c r="AN453" s="521"/>
    </row>
    <row r="454" spans="1:48" s="474" customFormat="1" ht="12.75" customHeight="1">
      <c r="A454" s="460"/>
      <c r="B454" s="14"/>
      <c r="C454" s="663"/>
      <c r="F454" s="1846"/>
      <c r="G454" s="1846"/>
      <c r="H454" s="1846"/>
      <c r="I454" s="1846"/>
      <c r="J454" s="1846"/>
      <c r="K454" s="1846"/>
      <c r="L454" s="1846"/>
      <c r="M454" s="1846"/>
      <c r="N454" s="1846"/>
      <c r="O454" s="1846"/>
      <c r="P454" s="1846"/>
      <c r="Q454" s="1846"/>
      <c r="R454" s="1846"/>
      <c r="S454" s="1846"/>
      <c r="T454" s="1846"/>
      <c r="U454" s="1846"/>
      <c r="V454" s="1846"/>
      <c r="W454" s="1846"/>
      <c r="X454" s="1846"/>
      <c r="Y454" s="1846"/>
      <c r="Z454" s="1846"/>
      <c r="AA454" s="1846"/>
      <c r="AB454" s="1846"/>
      <c r="AC454" s="1846"/>
      <c r="AD454" s="1846"/>
      <c r="AE454" s="1846"/>
      <c r="AF454" s="1846"/>
      <c r="AL454" s="656"/>
      <c r="AM454" s="494"/>
      <c r="AN454" s="521"/>
    </row>
    <row r="455" spans="1:48" s="474" customFormat="1" ht="12.75" customHeight="1">
      <c r="A455" s="460"/>
      <c r="B455" s="14"/>
      <c r="C455" s="1855" t="s">
        <v>299</v>
      </c>
      <c r="D455" s="1856"/>
      <c r="E455" s="643"/>
      <c r="F455" s="645" t="s">
        <v>2178</v>
      </c>
      <c r="G455" s="527"/>
      <c r="H455" s="527"/>
      <c r="I455" s="527"/>
      <c r="J455" s="527"/>
      <c r="K455" s="527"/>
      <c r="L455" s="527"/>
      <c r="M455" s="527"/>
      <c r="N455" s="527"/>
      <c r="O455" s="527"/>
      <c r="P455" s="527"/>
      <c r="Q455" s="527"/>
      <c r="R455" s="527"/>
      <c r="S455" s="527"/>
      <c r="T455" s="527"/>
      <c r="U455" s="527"/>
      <c r="V455" s="527"/>
      <c r="W455" s="527"/>
      <c r="X455" s="527"/>
      <c r="Y455" s="527"/>
      <c r="Z455" s="527"/>
      <c r="AA455" s="527"/>
      <c r="AB455" s="527"/>
      <c r="AC455" s="527"/>
      <c r="AD455" s="527"/>
      <c r="AF455" s="1844" t="s">
        <v>2161</v>
      </c>
      <c r="AG455" s="1844"/>
      <c r="AH455" s="1844"/>
      <c r="AI455" s="1844"/>
      <c r="AJ455" s="1844"/>
      <c r="AK455" s="1844"/>
      <c r="AL455" s="1857"/>
      <c r="AM455" s="494"/>
      <c r="AN455" s="521"/>
    </row>
    <row r="456" spans="1:48" s="474" customFormat="1" ht="12.75" customHeight="1">
      <c r="A456" s="460"/>
      <c r="B456" s="14"/>
      <c r="C456" s="664"/>
      <c r="D456" s="657"/>
      <c r="E456" s="658"/>
      <c r="F456" s="651"/>
      <c r="G456" s="651"/>
      <c r="H456" s="651"/>
      <c r="I456" s="651"/>
      <c r="J456" s="651"/>
      <c r="K456" s="651"/>
      <c r="L456" s="651"/>
      <c r="M456" s="651"/>
      <c r="N456" s="651"/>
      <c r="O456" s="651"/>
      <c r="P456" s="651"/>
      <c r="Q456" s="651"/>
      <c r="R456" s="651"/>
      <c r="S456" s="651"/>
      <c r="T456" s="651"/>
      <c r="U456" s="651"/>
      <c r="V456" s="651"/>
      <c r="W456" s="651"/>
      <c r="X456" s="651"/>
      <c r="Y456" s="651"/>
      <c r="Z456" s="651"/>
      <c r="AA456" s="651"/>
      <c r="AB456" s="651"/>
      <c r="AC456" s="651"/>
      <c r="AD456" s="651"/>
      <c r="AE456" s="651"/>
      <c r="AF456" s="651"/>
      <c r="AG456" s="651"/>
      <c r="AH456" s="651"/>
      <c r="AI456" s="651"/>
      <c r="AJ456" s="651"/>
      <c r="AK456" s="651"/>
      <c r="AL456" s="666"/>
      <c r="AN456" s="521"/>
    </row>
    <row r="457" spans="1:48" s="474" customFormat="1" ht="12.75" customHeight="1">
      <c r="A457" s="460"/>
      <c r="B457" s="14"/>
      <c r="C457" s="933"/>
      <c r="D457" s="494"/>
      <c r="F457" s="645"/>
      <c r="G457" s="527"/>
      <c r="H457" s="527"/>
      <c r="I457" s="527"/>
      <c r="J457" s="527"/>
      <c r="K457" s="527"/>
      <c r="L457" s="527"/>
      <c r="M457" s="527"/>
      <c r="N457" s="527"/>
      <c r="O457" s="527"/>
      <c r="P457" s="527"/>
      <c r="Q457" s="527"/>
      <c r="R457" s="527"/>
      <c r="S457" s="527"/>
      <c r="T457" s="527"/>
      <c r="U457" s="527"/>
      <c r="V457" s="527"/>
      <c r="W457" s="527"/>
      <c r="X457" s="527"/>
      <c r="Y457" s="527"/>
      <c r="Z457" s="527"/>
      <c r="AA457" s="527"/>
      <c r="AB457" s="527"/>
      <c r="AC457" s="527"/>
      <c r="AD457" s="527"/>
      <c r="AF457" s="537"/>
      <c r="AG457" s="537"/>
      <c r="AH457" s="537"/>
      <c r="AI457" s="537"/>
      <c r="AJ457" s="537"/>
      <c r="AK457" s="537"/>
      <c r="AL457" s="537"/>
      <c r="AN457" s="521"/>
    </row>
    <row r="458" spans="1:48" s="474" customFormat="1" ht="12.75" customHeight="1">
      <c r="A458" s="524"/>
      <c r="B458" s="781" t="s">
        <v>2196</v>
      </c>
      <c r="D458" s="601"/>
      <c r="E458" s="525"/>
      <c r="F458" s="525"/>
      <c r="G458" s="525"/>
      <c r="H458" s="525"/>
      <c r="I458" s="525"/>
      <c r="J458" s="525"/>
      <c r="K458" s="525"/>
      <c r="L458" s="525"/>
      <c r="M458" s="525"/>
      <c r="N458" s="525"/>
      <c r="O458" s="525"/>
      <c r="P458" s="525"/>
      <c r="Q458" s="525"/>
      <c r="R458" s="525"/>
      <c r="S458" s="525"/>
      <c r="T458" s="525"/>
      <c r="U458" s="525"/>
      <c r="V458" s="525"/>
      <c r="W458" s="525"/>
      <c r="X458" s="525"/>
      <c r="Y458" s="525"/>
      <c r="Z458" s="525"/>
      <c r="AA458" s="525"/>
      <c r="AB458" s="525"/>
      <c r="AC458" s="525"/>
      <c r="AD458" s="525"/>
      <c r="AE458" s="488"/>
      <c r="AF458" s="488"/>
      <c r="AG458" s="488"/>
      <c r="AH458" s="488"/>
      <c r="AI458" s="489"/>
      <c r="AJ458" s="489" t="s">
        <v>2197</v>
      </c>
      <c r="AK458" s="1841">
        <f>IF(Application!D214="N/A",AS347,AS349)</f>
        <v>10</v>
      </c>
      <c r="AL458" s="1842"/>
      <c r="AM458" s="1843"/>
      <c r="AN458" s="521"/>
    </row>
    <row r="459" spans="1:48" s="474" customFormat="1" ht="12.75" customHeight="1" thickBot="1">
      <c r="A459" s="683"/>
      <c r="B459" s="683"/>
      <c r="C459" s="683"/>
      <c r="D459" s="683"/>
      <c r="E459" s="683"/>
      <c r="F459" s="683"/>
      <c r="G459" s="683"/>
      <c r="H459" s="683"/>
      <c r="I459" s="683"/>
      <c r="J459" s="683"/>
      <c r="K459" s="683"/>
      <c r="L459" s="683"/>
      <c r="M459" s="683"/>
      <c r="N459" s="683"/>
      <c r="O459" s="683"/>
      <c r="P459" s="683"/>
      <c r="Q459" s="683"/>
      <c r="R459" s="683"/>
      <c r="S459" s="683"/>
      <c r="T459" s="683"/>
      <c r="U459" s="683"/>
      <c r="V459" s="683"/>
      <c r="W459" s="683"/>
      <c r="X459" s="683"/>
      <c r="Y459" s="683"/>
      <c r="Z459" s="683"/>
      <c r="AA459" s="683"/>
      <c r="AB459" s="683"/>
      <c r="AC459" s="683"/>
      <c r="AD459" s="683"/>
      <c r="AE459" s="683"/>
      <c r="AF459" s="683"/>
      <c r="AG459" s="683"/>
      <c r="AH459" s="683"/>
      <c r="AI459" s="683"/>
      <c r="AJ459" s="683"/>
      <c r="AK459" s="683"/>
      <c r="AL459" s="683"/>
      <c r="AM459" s="684"/>
      <c r="AN459" s="521"/>
    </row>
    <row r="460" spans="1:48" s="474" customFormat="1" ht="12.75" hidden="1" customHeight="1" thickTop="1">
      <c r="A460" s="64"/>
      <c r="B460" s="495"/>
      <c r="C460" s="496"/>
      <c r="D460" s="496"/>
      <c r="E460" s="496"/>
      <c r="F460" s="496"/>
      <c r="G460" s="496"/>
      <c r="H460" s="496"/>
      <c r="I460" s="497"/>
      <c r="J460" s="497"/>
      <c r="K460" s="497"/>
      <c r="L460" s="497"/>
      <c r="M460" s="497"/>
      <c r="N460" s="497"/>
      <c r="O460" s="497"/>
      <c r="P460" s="497"/>
      <c r="Q460" s="497"/>
      <c r="R460" s="494"/>
      <c r="S460" s="463"/>
      <c r="T460" s="463"/>
      <c r="U460" s="463"/>
      <c r="V460" s="463"/>
      <c r="W460" s="463"/>
      <c r="X460" s="463"/>
      <c r="Y460" s="463"/>
      <c r="Z460" s="463"/>
      <c r="AA460" s="463"/>
      <c r="AB460" s="463"/>
      <c r="AC460" s="463"/>
      <c r="AD460" s="463"/>
      <c r="AE460" s="463"/>
      <c r="AF460" s="494"/>
      <c r="AG460" s="463"/>
      <c r="AH460" s="463"/>
      <c r="AI460" s="463"/>
      <c r="AJ460" s="463"/>
      <c r="AM460" s="14"/>
      <c r="AN460" s="521"/>
      <c r="AO460" s="474" t="s">
        <v>299</v>
      </c>
      <c r="AP460" s="474">
        <v>0</v>
      </c>
      <c r="AT460" s="474" t="s">
        <v>299</v>
      </c>
      <c r="AU460" s="474">
        <v>0</v>
      </c>
      <c r="AV460" s="676"/>
    </row>
    <row r="461" spans="1:48" s="474" customFormat="1" ht="12.75" hidden="1" customHeight="1">
      <c r="A461" s="463" t="s">
        <v>2198</v>
      </c>
      <c r="C461" s="463"/>
      <c r="E461" s="520"/>
      <c r="AE461" s="1844" t="s">
        <v>2199</v>
      </c>
      <c r="AF461" s="1844"/>
      <c r="AG461" s="1844"/>
      <c r="AH461" s="1844"/>
      <c r="AI461" s="1844"/>
      <c r="AJ461" s="1844"/>
      <c r="AK461" s="1844"/>
      <c r="AL461" s="515"/>
      <c r="AN461" s="521"/>
      <c r="AO461" s="474" t="s">
        <v>2200</v>
      </c>
      <c r="AP461" s="474">
        <v>5</v>
      </c>
      <c r="AT461" s="474" t="s">
        <v>2200</v>
      </c>
      <c r="AU461" s="474">
        <v>5</v>
      </c>
      <c r="AV461" s="676"/>
    </row>
    <row r="462" spans="1:48" s="474" customFormat="1" ht="12.75" hidden="1" customHeight="1">
      <c r="A462" s="463"/>
      <c r="B462" s="460" t="s">
        <v>2201</v>
      </c>
      <c r="C462" s="463"/>
      <c r="E462" s="520"/>
      <c r="AE462" s="515"/>
      <c r="AF462" s="515"/>
      <c r="AG462" s="515"/>
      <c r="AH462" s="515"/>
      <c r="AI462" s="515"/>
      <c r="AJ462" s="515"/>
      <c r="AK462" s="515"/>
      <c r="AL462" s="515"/>
      <c r="AN462" s="521"/>
      <c r="AO462" s="474" t="s">
        <v>2202</v>
      </c>
      <c r="AP462" s="474">
        <v>5</v>
      </c>
      <c r="AT462" s="474" t="s">
        <v>2203</v>
      </c>
      <c r="AU462" s="474">
        <v>5</v>
      </c>
      <c r="AV462" s="676"/>
    </row>
    <row r="463" spans="1:48" s="474" customFormat="1" ht="12.75" hidden="1" customHeight="1">
      <c r="A463" s="463"/>
      <c r="B463" s="463" t="s">
        <v>2204</v>
      </c>
      <c r="C463" s="463"/>
      <c r="E463" s="520"/>
      <c r="AE463" s="515"/>
      <c r="AF463" s="515"/>
      <c r="AG463" s="515"/>
      <c r="AH463" s="515"/>
      <c r="AI463" s="515"/>
      <c r="AJ463" s="515"/>
      <c r="AK463" s="515"/>
      <c r="AL463" s="515"/>
      <c r="AN463" s="521"/>
      <c r="AO463" s="474" t="s">
        <v>2205</v>
      </c>
      <c r="AP463" s="474">
        <v>5</v>
      </c>
      <c r="AQ463" s="463"/>
      <c r="AR463" s="463"/>
      <c r="AS463" s="679"/>
      <c r="AT463" s="474" t="s">
        <v>2205</v>
      </c>
      <c r="AU463" s="474">
        <v>5</v>
      </c>
      <c r="AV463" s="460"/>
    </row>
    <row r="464" spans="1:48" s="474" customFormat="1" ht="12.75" hidden="1" customHeight="1">
      <c r="A464" s="463"/>
      <c r="B464" s="463" t="s">
        <v>2206</v>
      </c>
      <c r="C464" s="463"/>
      <c r="E464" s="520"/>
      <c r="AE464" s="515"/>
      <c r="AF464" s="515"/>
      <c r="AG464" s="515"/>
      <c r="AH464" s="515"/>
      <c r="AI464" s="515"/>
      <c r="AJ464" s="515"/>
      <c r="AK464" s="515"/>
      <c r="AL464" s="515"/>
      <c r="AN464" s="521"/>
      <c r="AO464" s="474" t="s">
        <v>2207</v>
      </c>
      <c r="AP464" s="474">
        <v>5</v>
      </c>
      <c r="AQ464" s="463"/>
      <c r="AR464" s="463"/>
      <c r="AT464" s="474" t="s">
        <v>2207</v>
      </c>
      <c r="AU464" s="474">
        <v>5</v>
      </c>
    </row>
    <row r="465" spans="1:59" s="474" customFormat="1" ht="12.75" hidden="1" customHeight="1">
      <c r="A465" s="463"/>
      <c r="C465" s="463"/>
      <c r="E465" s="520"/>
      <c r="AE465" s="515"/>
      <c r="AF465" s="515"/>
      <c r="AG465" s="515"/>
      <c r="AH465" s="515"/>
      <c r="AI465" s="515"/>
      <c r="AJ465" s="515"/>
      <c r="AK465" s="515"/>
      <c r="AL465" s="515"/>
      <c r="AN465" s="521"/>
      <c r="AO465" s="474" t="s">
        <v>2208</v>
      </c>
      <c r="AP465" s="474">
        <v>5</v>
      </c>
      <c r="AQ465" s="463"/>
      <c r="AR465" s="463"/>
      <c r="AT465" s="474" t="s">
        <v>2208</v>
      </c>
      <c r="AU465" s="474">
        <v>5</v>
      </c>
    </row>
    <row r="466" spans="1:59" s="474" customFormat="1" ht="12.75" hidden="1" customHeight="1">
      <c r="A466" s="463"/>
      <c r="C466" s="636" t="s">
        <v>2209</v>
      </c>
      <c r="D466" s="494"/>
      <c r="AE466" s="515"/>
      <c r="AF466" s="515"/>
      <c r="AG466" s="520"/>
      <c r="AH466" s="520"/>
      <c r="AI466" s="520"/>
      <c r="AJ466" s="520"/>
      <c r="AK466" s="520"/>
      <c r="AL466" s="520"/>
      <c r="AN466" s="521"/>
      <c r="AO466" s="474" t="s">
        <v>2210</v>
      </c>
      <c r="AP466" s="474">
        <v>5</v>
      </c>
      <c r="AT466" s="474" t="s">
        <v>2210</v>
      </c>
      <c r="AU466" s="474">
        <v>5</v>
      </c>
    </row>
    <row r="467" spans="1:59" s="474" customFormat="1" ht="12.75" hidden="1" customHeight="1">
      <c r="A467" s="463"/>
      <c r="C467" s="1921" t="s">
        <v>299</v>
      </c>
      <c r="D467" s="1922"/>
      <c r="E467" s="685" t="s">
        <v>50</v>
      </c>
      <c r="F467" s="1942" t="s">
        <v>2211</v>
      </c>
      <c r="G467" s="1942"/>
      <c r="H467" s="1942"/>
      <c r="I467" s="1942"/>
      <c r="J467" s="1942"/>
      <c r="K467" s="1942"/>
      <c r="L467" s="1942"/>
      <c r="M467" s="1942"/>
      <c r="N467" s="1942"/>
      <c r="O467" s="1942"/>
      <c r="P467" s="1942"/>
      <c r="Q467" s="1942"/>
      <c r="R467" s="1942"/>
      <c r="S467" s="1942"/>
      <c r="T467" s="1942"/>
      <c r="U467" s="1942"/>
      <c r="V467" s="1942"/>
      <c r="W467" s="1942"/>
      <c r="X467" s="1942"/>
      <c r="Y467" s="1942"/>
      <c r="Z467" s="1942"/>
      <c r="AA467" s="1942"/>
      <c r="AB467" s="1942"/>
      <c r="AC467" s="1942"/>
      <c r="AD467" s="1942"/>
      <c r="AE467" s="1942"/>
      <c r="AF467" s="638"/>
      <c r="AG467" s="638"/>
      <c r="AH467" s="638"/>
      <c r="AI467" s="638"/>
      <c r="AJ467" s="638"/>
      <c r="AK467" s="669"/>
      <c r="AN467" s="521"/>
      <c r="AO467" s="474" t="s">
        <v>2212</v>
      </c>
      <c r="AP467" s="474">
        <v>5</v>
      </c>
      <c r="AS467" s="682"/>
      <c r="AT467" s="474" t="s">
        <v>2213</v>
      </c>
      <c r="AU467" s="474">
        <v>5</v>
      </c>
    </row>
    <row r="468" spans="1:59" s="474" customFormat="1" ht="12.75" hidden="1" customHeight="1">
      <c r="C468" s="686"/>
      <c r="E468" s="687"/>
      <c r="F468" s="1943"/>
      <c r="G468" s="1943"/>
      <c r="H468" s="1943"/>
      <c r="I468" s="1943"/>
      <c r="J468" s="1943"/>
      <c r="K468" s="1943"/>
      <c r="L468" s="1943"/>
      <c r="M468" s="1943"/>
      <c r="N468" s="1943"/>
      <c r="O468" s="1943"/>
      <c r="P468" s="1943"/>
      <c r="Q468" s="1943"/>
      <c r="R468" s="1943"/>
      <c r="S468" s="1943"/>
      <c r="T468" s="1943"/>
      <c r="U468" s="1943"/>
      <c r="V468" s="1943"/>
      <c r="W468" s="1943"/>
      <c r="X468" s="1943"/>
      <c r="Y468" s="1943"/>
      <c r="Z468" s="1943"/>
      <c r="AA468" s="1943"/>
      <c r="AB468" s="1943"/>
      <c r="AC468" s="1943"/>
      <c r="AD468" s="1943"/>
      <c r="AE468" s="1943"/>
      <c r="AG468" s="475"/>
      <c r="AH468" s="475"/>
      <c r="AI468" s="475"/>
      <c r="AJ468" s="475"/>
      <c r="AK468" s="656"/>
      <c r="AN468" s="521"/>
      <c r="AO468" s="474" t="s">
        <v>2214</v>
      </c>
      <c r="AP468" s="474">
        <v>1</v>
      </c>
      <c r="AT468" s="474" t="s">
        <v>2214</v>
      </c>
      <c r="AU468" s="474">
        <v>1</v>
      </c>
    </row>
    <row r="469" spans="1:59" s="474" customFormat="1" ht="12.75" hidden="1" customHeight="1">
      <c r="C469" s="688"/>
      <c r="D469" s="651"/>
      <c r="E469" s="689"/>
      <c r="F469" s="1937" t="s">
        <v>299</v>
      </c>
      <c r="G469" s="1937"/>
      <c r="H469" s="1937"/>
      <c r="I469" s="1937"/>
      <c r="J469" s="1937"/>
      <c r="K469" s="1937"/>
      <c r="L469" s="1937"/>
      <c r="M469" s="1937"/>
      <c r="N469" s="1937"/>
      <c r="O469" s="1937"/>
      <c r="P469" s="1937"/>
      <c r="Q469" s="1937"/>
      <c r="R469" s="1937"/>
      <c r="S469" s="1937"/>
      <c r="T469" s="1937"/>
      <c r="U469" s="1937"/>
      <c r="V469" s="1937"/>
      <c r="W469" s="1937"/>
      <c r="X469" s="1937"/>
      <c r="Y469" s="1937"/>
      <c r="Z469" s="1937"/>
      <c r="AA469" s="690"/>
      <c r="AB469" s="582"/>
      <c r="AC469" s="582"/>
      <c r="AD469" s="651"/>
      <c r="AE469" s="651"/>
      <c r="AF469" s="651"/>
      <c r="AG469" s="691">
        <f>IF($C$467="Yes",(VLOOKUP($F$469,$AT$460:$AU$468,2,FALSE)),0)</f>
        <v>0</v>
      </c>
      <c r="AH469" s="692" t="s">
        <v>1995</v>
      </c>
      <c r="AI469" s="691"/>
      <c r="AJ469" s="691"/>
      <c r="AK469" s="666"/>
      <c r="AN469" s="521"/>
      <c r="AS469" s="679"/>
      <c r="AX469" s="679"/>
      <c r="BB469" s="679" t="s">
        <v>2215</v>
      </c>
      <c r="BF469" s="679" t="s">
        <v>2216</v>
      </c>
    </row>
    <row r="470" spans="1:59" s="474" customFormat="1" ht="12.75" hidden="1" customHeight="1">
      <c r="C470" s="475"/>
      <c r="E470" s="687"/>
      <c r="F470" s="517"/>
      <c r="G470" s="517"/>
      <c r="H470" s="517"/>
      <c r="I470" s="517"/>
      <c r="J470" s="517"/>
      <c r="K470" s="517"/>
      <c r="L470" s="517"/>
      <c r="M470" s="517"/>
      <c r="N470" s="517"/>
      <c r="O470" s="517"/>
      <c r="P470" s="517"/>
      <c r="Q470" s="517"/>
      <c r="R470" s="517"/>
      <c r="S470" s="517"/>
      <c r="T470" s="517"/>
      <c r="U470" s="517"/>
      <c r="V470" s="517"/>
      <c r="W470" s="517"/>
      <c r="X470" s="517"/>
      <c r="Y470" s="517"/>
      <c r="Z470" s="517"/>
      <c r="AA470" s="494"/>
      <c r="AB470" s="475"/>
      <c r="AC470" s="475"/>
      <c r="AG470" s="475"/>
      <c r="AH470" s="475"/>
      <c r="AI470" s="475"/>
      <c r="AJ470" s="475"/>
      <c r="AN470" s="521"/>
      <c r="AO470" s="474" t="s">
        <v>299</v>
      </c>
      <c r="AP470" s="561">
        <v>0</v>
      </c>
      <c r="AT470" s="474" t="s">
        <v>299</v>
      </c>
      <c r="AU470" s="561">
        <v>0</v>
      </c>
      <c r="AW470" s="474" t="s">
        <v>299</v>
      </c>
      <c r="AX470" s="561">
        <v>0</v>
      </c>
      <c r="AY470" s="517"/>
      <c r="BB470" s="474" t="s">
        <v>299</v>
      </c>
      <c r="BC470" s="517">
        <v>0</v>
      </c>
      <c r="BF470" s="474" t="s">
        <v>299</v>
      </c>
      <c r="BG470" s="517">
        <v>0</v>
      </c>
    </row>
    <row r="471" spans="1:59" s="474" customFormat="1" ht="12.75" hidden="1" customHeight="1">
      <c r="C471" s="1938" t="s">
        <v>836</v>
      </c>
      <c r="D471" s="1939"/>
      <c r="E471" s="685" t="s">
        <v>52</v>
      </c>
      <c r="F471" s="693" t="s">
        <v>2217</v>
      </c>
      <c r="G471" s="573"/>
      <c r="H471" s="573"/>
      <c r="I471" s="573"/>
      <c r="J471" s="573"/>
      <c r="K471" s="573"/>
      <c r="L471" s="573"/>
      <c r="M471" s="573"/>
      <c r="N471" s="573"/>
      <c r="O471" s="573"/>
      <c r="P471" s="573"/>
      <c r="Q471" s="573"/>
      <c r="R471" s="573"/>
      <c r="S471" s="573"/>
      <c r="T471" s="573"/>
      <c r="U471" s="573"/>
      <c r="V471" s="573"/>
      <c r="W471" s="573"/>
      <c r="X471" s="573"/>
      <c r="Y471" s="573"/>
      <c r="Z471" s="573"/>
      <c r="AA471" s="573"/>
      <c r="AB471" s="573"/>
      <c r="AC471" s="573"/>
      <c r="AD471" s="638"/>
      <c r="AE471" s="638"/>
      <c r="AF471" s="638"/>
      <c r="AG471" s="573"/>
      <c r="AH471" s="573"/>
      <c r="AI471" s="573"/>
      <c r="AJ471" s="573"/>
      <c r="AK471" s="669"/>
      <c r="AN471" s="521"/>
      <c r="AO471" s="682">
        <v>0.15</v>
      </c>
      <c r="AP471" s="561">
        <v>3</v>
      </c>
      <c r="AT471" s="682">
        <v>7.0000000000000007E-2</v>
      </c>
      <c r="AU471" s="561">
        <v>3</v>
      </c>
      <c r="AW471" s="474" t="s">
        <v>2218</v>
      </c>
      <c r="AX471" s="561">
        <v>3</v>
      </c>
      <c r="AY471" s="517"/>
      <c r="BB471" s="682">
        <v>0.4</v>
      </c>
      <c r="BC471" s="517">
        <v>3</v>
      </c>
      <c r="BF471" s="682">
        <v>0.4</v>
      </c>
      <c r="BG471" s="517">
        <v>4</v>
      </c>
    </row>
    <row r="472" spans="1:59" s="474" customFormat="1" ht="12.75" hidden="1" customHeight="1">
      <c r="C472" s="694" t="s">
        <v>2219</v>
      </c>
      <c r="F472" s="695" t="s">
        <v>2220</v>
      </c>
      <c r="G472" s="475"/>
      <c r="H472" s="475"/>
      <c r="I472" s="475"/>
      <c r="J472" s="475"/>
      <c r="K472" s="475"/>
      <c r="L472" s="475"/>
      <c r="M472" s="475"/>
      <c r="N472" s="475"/>
      <c r="O472" s="475"/>
      <c r="P472" s="475"/>
      <c r="Q472" s="475"/>
      <c r="R472" s="475"/>
      <c r="S472" s="475"/>
      <c r="T472" s="475"/>
      <c r="U472" s="475"/>
      <c r="V472" s="475"/>
      <c r="W472" s="475"/>
      <c r="X472" s="475"/>
      <c r="Y472" s="475"/>
      <c r="Z472" s="475"/>
      <c r="AA472" s="475"/>
      <c r="AB472" s="475"/>
      <c r="AC472" s="515"/>
      <c r="AG472" s="537"/>
      <c r="AH472" s="537"/>
      <c r="AI472" s="537"/>
      <c r="AJ472" s="537"/>
      <c r="AK472" s="656"/>
      <c r="AN472" s="521"/>
      <c r="AO472" s="682">
        <v>0.2</v>
      </c>
      <c r="AP472" s="561">
        <v>5</v>
      </c>
      <c r="AT472" s="682">
        <v>0.12</v>
      </c>
      <c r="AU472" s="561">
        <v>5</v>
      </c>
      <c r="AW472" s="474" t="s">
        <v>2221</v>
      </c>
      <c r="AX472" s="561">
        <v>5</v>
      </c>
      <c r="AY472" s="517"/>
      <c r="BB472" s="682">
        <v>0.6</v>
      </c>
      <c r="BC472" s="517">
        <v>4</v>
      </c>
      <c r="BF472" s="682">
        <v>0.6</v>
      </c>
      <c r="BG472" s="517">
        <v>5</v>
      </c>
    </row>
    <row r="473" spans="1:59" s="474" customFormat="1" ht="12.75" hidden="1" customHeight="1">
      <c r="C473" s="675"/>
      <c r="D473" s="654"/>
      <c r="E473" s="696"/>
      <c r="F473" s="695" t="s">
        <v>2222</v>
      </c>
      <c r="G473" s="695"/>
      <c r="H473" s="695"/>
      <c r="I473" s="695"/>
      <c r="J473" s="695"/>
      <c r="K473" s="695"/>
      <c r="L473" s="695"/>
      <c r="M473" s="695"/>
      <c r="N473" s="695"/>
      <c r="O473" s="695"/>
      <c r="P473" s="695"/>
      <c r="Q473" s="695"/>
      <c r="R473" s="695"/>
      <c r="S473" s="695"/>
      <c r="T473" s="695"/>
      <c r="U473" s="695"/>
      <c r="V473" s="695"/>
      <c r="W473" s="695"/>
      <c r="X473" s="695"/>
      <c r="Y473" s="695"/>
      <c r="Z473" s="695"/>
      <c r="AA473" s="695"/>
      <c r="AB473" s="695"/>
      <c r="AC473" s="697"/>
      <c r="AD473" s="533"/>
      <c r="AE473" s="533"/>
      <c r="AF473" s="533"/>
      <c r="AG473" s="698"/>
      <c r="AH473" s="537"/>
      <c r="AI473" s="537"/>
      <c r="AJ473" s="537"/>
      <c r="AK473" s="656"/>
      <c r="AN473" s="602"/>
      <c r="AO473" s="682"/>
      <c r="AP473" s="517"/>
      <c r="AT473" s="682"/>
      <c r="AU473" s="517"/>
      <c r="AX473" s="682"/>
      <c r="AY473" s="517"/>
      <c r="BB473" s="682">
        <v>0.8</v>
      </c>
      <c r="BC473" s="517">
        <v>5</v>
      </c>
      <c r="BF473" s="682"/>
      <c r="BG473" s="517"/>
    </row>
    <row r="474" spans="1:59" s="520" customFormat="1" ht="12.75" hidden="1" customHeight="1">
      <c r="A474" s="561"/>
      <c r="B474" s="474"/>
      <c r="C474" s="686"/>
      <c r="D474" s="474"/>
      <c r="E474" s="687"/>
      <c r="F474" s="699" t="s">
        <v>2223</v>
      </c>
      <c r="G474" s="474"/>
      <c r="H474" s="474"/>
      <c r="I474" s="695"/>
      <c r="J474" s="695"/>
      <c r="K474" s="695"/>
      <c r="L474" s="695"/>
      <c r="M474" s="695"/>
      <c r="N474" s="695"/>
      <c r="O474" s="695"/>
      <c r="P474" s="695"/>
      <c r="Q474" s="695"/>
      <c r="R474" s="695"/>
      <c r="S474" s="695"/>
      <c r="T474" s="695"/>
      <c r="U474" s="695"/>
      <c r="V474" s="1850" t="s">
        <v>299</v>
      </c>
      <c r="W474" s="1850"/>
      <c r="X474" s="1850"/>
      <c r="Y474" s="695"/>
      <c r="Z474" s="695"/>
      <c r="AA474" s="695"/>
      <c r="AB474" s="695"/>
      <c r="AC474" s="695"/>
      <c r="AD474" s="533"/>
      <c r="AE474" s="533"/>
      <c r="AF474" s="533"/>
      <c r="AG474" s="537">
        <f>IF(AND($C$471="Yes",$V$476="N/A",$V$481="N/A",$V$485="N/A",$V$487="N/A"),(VLOOKUP(V474,$AW$470:$AX$472,2,FALSE)),0)</f>
        <v>0</v>
      </c>
      <c r="AH474" s="564" t="s">
        <v>1995</v>
      </c>
      <c r="AI474" s="475"/>
      <c r="AJ474" s="475"/>
      <c r="AK474" s="656"/>
      <c r="AL474" s="474"/>
      <c r="AM474" s="474"/>
      <c r="AN474" s="521"/>
      <c r="AT474" s="474" t="s">
        <v>299</v>
      </c>
      <c r="AU474" s="561">
        <v>0</v>
      </c>
      <c r="AV474" s="474"/>
      <c r="AW474" s="474"/>
      <c r="AX474" s="474"/>
      <c r="AY474" s="474"/>
      <c r="AZ474" s="474"/>
      <c r="BA474" s="474"/>
      <c r="BB474" s="682"/>
      <c r="BC474" s="517"/>
      <c r="BD474" s="474"/>
      <c r="BE474" s="474"/>
      <c r="BF474" s="474"/>
      <c r="BG474" s="474"/>
    </row>
    <row r="475" spans="1:59" s="520" customFormat="1" ht="12.75" hidden="1" customHeight="1">
      <c r="A475" s="561"/>
      <c r="B475" s="474"/>
      <c r="C475" s="686"/>
      <c r="D475" s="474"/>
      <c r="E475" s="687"/>
      <c r="F475" s="699"/>
      <c r="G475" s="474"/>
      <c r="H475" s="474"/>
      <c r="I475" s="695"/>
      <c r="J475" s="695"/>
      <c r="K475" s="695"/>
      <c r="L475" s="695"/>
      <c r="M475" s="695"/>
      <c r="N475" s="695"/>
      <c r="O475" s="695"/>
      <c r="P475" s="695"/>
      <c r="Q475" s="695"/>
      <c r="R475" s="695"/>
      <c r="S475" s="695"/>
      <c r="T475" s="695"/>
      <c r="U475" s="695"/>
      <c r="V475" s="695"/>
      <c r="W475" s="695"/>
      <c r="X475" s="695"/>
      <c r="Y475" s="695"/>
      <c r="Z475" s="695"/>
      <c r="AA475" s="695"/>
      <c r="AB475" s="695"/>
      <c r="AC475" s="695"/>
      <c r="AD475" s="533"/>
      <c r="AE475" s="533"/>
      <c r="AF475" s="533"/>
      <c r="AG475" s="537"/>
      <c r="AH475" s="564"/>
      <c r="AI475" s="475"/>
      <c r="AJ475" s="475"/>
      <c r="AK475" s="656"/>
      <c r="AL475" s="474"/>
      <c r="AM475" s="474"/>
      <c r="AN475" s="521"/>
      <c r="AT475" s="682">
        <v>0.09</v>
      </c>
      <c r="AU475" s="561">
        <v>3</v>
      </c>
      <c r="AV475" s="474"/>
      <c r="AW475" s="474"/>
      <c r="AX475" s="679"/>
      <c r="AY475" s="474"/>
      <c r="AZ475" s="474"/>
      <c r="BA475" s="474"/>
      <c r="BB475" s="474"/>
      <c r="BC475" s="474"/>
      <c r="BD475" s="474"/>
      <c r="BE475" s="474"/>
      <c r="BF475" s="474"/>
      <c r="BG475" s="474"/>
    </row>
    <row r="476" spans="1:59" s="520" customFormat="1" ht="12.75" hidden="1" customHeight="1">
      <c r="A476" s="561"/>
      <c r="B476" s="474"/>
      <c r="C476" s="686"/>
      <c r="D476" s="474"/>
      <c r="E476" s="687"/>
      <c r="F476" s="699" t="s">
        <v>2224</v>
      </c>
      <c r="G476" s="474"/>
      <c r="H476" s="474"/>
      <c r="I476" s="695"/>
      <c r="J476" s="695"/>
      <c r="K476" s="695"/>
      <c r="L476" s="695"/>
      <c r="M476" s="695"/>
      <c r="N476" s="695"/>
      <c r="O476" s="695"/>
      <c r="P476" s="695"/>
      <c r="Q476" s="695"/>
      <c r="R476" s="695"/>
      <c r="S476" s="695"/>
      <c r="T476" s="695"/>
      <c r="U476" s="695"/>
      <c r="V476" s="1850" t="s">
        <v>299</v>
      </c>
      <c r="W476" s="1850"/>
      <c r="X476" s="1850"/>
      <c r="Y476" s="695"/>
      <c r="Z476" s="695"/>
      <c r="AA476" s="695"/>
      <c r="AB476" s="695"/>
      <c r="AC476" s="695"/>
      <c r="AD476" s="533"/>
      <c r="AE476" s="533"/>
      <c r="AF476" s="533"/>
      <c r="AG476" s="537">
        <f>IF(AND($C$471="Yes",$V$474="N/A", $V$481="N/A",$V$485="N/A",$V$487="N/A"),(VLOOKUP(V476,$AT$470:$AU$472,2,FALSE)),0)</f>
        <v>0</v>
      </c>
      <c r="AH476" s="564" t="s">
        <v>1995</v>
      </c>
      <c r="AI476" s="475"/>
      <c r="AJ476" s="475"/>
      <c r="AK476" s="656"/>
      <c r="AL476" s="474"/>
      <c r="AM476" s="474"/>
      <c r="AN476" s="521"/>
      <c r="AT476" s="682">
        <v>0.15</v>
      </c>
      <c r="AU476" s="561">
        <v>5</v>
      </c>
      <c r="AV476" s="474"/>
      <c r="AW476" s="474"/>
      <c r="AX476" s="474"/>
      <c r="AY476" s="474"/>
      <c r="AZ476" s="474"/>
      <c r="BA476" s="474"/>
      <c r="BB476" s="474"/>
      <c r="BC476" s="474"/>
      <c r="BD476" s="474"/>
      <c r="BE476" s="474"/>
      <c r="BF476" s="474"/>
      <c r="BG476" s="474"/>
    </row>
    <row r="477" spans="1:59" s="474" customFormat="1" ht="12.75" hidden="1" customHeight="1">
      <c r="C477" s="686"/>
      <c r="E477" s="687"/>
      <c r="F477" s="520"/>
      <c r="G477" s="700"/>
      <c r="H477" s="700"/>
      <c r="I477" s="700"/>
      <c r="J477" s="700"/>
      <c r="K477" s="700"/>
      <c r="L477" s="700"/>
      <c r="M477" s="700"/>
      <c r="N477" s="700"/>
      <c r="O477" s="700"/>
      <c r="P477" s="700"/>
      <c r="Q477" s="475"/>
      <c r="R477" s="475"/>
      <c r="S477" s="475"/>
      <c r="T477" s="475"/>
      <c r="U477" s="475"/>
      <c r="V477" s="475"/>
      <c r="W477" s="475"/>
      <c r="X477" s="475"/>
      <c r="Y477" s="475"/>
      <c r="Z477" s="475"/>
      <c r="AA477" s="475"/>
      <c r="AB477" s="475"/>
      <c r="AC477" s="475"/>
      <c r="AG477" s="520"/>
      <c r="AH477" s="520"/>
      <c r="AI477" s="520"/>
      <c r="AJ477" s="520"/>
      <c r="AK477" s="656"/>
      <c r="AN477" s="521"/>
      <c r="AO477" s="474" t="s">
        <v>299</v>
      </c>
      <c r="AP477" s="474">
        <v>0</v>
      </c>
    </row>
    <row r="478" spans="1:59" s="474" customFormat="1" ht="12.75" hidden="1" customHeight="1">
      <c r="C478" s="686"/>
      <c r="E478" s="687"/>
      <c r="F478" s="700" t="s">
        <v>2225</v>
      </c>
      <c r="I478" s="687"/>
      <c r="J478" s="687"/>
      <c r="K478" s="687"/>
      <c r="L478" s="687"/>
      <c r="M478" s="687"/>
      <c r="N478" s="687"/>
      <c r="O478" s="687"/>
      <c r="P478" s="687"/>
      <c r="Q478" s="475"/>
      <c r="R478" s="475"/>
      <c r="S478" s="475"/>
      <c r="T478" s="475"/>
      <c r="U478" s="475"/>
      <c r="V478" s="475"/>
      <c r="W478" s="475"/>
      <c r="X478" s="475"/>
      <c r="Y478" s="475"/>
      <c r="Z478" s="475"/>
      <c r="AA478" s="475"/>
      <c r="AB478" s="475"/>
      <c r="AC478" s="475"/>
      <c r="AJ478" s="475"/>
      <c r="AK478" s="656"/>
      <c r="AN478" s="521"/>
      <c r="AO478" s="474" t="s">
        <v>2226</v>
      </c>
      <c r="AP478" s="561">
        <v>2</v>
      </c>
    </row>
    <row r="479" spans="1:59" s="474" customFormat="1" ht="12.75" hidden="1" customHeight="1">
      <c r="C479" s="686"/>
      <c r="F479" s="533" t="s">
        <v>2227</v>
      </c>
      <c r="M479" s="687"/>
      <c r="N479" s="687"/>
      <c r="O479" s="687"/>
      <c r="P479" s="687"/>
      <c r="Q479" s="475"/>
      <c r="R479" s="475"/>
      <c r="S479" s="475"/>
      <c r="T479" s="475"/>
      <c r="U479" s="475"/>
      <c r="V479" s="475"/>
      <c r="W479" s="475"/>
      <c r="X479" s="475"/>
      <c r="Y479" s="475"/>
      <c r="Z479" s="475"/>
      <c r="AA479" s="475"/>
      <c r="AB479" s="475"/>
      <c r="AC479" s="475"/>
      <c r="AG479" s="537"/>
      <c r="AH479" s="564"/>
      <c r="AI479" s="475"/>
      <c r="AJ479" s="475"/>
      <c r="AK479" s="656"/>
      <c r="AN479" s="521"/>
      <c r="AO479" s="474" t="s">
        <v>2228</v>
      </c>
      <c r="AP479" s="474">
        <v>2</v>
      </c>
    </row>
    <row r="480" spans="1:59" s="520" customFormat="1" ht="12.75" hidden="1" customHeight="1">
      <c r="A480" s="474"/>
      <c r="B480" s="474"/>
      <c r="C480" s="663"/>
      <c r="D480" s="494"/>
      <c r="E480" s="494"/>
      <c r="F480" s="533" t="s">
        <v>2229</v>
      </c>
      <c r="G480" s="474"/>
      <c r="H480" s="474"/>
      <c r="I480" s="474"/>
      <c r="J480" s="474"/>
      <c r="K480" s="474"/>
      <c r="L480" s="474"/>
      <c r="M480" s="687"/>
      <c r="N480" s="687"/>
      <c r="O480" s="687"/>
      <c r="P480" s="687"/>
      <c r="Q480" s="475"/>
      <c r="R480" s="475"/>
      <c r="S480" s="475"/>
      <c r="T480" s="475"/>
      <c r="U480" s="475"/>
      <c r="V480" s="475"/>
      <c r="W480" s="475"/>
      <c r="X480" s="475"/>
      <c r="Y480" s="475"/>
      <c r="Z480" s="475"/>
      <c r="AA480" s="475"/>
      <c r="AB480" s="475"/>
      <c r="AC480" s="475"/>
      <c r="AD480" s="474"/>
      <c r="AE480" s="474"/>
      <c r="AF480" s="474"/>
      <c r="AG480" s="537"/>
      <c r="AH480" s="564"/>
      <c r="AI480" s="475"/>
      <c r="AJ480" s="475"/>
      <c r="AK480" s="656"/>
      <c r="AL480" s="474"/>
      <c r="AM480" s="474"/>
      <c r="AN480" s="602"/>
      <c r="AO480" s="474" t="s">
        <v>2230</v>
      </c>
      <c r="AP480" s="474">
        <v>2</v>
      </c>
    </row>
    <row r="481" spans="1:81" s="474" customFormat="1" ht="12.75" hidden="1" customHeight="1">
      <c r="C481" s="701"/>
      <c r="F481" s="699" t="s">
        <v>2231</v>
      </c>
      <c r="M481" s="687"/>
      <c r="N481" s="687"/>
      <c r="O481" s="687"/>
      <c r="P481" s="687"/>
      <c r="Q481" s="475"/>
      <c r="R481" s="475"/>
      <c r="S481" s="475"/>
      <c r="T481" s="475"/>
      <c r="U481" s="475"/>
      <c r="V481" s="1850" t="s">
        <v>299</v>
      </c>
      <c r="W481" s="1850"/>
      <c r="X481" s="1850"/>
      <c r="Y481" s="475"/>
      <c r="Z481" s="475"/>
      <c r="AA481" s="475"/>
      <c r="AB481" s="475"/>
      <c r="AC481" s="475"/>
      <c r="AG481" s="537">
        <f>IF(AND($C$471="Yes",$V$474="N/A",$V$476="N/A", $V$485="N/A",$V$487="N/A"),(VLOOKUP($V$481,$AT$474:$AU$476,2,FALSE)),0)</f>
        <v>0</v>
      </c>
      <c r="AH481" s="564" t="s">
        <v>1995</v>
      </c>
      <c r="AI481" s="475"/>
      <c r="AJ481" s="475"/>
      <c r="AK481" s="656"/>
      <c r="AN481" s="459"/>
    </row>
    <row r="482" spans="1:81" s="474" customFormat="1" ht="12.75" hidden="1" customHeight="1">
      <c r="C482" s="686"/>
      <c r="M482" s="687"/>
      <c r="N482" s="687"/>
      <c r="O482" s="687"/>
      <c r="P482" s="687"/>
      <c r="Q482" s="475"/>
      <c r="R482" s="475"/>
      <c r="S482" s="475"/>
      <c r="T482" s="475"/>
      <c r="U482" s="475"/>
      <c r="V482" s="475"/>
      <c r="W482" s="475"/>
      <c r="X482" s="475"/>
      <c r="Y482" s="475"/>
      <c r="Z482" s="475"/>
      <c r="AA482" s="475"/>
      <c r="AB482" s="475"/>
      <c r="AC482" s="475"/>
      <c r="AJ482" s="475"/>
      <c r="AK482" s="656"/>
      <c r="AN482" s="702"/>
    </row>
    <row r="483" spans="1:81" s="520" customFormat="1" ht="12.75" hidden="1" customHeight="1">
      <c r="A483" s="474"/>
      <c r="B483" s="474"/>
      <c r="C483" s="703" t="s">
        <v>2232</v>
      </c>
      <c r="D483" s="638"/>
      <c r="E483" s="638"/>
      <c r="F483" s="704" t="s">
        <v>2233</v>
      </c>
      <c r="G483" s="638"/>
      <c r="H483" s="638"/>
      <c r="I483" s="638"/>
      <c r="J483" s="638"/>
      <c r="K483" s="638"/>
      <c r="L483" s="638"/>
      <c r="M483" s="638"/>
      <c r="N483" s="638"/>
      <c r="O483" s="638"/>
      <c r="P483" s="638"/>
      <c r="Q483" s="638"/>
      <c r="R483" s="638"/>
      <c r="S483" s="638"/>
      <c r="T483" s="638"/>
      <c r="U483" s="638"/>
      <c r="V483" s="638"/>
      <c r="W483" s="638"/>
      <c r="X483" s="638"/>
      <c r="Y483" s="638"/>
      <c r="Z483" s="638"/>
      <c r="AA483" s="638"/>
      <c r="AB483" s="638"/>
      <c r="AC483" s="638"/>
      <c r="AD483" s="638"/>
      <c r="AE483" s="638"/>
      <c r="AF483" s="638"/>
      <c r="AG483" s="638"/>
      <c r="AH483" s="638"/>
      <c r="AI483" s="638"/>
      <c r="AJ483" s="638"/>
      <c r="AK483" s="669"/>
      <c r="AL483" s="474"/>
      <c r="AM483" s="474"/>
      <c r="AN483" s="516"/>
      <c r="AO483" s="474" t="s">
        <v>299</v>
      </c>
      <c r="AP483" s="474">
        <v>0</v>
      </c>
      <c r="AQ483" s="463"/>
    </row>
    <row r="484" spans="1:81" s="520" customFormat="1" ht="12.75" hidden="1" customHeight="1">
      <c r="A484" s="474"/>
      <c r="B484" s="474"/>
      <c r="C484" s="705"/>
      <c r="D484" s="1924"/>
      <c r="E484" s="1924"/>
      <c r="F484" s="695" t="s">
        <v>2234</v>
      </c>
      <c r="I484" s="474"/>
      <c r="J484" s="474"/>
      <c r="K484" s="474"/>
      <c r="L484" s="474"/>
      <c r="M484" s="474"/>
      <c r="N484" s="474"/>
      <c r="O484" s="474"/>
      <c r="P484" s="474"/>
      <c r="Q484" s="474"/>
      <c r="R484" s="474"/>
      <c r="S484" s="474"/>
      <c r="T484" s="474"/>
      <c r="U484" s="474"/>
      <c r="Y484" s="474"/>
      <c r="Z484" s="474"/>
      <c r="AA484" s="474"/>
      <c r="AB484" s="474"/>
      <c r="AC484" s="474"/>
      <c r="AD484" s="474"/>
      <c r="AE484" s="474"/>
      <c r="AF484" s="474"/>
      <c r="AK484" s="656"/>
      <c r="AL484" s="474"/>
      <c r="AM484" s="474"/>
      <c r="AN484" s="516"/>
      <c r="AO484" s="474" t="s">
        <v>2235</v>
      </c>
      <c r="AP484" s="561">
        <v>5</v>
      </c>
      <c r="AQ484" s="463"/>
    </row>
    <row r="485" spans="1:81" s="494" customFormat="1" ht="12.75" hidden="1" customHeight="1">
      <c r="A485" s="603"/>
      <c r="B485" s="474"/>
      <c r="C485" s="686"/>
      <c r="D485" s="474"/>
      <c r="E485" s="474"/>
      <c r="F485" s="706" t="s">
        <v>2223</v>
      </c>
      <c r="G485" s="474"/>
      <c r="H485" s="474"/>
      <c r="I485" s="474"/>
      <c r="J485" s="474"/>
      <c r="K485" s="474"/>
      <c r="L485" s="474"/>
      <c r="M485" s="474"/>
      <c r="N485" s="474"/>
      <c r="O485" s="474"/>
      <c r="P485" s="474"/>
      <c r="Q485" s="474"/>
      <c r="R485" s="474"/>
      <c r="S485" s="474"/>
      <c r="T485" s="474"/>
      <c r="U485" s="474"/>
      <c r="V485" s="1850" t="s">
        <v>299</v>
      </c>
      <c r="W485" s="1850"/>
      <c r="X485" s="1850"/>
      <c r="Y485" s="474"/>
      <c r="Z485" s="474"/>
      <c r="AA485" s="474"/>
      <c r="AB485" s="474"/>
      <c r="AC485" s="474"/>
      <c r="AD485" s="474"/>
      <c r="AE485" s="474"/>
      <c r="AF485" s="474"/>
      <c r="AG485" s="537">
        <f>IF(AND($C$471="Yes",$V$474="N/A",V476="N/A",$V$481="N/A",$V$487="N/A"),(VLOOKUP($V$485,$BB$470:$BC$473,2,FALSE)),0)</f>
        <v>0</v>
      </c>
      <c r="AH485" s="564" t="s">
        <v>1995</v>
      </c>
      <c r="AI485" s="475"/>
      <c r="AJ485" s="474"/>
      <c r="AK485" s="656"/>
      <c r="AL485" s="474"/>
      <c r="AM485" s="474"/>
      <c r="AN485" s="608"/>
      <c r="AO485" s="474" t="s">
        <v>2236</v>
      </c>
      <c r="AP485" s="474">
        <v>5</v>
      </c>
      <c r="AS485" s="474"/>
      <c r="AT485" s="474"/>
      <c r="AU485" s="474"/>
      <c r="AV485" s="474"/>
      <c r="AW485" s="474"/>
      <c r="AX485" s="474"/>
      <c r="AY485" s="474"/>
      <c r="AZ485" s="474"/>
      <c r="BA485" s="474"/>
      <c r="BB485" s="474"/>
      <c r="BO485" s="474"/>
      <c r="BP485" s="474"/>
      <c r="BQ485" s="474"/>
      <c r="BR485" s="474"/>
      <c r="BS485" s="474"/>
      <c r="BT485" s="474"/>
      <c r="BU485" s="474"/>
      <c r="BV485" s="474"/>
      <c r="BW485" s="474"/>
      <c r="BX485" s="474"/>
      <c r="BY485" s="474"/>
      <c r="BZ485" s="474"/>
      <c r="CA485" s="474"/>
      <c r="CB485" s="474"/>
      <c r="CC485" s="474"/>
    </row>
    <row r="486" spans="1:81" s="494" customFormat="1" ht="12.75" hidden="1" customHeight="1">
      <c r="A486" s="603"/>
      <c r="B486" s="474"/>
      <c r="C486" s="686"/>
      <c r="D486" s="474"/>
      <c r="E486" s="474"/>
      <c r="I486" s="474"/>
      <c r="J486" s="474"/>
      <c r="K486" s="474"/>
      <c r="L486" s="474"/>
      <c r="M486" s="474"/>
      <c r="N486" s="474"/>
      <c r="O486" s="474"/>
      <c r="P486" s="474"/>
      <c r="Q486" s="474"/>
      <c r="R486" s="474"/>
      <c r="S486" s="474"/>
      <c r="T486" s="474"/>
      <c r="U486" s="474"/>
      <c r="V486" s="474"/>
      <c r="W486" s="474"/>
      <c r="X486" s="474"/>
      <c r="Y486" s="474"/>
      <c r="Z486" s="474"/>
      <c r="AA486" s="474"/>
      <c r="AB486" s="474"/>
      <c r="AC486" s="474"/>
      <c r="AD486" s="474"/>
      <c r="AE486" s="474"/>
      <c r="AF486" s="474"/>
      <c r="AK486" s="656"/>
      <c r="AL486" s="474"/>
      <c r="AM486" s="474"/>
      <c r="AN486" s="608"/>
      <c r="AO486" s="474" t="s">
        <v>2237</v>
      </c>
      <c r="AP486" s="474">
        <v>5</v>
      </c>
      <c r="AS486" s="474"/>
      <c r="AT486" s="474"/>
      <c r="AU486" s="474"/>
      <c r="AV486" s="474"/>
      <c r="AW486" s="474"/>
      <c r="AX486" s="474"/>
      <c r="AY486" s="474"/>
      <c r="AZ486" s="474"/>
      <c r="BA486" s="474"/>
      <c r="BB486" s="474"/>
      <c r="BC486" s="474"/>
      <c r="BD486" s="474"/>
      <c r="BE486" s="474"/>
      <c r="BF486" s="474"/>
      <c r="BG486" s="474"/>
      <c r="BH486" s="474"/>
      <c r="BI486" s="474"/>
      <c r="BJ486" s="474"/>
      <c r="BK486" s="474"/>
      <c r="BL486" s="474"/>
      <c r="BM486" s="474"/>
      <c r="BN486" s="474"/>
      <c r="BO486" s="474"/>
      <c r="BP486" s="474"/>
      <c r="BQ486" s="474"/>
      <c r="BR486" s="474"/>
      <c r="BS486" s="474"/>
      <c r="BT486" s="474"/>
      <c r="BU486" s="474"/>
      <c r="BV486" s="474"/>
      <c r="BW486" s="474"/>
      <c r="BX486" s="474"/>
      <c r="BY486" s="474"/>
      <c r="BZ486" s="474"/>
      <c r="CA486" s="474"/>
      <c r="CB486" s="474"/>
      <c r="CC486" s="474"/>
    </row>
    <row r="487" spans="1:81" s="463" customFormat="1" ht="12.75" hidden="1" customHeight="1">
      <c r="A487" s="603"/>
      <c r="B487" s="474"/>
      <c r="C487" s="688"/>
      <c r="D487" s="651"/>
      <c r="E487" s="651"/>
      <c r="F487" s="699" t="s">
        <v>2224</v>
      </c>
      <c r="G487" s="690"/>
      <c r="H487" s="690"/>
      <c r="I487" s="651"/>
      <c r="J487" s="651"/>
      <c r="K487" s="651"/>
      <c r="L487" s="651"/>
      <c r="M487" s="651"/>
      <c r="N487" s="651"/>
      <c r="O487" s="651"/>
      <c r="P487" s="651"/>
      <c r="Q487" s="651"/>
      <c r="R487" s="651"/>
      <c r="S487" s="651"/>
      <c r="T487" s="651"/>
      <c r="U487" s="651"/>
      <c r="V487" s="1850" t="s">
        <v>299</v>
      </c>
      <c r="W487" s="1850"/>
      <c r="X487" s="1850"/>
      <c r="Y487" s="651"/>
      <c r="Z487" s="651"/>
      <c r="AA487" s="651"/>
      <c r="AB487" s="651"/>
      <c r="AC487" s="651"/>
      <c r="AD487" s="651"/>
      <c r="AE487" s="651"/>
      <c r="AF487" s="651"/>
      <c r="AG487" s="707">
        <f>IF(AND($C$471="Yes",$V$474="N/A",$V$476="N/A",$V$481="N/A",$V$485="N/A"),(VLOOKUP($V$487,$BF$470:$BG$472,2,FALSE)),0)</f>
        <v>0</v>
      </c>
      <c r="AH487" s="692" t="s">
        <v>1995</v>
      </c>
      <c r="AI487" s="651"/>
      <c r="AJ487" s="651"/>
      <c r="AK487" s="666"/>
      <c r="AL487" s="474"/>
      <c r="AM487" s="474"/>
      <c r="AN487" s="708"/>
      <c r="AP487" s="520"/>
      <c r="AQ487" s="520"/>
      <c r="AR487" s="520"/>
      <c r="AS487" s="520"/>
      <c r="AT487" s="520"/>
      <c r="AU487" s="520"/>
      <c r="AV487" s="520"/>
      <c r="AW487" s="520"/>
      <c r="AX487" s="520"/>
      <c r="AY487" s="520"/>
      <c r="AZ487" s="520"/>
      <c r="BA487" s="520"/>
      <c r="BB487" s="520"/>
      <c r="BC487" s="520"/>
      <c r="BE487" s="520"/>
      <c r="BF487" s="520"/>
      <c r="BG487" s="520"/>
      <c r="BH487" s="520"/>
      <c r="BI487" s="520"/>
      <c r="BJ487" s="520"/>
      <c r="BK487" s="520"/>
      <c r="BL487" s="520"/>
      <c r="BM487" s="520"/>
      <c r="BN487" s="520"/>
      <c r="BO487" s="520"/>
      <c r="BP487" s="520"/>
      <c r="BQ487" s="520"/>
      <c r="BR487" s="520"/>
    </row>
    <row r="488" spans="1:81" s="463" customFormat="1" ht="12.75" hidden="1" customHeight="1">
      <c r="A488" s="603"/>
      <c r="B488" s="474"/>
      <c r="C488" s="475"/>
      <c r="D488" s="474"/>
      <c r="E488" s="687"/>
      <c r="F488" s="474"/>
      <c r="G488" s="474"/>
      <c r="H488" s="474"/>
      <c r="I488" s="474"/>
      <c r="J488" s="474"/>
      <c r="K488" s="474"/>
      <c r="L488" s="474"/>
      <c r="M488" s="474"/>
      <c r="N488" s="474"/>
      <c r="O488" s="474"/>
      <c r="P488" s="474"/>
      <c r="Q488" s="474"/>
      <c r="R488" s="474"/>
      <c r="S488" s="474"/>
      <c r="T488" s="474"/>
      <c r="U488" s="474"/>
      <c r="V488" s="474"/>
      <c r="W488" s="474"/>
      <c r="X488" s="474"/>
      <c r="Y488" s="474"/>
      <c r="Z488" s="474"/>
      <c r="AA488" s="474"/>
      <c r="AB488" s="474"/>
      <c r="AC488" s="474"/>
      <c r="AD488" s="474"/>
      <c r="AE488" s="474"/>
      <c r="AF488" s="474"/>
      <c r="AG488" s="474"/>
      <c r="AH488" s="474"/>
      <c r="AI488" s="474"/>
      <c r="AJ488" s="474"/>
      <c r="AK488" s="474"/>
      <c r="AL488" s="474"/>
      <c r="AM488" s="474"/>
      <c r="AN488" s="708"/>
      <c r="AO488" s="709"/>
      <c r="AP488" s="474"/>
      <c r="AQ488" s="474"/>
      <c r="AR488" s="474"/>
      <c r="AS488" s="474"/>
      <c r="AT488" s="474"/>
      <c r="AU488" s="710"/>
      <c r="AV488" s="710"/>
      <c r="AW488" s="710"/>
      <c r="AX488" s="710"/>
      <c r="AY488" s="710"/>
      <c r="AZ488" s="710"/>
      <c r="BA488" s="710"/>
      <c r="BB488" s="520"/>
      <c r="BC488" s="520"/>
      <c r="BE488" s="474"/>
      <c r="BF488" s="474"/>
      <c r="BG488" s="474"/>
      <c r="BH488" s="474"/>
      <c r="BI488" s="474"/>
      <c r="BJ488" s="710"/>
      <c r="BK488" s="710"/>
      <c r="BL488" s="710"/>
      <c r="BM488" s="710"/>
      <c r="BN488" s="710"/>
      <c r="BO488" s="710"/>
      <c r="BP488" s="710"/>
      <c r="BQ488" s="520"/>
      <c r="BR488" s="474"/>
    </row>
    <row r="489" spans="1:81" s="463" customFormat="1" ht="12.75" hidden="1" customHeight="1">
      <c r="A489" s="603"/>
      <c r="B489" s="474"/>
      <c r="C489" s="636" t="s">
        <v>2238</v>
      </c>
      <c r="D489" s="474"/>
      <c r="E489" s="687"/>
      <c r="F489" s="475"/>
      <c r="G489" s="475"/>
      <c r="H489" s="475"/>
      <c r="I489" s="475"/>
      <c r="J489" s="475"/>
      <c r="K489" s="475"/>
      <c r="L489" s="475"/>
      <c r="M489" s="475"/>
      <c r="N489" s="475"/>
      <c r="O489" s="475"/>
      <c r="P489" s="475"/>
      <c r="Q489" s="475"/>
      <c r="R489" s="475"/>
      <c r="S489" s="475"/>
      <c r="T489" s="475"/>
      <c r="U489" s="475"/>
      <c r="V489" s="475"/>
      <c r="W489" s="475"/>
      <c r="X489" s="475"/>
      <c r="Y489" s="475"/>
      <c r="Z489" s="475"/>
      <c r="AA489" s="475"/>
      <c r="AB489" s="475"/>
      <c r="AC489" s="475"/>
      <c r="AD489" s="474"/>
      <c r="AE489" s="474"/>
      <c r="AF489" s="474"/>
      <c r="AG489" s="475"/>
      <c r="AH489" s="475"/>
      <c r="AI489" s="475"/>
      <c r="AJ489" s="475"/>
      <c r="AK489" s="474"/>
      <c r="AL489" s="474"/>
      <c r="AM489" s="474"/>
      <c r="AN489" s="708"/>
      <c r="AO489" s="709"/>
      <c r="AP489" s="474"/>
      <c r="AQ489" s="474"/>
      <c r="AR489" s="474"/>
      <c r="AS489" s="474"/>
      <c r="AT489" s="474"/>
      <c r="AU489" s="710"/>
      <c r="AV489" s="710"/>
      <c r="AW489" s="710"/>
      <c r="AX489" s="710"/>
      <c r="AY489" s="710"/>
      <c r="AZ489" s="710"/>
      <c r="BA489" s="710"/>
      <c r="BB489" s="520"/>
      <c r="BC489" s="520"/>
      <c r="BE489" s="474"/>
      <c r="BF489" s="474"/>
      <c r="BG489" s="474"/>
      <c r="BH489" s="474"/>
      <c r="BI489" s="474"/>
      <c r="BJ489" s="710"/>
      <c r="BK489" s="710"/>
      <c r="BL489" s="710"/>
      <c r="BM489" s="710"/>
      <c r="BN489" s="710"/>
      <c r="BO489" s="710"/>
      <c r="BP489" s="710"/>
      <c r="BQ489" s="520"/>
      <c r="BR489" s="474"/>
    </row>
    <row r="490" spans="1:81" s="494" customFormat="1" ht="12.75" hidden="1" customHeight="1">
      <c r="A490" s="603"/>
      <c r="B490" s="474"/>
      <c r="C490" s="1921" t="s">
        <v>299</v>
      </c>
      <c r="D490" s="1922"/>
      <c r="E490" s="685" t="s">
        <v>50</v>
      </c>
      <c r="F490" s="1942" t="s">
        <v>2211</v>
      </c>
      <c r="G490" s="1942"/>
      <c r="H490" s="1942"/>
      <c r="I490" s="1942"/>
      <c r="J490" s="1942"/>
      <c r="K490" s="1942"/>
      <c r="L490" s="1942"/>
      <c r="M490" s="1942"/>
      <c r="N490" s="1942"/>
      <c r="O490" s="1942"/>
      <c r="P490" s="1942"/>
      <c r="Q490" s="1942"/>
      <c r="R490" s="1942"/>
      <c r="S490" s="1942"/>
      <c r="T490" s="1942"/>
      <c r="U490" s="1942"/>
      <c r="V490" s="1942"/>
      <c r="W490" s="1942"/>
      <c r="X490" s="1942"/>
      <c r="Y490" s="1942"/>
      <c r="Z490" s="1942"/>
      <c r="AA490" s="1942"/>
      <c r="AB490" s="1942"/>
      <c r="AC490" s="1942"/>
      <c r="AD490" s="1942"/>
      <c r="AE490" s="1942"/>
      <c r="AF490" s="638"/>
      <c r="AG490" s="640"/>
      <c r="AH490" s="640"/>
      <c r="AI490" s="640"/>
      <c r="AJ490" s="640"/>
      <c r="AK490" s="669"/>
      <c r="AL490" s="474"/>
      <c r="AM490" s="474"/>
      <c r="AN490" s="458"/>
      <c r="AO490" s="26"/>
      <c r="AP490" s="474"/>
      <c r="AQ490" s="474"/>
      <c r="AR490" s="474"/>
      <c r="AS490" s="474"/>
      <c r="AT490" s="474"/>
      <c r="AU490" s="711"/>
      <c r="AV490" s="711"/>
      <c r="AW490" s="711"/>
      <c r="AX490" s="711"/>
      <c r="AY490" s="711"/>
      <c r="AZ490" s="711"/>
      <c r="BA490" s="711"/>
      <c r="BB490" s="474"/>
      <c r="BC490" s="474"/>
      <c r="BD490" s="460"/>
      <c r="BE490" s="474"/>
      <c r="BF490" s="474"/>
      <c r="BG490" s="474"/>
      <c r="BH490" s="474"/>
      <c r="BI490" s="474"/>
      <c r="BJ490" s="711"/>
      <c r="BK490" s="711"/>
      <c r="BL490" s="711"/>
      <c r="BM490" s="711"/>
      <c r="BN490" s="711"/>
      <c r="BO490" s="711"/>
      <c r="BP490" s="711"/>
      <c r="BQ490" s="474"/>
      <c r="BR490" s="474"/>
      <c r="BS490" s="460"/>
      <c r="BT490" s="460"/>
      <c r="BU490" s="460"/>
      <c r="BV490" s="460"/>
      <c r="BW490" s="460"/>
      <c r="BX490" s="460"/>
      <c r="BY490" s="460"/>
      <c r="BZ490" s="460"/>
      <c r="CA490" s="460"/>
      <c r="CB490" s="460"/>
      <c r="CC490" s="460"/>
    </row>
    <row r="491" spans="1:81" s="494" customFormat="1" ht="12.75" hidden="1" customHeight="1">
      <c r="A491" s="603"/>
      <c r="B491" s="474"/>
      <c r="C491" s="686"/>
      <c r="D491" s="474"/>
      <c r="E491" s="687"/>
      <c r="F491" s="1943"/>
      <c r="G491" s="1943"/>
      <c r="H491" s="1943"/>
      <c r="I491" s="1943"/>
      <c r="J491" s="1943"/>
      <c r="K491" s="1943"/>
      <c r="L491" s="1943"/>
      <c r="M491" s="1943"/>
      <c r="N491" s="1943"/>
      <c r="O491" s="1943"/>
      <c r="P491" s="1943"/>
      <c r="Q491" s="1943"/>
      <c r="R491" s="1943"/>
      <c r="S491" s="1943"/>
      <c r="T491" s="1943"/>
      <c r="U491" s="1943"/>
      <c r="V491" s="1943"/>
      <c r="W491" s="1943"/>
      <c r="X491" s="1943"/>
      <c r="Y491" s="1943"/>
      <c r="Z491" s="1943"/>
      <c r="AA491" s="1943"/>
      <c r="AB491" s="1943"/>
      <c r="AC491" s="1943"/>
      <c r="AD491" s="1943"/>
      <c r="AE491" s="1943"/>
      <c r="AF491" s="474"/>
      <c r="AG491" s="475"/>
      <c r="AH491" s="475"/>
      <c r="AI491" s="475"/>
      <c r="AJ491" s="475"/>
      <c r="AK491" s="656"/>
      <c r="AL491" s="474"/>
      <c r="AM491" s="474"/>
      <c r="AN491" s="458"/>
      <c r="AO491" s="26"/>
      <c r="AP491" s="712"/>
      <c r="AQ491" s="712"/>
      <c r="AR491" s="712"/>
      <c r="AS491" s="603"/>
      <c r="AT491" s="474"/>
      <c r="AU491" s="713"/>
      <c r="AV491" s="713"/>
      <c r="AW491" s="713"/>
      <c r="AX491" s="713"/>
      <c r="AY491" s="713"/>
      <c r="AZ491" s="713"/>
      <c r="BA491" s="713"/>
      <c r="BB491" s="14"/>
      <c r="BC491" s="14"/>
      <c r="BD491" s="460"/>
      <c r="BE491" s="712"/>
      <c r="BF491" s="712"/>
      <c r="BG491" s="712"/>
      <c r="BH491" s="603"/>
      <c r="BI491" s="474"/>
      <c r="BJ491" s="714"/>
      <c r="BK491" s="713"/>
      <c r="BL491" s="713"/>
      <c r="BM491" s="713"/>
      <c r="BN491" s="713"/>
      <c r="BO491" s="713"/>
      <c r="BP491" s="713"/>
      <c r="BQ491" s="14"/>
      <c r="BR491" s="474"/>
      <c r="BS491" s="460"/>
      <c r="BT491" s="460"/>
      <c r="BU491" s="460"/>
      <c r="BV491" s="460"/>
      <c r="BW491" s="460"/>
      <c r="BX491" s="460"/>
      <c r="BY491" s="460"/>
      <c r="BZ491" s="460"/>
      <c r="CA491" s="460"/>
      <c r="CB491" s="460"/>
      <c r="CC491" s="460"/>
    </row>
    <row r="492" spans="1:81" s="494" customFormat="1" ht="12.75" hidden="1" customHeight="1">
      <c r="A492" s="603"/>
      <c r="B492" s="474"/>
      <c r="C492" s="688"/>
      <c r="D492" s="651"/>
      <c r="E492" s="689"/>
      <c r="F492" s="1929" t="s">
        <v>299</v>
      </c>
      <c r="G492" s="1929"/>
      <c r="H492" s="1929"/>
      <c r="I492" s="1929"/>
      <c r="J492" s="1929"/>
      <c r="K492" s="1929"/>
      <c r="L492" s="1929"/>
      <c r="M492" s="1929"/>
      <c r="N492" s="1929"/>
      <c r="O492" s="1929"/>
      <c r="P492" s="1929"/>
      <c r="Q492" s="1929"/>
      <c r="R492" s="1929"/>
      <c r="S492" s="1929"/>
      <c r="T492" s="1929"/>
      <c r="U492" s="1929"/>
      <c r="V492" s="1929"/>
      <c r="W492" s="1929"/>
      <c r="X492" s="1929"/>
      <c r="Y492" s="1929"/>
      <c r="Z492" s="1929"/>
      <c r="AA492" s="690"/>
      <c r="AB492" s="582"/>
      <c r="AC492" s="582"/>
      <c r="AD492" s="651"/>
      <c r="AE492" s="651"/>
      <c r="AF492" s="651"/>
      <c r="AG492" s="691">
        <f>IF($C$490="Yes",(VLOOKUP($F$492,$AO$460:$AP$468,2,FALSE)),0)</f>
        <v>0</v>
      </c>
      <c r="AH492" s="692" t="s">
        <v>1995</v>
      </c>
      <c r="AI492" s="691"/>
      <c r="AJ492" s="582"/>
      <c r="AK492" s="666"/>
      <c r="AL492" s="474"/>
      <c r="AM492" s="474"/>
      <c r="AN492" s="458"/>
      <c r="AO492" s="26"/>
      <c r="AP492" s="712"/>
      <c r="AQ492" s="712"/>
      <c r="AR492" s="712"/>
      <c r="AS492" s="603"/>
      <c r="AT492" s="474"/>
      <c r="AU492" s="713"/>
      <c r="AV492" s="713"/>
      <c r="AW492" s="713"/>
      <c r="AX492" s="713"/>
      <c r="AY492" s="713"/>
      <c r="AZ492" s="713"/>
      <c r="BA492" s="713"/>
      <c r="BB492" s="14"/>
      <c r="BC492" s="14"/>
      <c r="BD492" s="460"/>
      <c r="BE492" s="712"/>
      <c r="BF492" s="712"/>
      <c r="BG492" s="712"/>
      <c r="BH492" s="603"/>
      <c r="BI492" s="474"/>
      <c r="BJ492" s="714"/>
      <c r="BK492" s="713"/>
      <c r="BL492" s="713"/>
      <c r="BM492" s="713"/>
      <c r="BN492" s="713"/>
      <c r="BO492" s="713"/>
      <c r="BP492" s="713"/>
      <c r="BQ492" s="14"/>
      <c r="BR492" s="474"/>
      <c r="BS492" s="460"/>
      <c r="BT492" s="460"/>
      <c r="BU492" s="460"/>
      <c r="BV492" s="460"/>
      <c r="BW492" s="460"/>
      <c r="BX492" s="460"/>
      <c r="BY492" s="460"/>
      <c r="BZ492" s="460"/>
      <c r="CA492" s="460"/>
      <c r="CB492" s="460"/>
      <c r="CC492" s="460"/>
    </row>
    <row r="493" spans="1:81" s="494" customFormat="1" ht="12.75" hidden="1" customHeight="1">
      <c r="A493" s="603"/>
      <c r="B493" s="474"/>
      <c r="C493" s="636"/>
      <c r="D493" s="474"/>
      <c r="E493" s="687"/>
      <c r="F493" s="475"/>
      <c r="G493" s="475"/>
      <c r="H493" s="475"/>
      <c r="I493" s="475"/>
      <c r="J493" s="475"/>
      <c r="K493" s="475"/>
      <c r="L493" s="475"/>
      <c r="M493" s="475"/>
      <c r="N493" s="475"/>
      <c r="O493" s="475"/>
      <c r="P493" s="475"/>
      <c r="Q493" s="475"/>
      <c r="R493" s="475"/>
      <c r="S493" s="475"/>
      <c r="T493" s="475"/>
      <c r="U493" s="475"/>
      <c r="V493" s="475"/>
      <c r="W493" s="475"/>
      <c r="X493" s="475"/>
      <c r="Y493" s="475"/>
      <c r="Z493" s="475"/>
      <c r="AA493" s="475"/>
      <c r="AB493" s="475"/>
      <c r="AC493" s="475"/>
      <c r="AD493" s="474"/>
      <c r="AE493" s="474"/>
      <c r="AF493" s="474"/>
      <c r="AG493" s="475"/>
      <c r="AH493" s="475"/>
      <c r="AI493" s="475"/>
      <c r="AJ493" s="475"/>
      <c r="AK493" s="474"/>
      <c r="AL493" s="474"/>
      <c r="AM493" s="474"/>
      <c r="AN493" s="458"/>
      <c r="AO493" s="26"/>
      <c r="AP493" s="712"/>
      <c r="AQ493" s="712"/>
      <c r="AR493" s="712"/>
      <c r="AS493" s="603"/>
      <c r="AT493" s="474"/>
      <c r="AU493" s="713"/>
      <c r="AV493" s="713"/>
      <c r="AW493" s="713"/>
      <c r="AX493" s="713"/>
      <c r="AY493" s="713"/>
      <c r="AZ493" s="713"/>
      <c r="BA493" s="713"/>
      <c r="BB493" s="14"/>
      <c r="BC493" s="14"/>
      <c r="BD493" s="460"/>
      <c r="BE493" s="712"/>
      <c r="BF493" s="712"/>
      <c r="BG493" s="712"/>
      <c r="BH493" s="603"/>
      <c r="BI493" s="474"/>
      <c r="BJ493" s="714"/>
      <c r="BK493" s="713"/>
      <c r="BL493" s="713"/>
      <c r="BM493" s="713"/>
      <c r="BN493" s="713"/>
      <c r="BO493" s="713"/>
      <c r="BP493" s="713"/>
      <c r="BQ493" s="14"/>
      <c r="BR493" s="474"/>
      <c r="BS493" s="460"/>
      <c r="BT493" s="460"/>
      <c r="BU493" s="460"/>
      <c r="BV493" s="460"/>
      <c r="BW493" s="460"/>
      <c r="BX493" s="460"/>
      <c r="BY493" s="460"/>
      <c r="BZ493" s="460"/>
      <c r="CA493" s="460"/>
      <c r="CB493" s="460"/>
      <c r="CC493" s="460"/>
    </row>
    <row r="494" spans="1:81" s="494" customFormat="1" ht="12.75" hidden="1" customHeight="1">
      <c r="A494" s="474"/>
      <c r="B494" s="474"/>
      <c r="C494" s="1921" t="s">
        <v>299</v>
      </c>
      <c r="D494" s="1922"/>
      <c r="E494" s="685" t="s">
        <v>52</v>
      </c>
      <c r="F494" s="1930" t="s">
        <v>2239</v>
      </c>
      <c r="G494" s="1930"/>
      <c r="H494" s="1930"/>
      <c r="I494" s="1930"/>
      <c r="J494" s="1930"/>
      <c r="K494" s="1930"/>
      <c r="L494" s="1930"/>
      <c r="M494" s="1930"/>
      <c r="N494" s="1930"/>
      <c r="O494" s="1930"/>
      <c r="P494" s="1930"/>
      <c r="Q494" s="1930"/>
      <c r="R494" s="1930"/>
      <c r="S494" s="1930"/>
      <c r="T494" s="1930"/>
      <c r="U494" s="1930"/>
      <c r="V494" s="1930"/>
      <c r="W494" s="1930"/>
      <c r="X494" s="1930"/>
      <c r="Y494" s="1930"/>
      <c r="Z494" s="1930"/>
      <c r="AA494" s="1930"/>
      <c r="AB494" s="1930"/>
      <c r="AC494" s="1930"/>
      <c r="AD494" s="1930"/>
      <c r="AE494" s="1930"/>
      <c r="AF494" s="638"/>
      <c r="AG494" s="573"/>
      <c r="AH494" s="573"/>
      <c r="AI494" s="573"/>
      <c r="AJ494" s="573"/>
      <c r="AK494" s="669"/>
      <c r="AL494" s="474"/>
      <c r="AM494" s="474"/>
      <c r="AN494" s="458"/>
      <c r="AO494" s="26"/>
      <c r="AP494" s="712"/>
      <c r="AQ494" s="712"/>
      <c r="AR494" s="712"/>
      <c r="AS494" s="603"/>
      <c r="AT494" s="474"/>
      <c r="AU494" s="713"/>
      <c r="AV494" s="713"/>
      <c r="AW494" s="713"/>
      <c r="AX494" s="713"/>
      <c r="AY494" s="713"/>
      <c r="AZ494" s="713"/>
      <c r="BA494" s="713"/>
      <c r="BB494" s="14"/>
      <c r="BC494" s="14"/>
      <c r="BD494" s="460"/>
      <c r="BE494" s="712"/>
      <c r="BF494" s="712"/>
      <c r="BG494" s="712"/>
      <c r="BH494" s="603"/>
      <c r="BI494" s="474"/>
      <c r="BJ494" s="714"/>
      <c r="BK494" s="713"/>
      <c r="BL494" s="713"/>
      <c r="BM494" s="713"/>
      <c r="BN494" s="713"/>
      <c r="BO494" s="713"/>
      <c r="BP494" s="713"/>
      <c r="BQ494" s="14"/>
      <c r="BR494" s="474"/>
      <c r="BS494" s="460"/>
      <c r="BT494" s="460"/>
      <c r="BU494" s="460"/>
      <c r="BV494" s="460"/>
      <c r="BW494" s="460"/>
      <c r="BX494" s="460"/>
      <c r="BY494" s="460"/>
      <c r="BZ494" s="460"/>
      <c r="CA494" s="460"/>
      <c r="CB494" s="460"/>
      <c r="CC494" s="460"/>
    </row>
    <row r="495" spans="1:81" s="494" customFormat="1" ht="12.75" hidden="1" customHeight="1">
      <c r="A495" s="474"/>
      <c r="B495" s="474"/>
      <c r="C495" s="686"/>
      <c r="D495" s="474"/>
      <c r="E495" s="687"/>
      <c r="F495" s="1931"/>
      <c r="G495" s="1931"/>
      <c r="H495" s="1931"/>
      <c r="I495" s="1931"/>
      <c r="J495" s="1931"/>
      <c r="K495" s="1931"/>
      <c r="L495" s="1931"/>
      <c r="M495" s="1931"/>
      <c r="N495" s="1931"/>
      <c r="O495" s="1931"/>
      <c r="P495" s="1931"/>
      <c r="Q495" s="1931"/>
      <c r="R495" s="1931"/>
      <c r="S495" s="1931"/>
      <c r="T495" s="1931"/>
      <c r="U495" s="1931"/>
      <c r="V495" s="1931"/>
      <c r="W495" s="1931"/>
      <c r="X495" s="1931"/>
      <c r="Y495" s="1931"/>
      <c r="Z495" s="1931"/>
      <c r="AA495" s="1931"/>
      <c r="AB495" s="1931"/>
      <c r="AC495" s="1931"/>
      <c r="AD495" s="1931"/>
      <c r="AE495" s="1931"/>
      <c r="AF495" s="474"/>
      <c r="AG495" s="475"/>
      <c r="AH495" s="475"/>
      <c r="AI495" s="475"/>
      <c r="AJ495" s="475"/>
      <c r="AK495" s="656"/>
      <c r="AL495" s="474"/>
      <c r="AM495" s="474"/>
      <c r="AN495" s="458"/>
      <c r="AO495" s="26"/>
      <c r="AP495" s="712"/>
      <c r="AQ495" s="712"/>
      <c r="AR495" s="712"/>
      <c r="AS495" s="603"/>
      <c r="AT495" s="474"/>
      <c r="AU495" s="713"/>
      <c r="AV495" s="713"/>
      <c r="AW495" s="713"/>
      <c r="AX495" s="713"/>
      <c r="AY495" s="713"/>
      <c r="AZ495" s="713"/>
      <c r="BA495" s="713"/>
      <c r="BB495" s="14"/>
      <c r="BC495" s="14"/>
      <c r="BD495" s="460"/>
      <c r="BE495" s="712"/>
      <c r="BF495" s="712"/>
      <c r="BG495" s="712"/>
      <c r="BH495" s="603"/>
      <c r="BI495" s="474"/>
      <c r="BJ495" s="714"/>
      <c r="BK495" s="713"/>
      <c r="BL495" s="713"/>
      <c r="BM495" s="713"/>
      <c r="BN495" s="713"/>
      <c r="BO495" s="713"/>
      <c r="BP495" s="713"/>
      <c r="BQ495" s="14"/>
      <c r="BR495" s="474"/>
      <c r="BS495" s="460"/>
      <c r="BT495" s="460"/>
      <c r="BU495" s="460"/>
      <c r="BV495" s="460"/>
      <c r="BW495" s="460"/>
      <c r="BX495" s="460"/>
      <c r="BY495" s="460"/>
      <c r="BZ495" s="460"/>
      <c r="CA495" s="460"/>
      <c r="CB495" s="460"/>
      <c r="CC495" s="460"/>
    </row>
    <row r="496" spans="1:81" s="494" customFormat="1" ht="12.75" hidden="1" customHeight="1">
      <c r="A496" s="474"/>
      <c r="B496" s="474"/>
      <c r="C496" s="663"/>
      <c r="D496" s="474"/>
      <c r="E496" s="474"/>
      <c r="F496" s="706" t="s">
        <v>2240</v>
      </c>
      <c r="G496" s="475"/>
      <c r="H496" s="475"/>
      <c r="I496" s="475"/>
      <c r="J496" s="475"/>
      <c r="K496" s="475"/>
      <c r="L496" s="475"/>
      <c r="M496" s="475"/>
      <c r="N496" s="475"/>
      <c r="O496" s="475"/>
      <c r="P496" s="475"/>
      <c r="Q496" s="475"/>
      <c r="R496" s="475"/>
      <c r="S496" s="475"/>
      <c r="T496" s="475"/>
      <c r="U496" s="475"/>
      <c r="V496" s="475"/>
      <c r="W496" s="475"/>
      <c r="X496" s="475"/>
      <c r="Y496" s="475"/>
      <c r="Z496" s="475"/>
      <c r="AA496" s="475"/>
      <c r="AB496" s="475"/>
      <c r="AC496" s="515"/>
      <c r="AD496" s="474"/>
      <c r="AE496" s="474"/>
      <c r="AF496" s="474"/>
      <c r="AG496" s="537"/>
      <c r="AH496" s="537"/>
      <c r="AI496" s="537"/>
      <c r="AJ496" s="537"/>
      <c r="AK496" s="656"/>
      <c r="AL496" s="474"/>
      <c r="AM496" s="474"/>
      <c r="AN496" s="458"/>
      <c r="AO496" s="460"/>
      <c r="AP496" s="712"/>
      <c r="AQ496" s="712"/>
      <c r="AR496" s="712"/>
      <c r="AS496" s="603"/>
      <c r="AT496" s="474"/>
      <c r="AU496" s="713"/>
      <c r="AV496" s="713"/>
      <c r="AW496" s="713"/>
      <c r="AX496" s="713"/>
      <c r="AY496" s="713"/>
      <c r="AZ496" s="713"/>
      <c r="BA496" s="713"/>
      <c r="BB496" s="460"/>
      <c r="BC496" s="460"/>
      <c r="BD496" s="460"/>
      <c r="BE496" s="712"/>
      <c r="BF496" s="712"/>
      <c r="BG496" s="712"/>
      <c r="BH496" s="603"/>
      <c r="BI496" s="474"/>
      <c r="BJ496" s="714"/>
      <c r="BK496" s="713"/>
      <c r="BL496" s="713"/>
      <c r="BM496" s="713"/>
      <c r="BN496" s="713"/>
      <c r="BO496" s="713"/>
      <c r="BP496" s="713"/>
      <c r="BQ496" s="460"/>
      <c r="BR496" s="474"/>
      <c r="BS496" s="460"/>
      <c r="BT496" s="460"/>
      <c r="BU496" s="460"/>
      <c r="BV496" s="460"/>
      <c r="BW496" s="460"/>
      <c r="BX496" s="460"/>
      <c r="BY496" s="460"/>
      <c r="BZ496" s="460"/>
      <c r="CA496" s="460"/>
      <c r="CB496" s="460"/>
      <c r="CC496" s="460"/>
    </row>
    <row r="497" spans="1:81" s="494" customFormat="1" hidden="1">
      <c r="A497" s="474"/>
      <c r="B497" s="474"/>
      <c r="C497" s="688"/>
      <c r="D497" s="651"/>
      <c r="E497" s="689"/>
      <c r="F497" s="1932" t="s">
        <v>299</v>
      </c>
      <c r="G497" s="1932"/>
      <c r="H497" s="1932"/>
      <c r="I497" s="582"/>
      <c r="J497" s="582"/>
      <c r="K497" s="582"/>
      <c r="L497" s="582"/>
      <c r="M497" s="582"/>
      <c r="N497" s="582"/>
      <c r="O497" s="582"/>
      <c r="P497" s="582"/>
      <c r="Q497" s="582"/>
      <c r="R497" s="582"/>
      <c r="S497" s="582"/>
      <c r="T497" s="582"/>
      <c r="U497" s="582"/>
      <c r="V497" s="582"/>
      <c r="W497" s="582"/>
      <c r="X497" s="582"/>
      <c r="Y497" s="582"/>
      <c r="Z497" s="582"/>
      <c r="AA497" s="582"/>
      <c r="AB497" s="582"/>
      <c r="AC497" s="582"/>
      <c r="AD497" s="651"/>
      <c r="AE497" s="651"/>
      <c r="AF497" s="651"/>
      <c r="AG497" s="691">
        <f>IF($C$494="Yes",(VLOOKUP($F$497,$AO$470:$AP$472,2,FALSE)),0)</f>
        <v>0</v>
      </c>
      <c r="AH497" s="692" t="s">
        <v>1995</v>
      </c>
      <c r="AI497" s="582"/>
      <c r="AJ497" s="582"/>
      <c r="AK497" s="666"/>
      <c r="AL497" s="474"/>
      <c r="AM497" s="474"/>
      <c r="AN497" s="458"/>
      <c r="AO497" s="460"/>
      <c r="AP497" s="712"/>
      <c r="AQ497" s="712"/>
      <c r="AR497" s="712"/>
      <c r="AS497" s="711"/>
      <c r="AT497" s="474"/>
      <c r="AU497" s="713"/>
      <c r="AV497" s="713"/>
      <c r="AW497" s="713"/>
      <c r="AX497" s="713"/>
      <c r="AY497" s="713"/>
      <c r="AZ497" s="713"/>
      <c r="BA497" s="713"/>
      <c r="BB497" s="460"/>
      <c r="BC497" s="460"/>
      <c r="BD497" s="460"/>
      <c r="BE497" s="712"/>
      <c r="BF497" s="712"/>
      <c r="BG497" s="712"/>
      <c r="BH497" s="711"/>
      <c r="BI497" s="474"/>
      <c r="BJ497" s="714"/>
      <c r="BK497" s="713"/>
      <c r="BL497" s="713"/>
      <c r="BM497" s="713"/>
      <c r="BN497" s="713"/>
      <c r="BO497" s="713"/>
      <c r="BP497" s="713"/>
      <c r="BQ497" s="460"/>
      <c r="BR497" s="474"/>
      <c r="BS497" s="460"/>
      <c r="BT497" s="460"/>
      <c r="BU497" s="460"/>
      <c r="BV497" s="460"/>
      <c r="BW497" s="460"/>
      <c r="BX497" s="460"/>
      <c r="BY497" s="460"/>
      <c r="BZ497" s="460"/>
      <c r="CA497" s="460"/>
      <c r="CB497" s="460"/>
      <c r="CC497" s="460"/>
    </row>
    <row r="498" spans="1:81" s="494" customFormat="1" hidden="1">
      <c r="A498" s="475"/>
      <c r="B498" s="475"/>
      <c r="C498" s="475"/>
      <c r="D498" s="475"/>
      <c r="E498" s="475"/>
      <c r="F498" s="475"/>
      <c r="G498" s="475"/>
      <c r="H498" s="475"/>
      <c r="I498" s="475"/>
      <c r="J498" s="475"/>
      <c r="K498" s="475"/>
      <c r="L498" s="475"/>
      <c r="M498" s="475"/>
      <c r="N498" s="475"/>
      <c r="O498" s="475"/>
      <c r="P498" s="475"/>
      <c r="Q498" s="475"/>
      <c r="R498" s="475"/>
      <c r="S498" s="475"/>
      <c r="T498" s="475"/>
      <c r="U498" s="475"/>
      <c r="V498" s="475"/>
      <c r="W498" s="475"/>
      <c r="X498" s="475"/>
      <c r="Y498" s="475"/>
      <c r="Z498" s="475"/>
      <c r="AA498" s="475"/>
      <c r="AB498" s="475"/>
      <c r="AC498" s="475"/>
      <c r="AD498" s="475"/>
      <c r="AE498" s="474"/>
      <c r="AF498" s="474"/>
      <c r="AG498" s="537"/>
      <c r="AH498" s="564"/>
      <c r="AI498" s="475"/>
      <c r="AJ498" s="475"/>
      <c r="AK498" s="474"/>
      <c r="AL498" s="474"/>
      <c r="AM498" s="474"/>
      <c r="AN498" s="458"/>
      <c r="AO498" s="460"/>
      <c r="AP498" s="712"/>
      <c r="AQ498" s="712"/>
      <c r="AR498" s="712"/>
      <c r="AS498" s="711"/>
      <c r="AT498" s="474"/>
      <c r="AU498" s="713"/>
      <c r="AV498" s="713"/>
      <c r="AW498" s="713"/>
      <c r="AX498" s="713"/>
      <c r="AY498" s="713"/>
      <c r="AZ498" s="713"/>
      <c r="BA498" s="713"/>
      <c r="BB498" s="460"/>
      <c r="BC498" s="460"/>
      <c r="BD498" s="460"/>
      <c r="BE498" s="712"/>
      <c r="BF498" s="712"/>
      <c r="BG498" s="712"/>
      <c r="BH498" s="711"/>
      <c r="BI498" s="474"/>
      <c r="BJ498" s="714"/>
      <c r="BK498" s="713"/>
      <c r="BL498" s="713"/>
      <c r="BM498" s="713"/>
      <c r="BN498" s="713"/>
      <c r="BO498" s="713"/>
      <c r="BP498" s="713"/>
      <c r="BQ498" s="460"/>
      <c r="BR498" s="474"/>
      <c r="BS498" s="460"/>
      <c r="BT498" s="460"/>
      <c r="BU498" s="460"/>
      <c r="BV498" s="460"/>
      <c r="BW498" s="460"/>
      <c r="BX498" s="460"/>
      <c r="BY498" s="460"/>
      <c r="BZ498" s="460"/>
      <c r="CA498" s="460"/>
      <c r="CB498" s="460"/>
      <c r="CC498" s="460"/>
    </row>
    <row r="499" spans="1:81" s="494" customFormat="1" hidden="1">
      <c r="A499" s="474"/>
      <c r="B499" s="474"/>
      <c r="C499" s="1921" t="s">
        <v>299</v>
      </c>
      <c r="D499" s="1922"/>
      <c r="E499" s="685" t="s">
        <v>2241</v>
      </c>
      <c r="F499" s="704" t="s">
        <v>2242</v>
      </c>
      <c r="G499" s="573"/>
      <c r="H499" s="573"/>
      <c r="I499" s="573"/>
      <c r="J499" s="573"/>
      <c r="K499" s="573"/>
      <c r="L499" s="573"/>
      <c r="M499" s="573"/>
      <c r="N499" s="573"/>
      <c r="O499" s="573"/>
      <c r="P499" s="573"/>
      <c r="Q499" s="573"/>
      <c r="R499" s="573"/>
      <c r="S499" s="573"/>
      <c r="T499" s="573"/>
      <c r="U499" s="573"/>
      <c r="V499" s="573"/>
      <c r="W499" s="573"/>
      <c r="X499" s="573"/>
      <c r="Y499" s="573"/>
      <c r="Z499" s="573"/>
      <c r="AA499" s="573"/>
      <c r="AB499" s="573"/>
      <c r="AC499" s="715"/>
      <c r="AD499" s="638"/>
      <c r="AE499" s="638"/>
      <c r="AF499" s="638"/>
      <c r="AG499" s="716"/>
      <c r="AH499" s="716"/>
      <c r="AI499" s="716"/>
      <c r="AJ499" s="716"/>
      <c r="AK499" s="669"/>
      <c r="AL499" s="474"/>
      <c r="AM499" s="474"/>
      <c r="AN499" s="458"/>
      <c r="AO499" s="460"/>
      <c r="AP499" s="712"/>
      <c r="AQ499" s="712"/>
      <c r="AR499" s="712"/>
      <c r="AS499" s="711"/>
      <c r="AT499" s="474"/>
      <c r="AU499" s="713"/>
      <c r="AV499" s="713"/>
      <c r="AW499" s="713"/>
      <c r="AX499" s="713"/>
      <c r="AY499" s="713"/>
      <c r="AZ499" s="713"/>
      <c r="BA499" s="713"/>
      <c r="BB499" s="460"/>
      <c r="BC499" s="460"/>
      <c r="BD499" s="460"/>
      <c r="BE499" s="712"/>
      <c r="BF499" s="712"/>
      <c r="BG499" s="712"/>
      <c r="BH499" s="711"/>
      <c r="BI499" s="474"/>
      <c r="BJ499" s="714"/>
      <c r="BK499" s="713"/>
      <c r="BL499" s="713"/>
      <c r="BM499" s="713"/>
      <c r="BN499" s="713"/>
      <c r="BO499" s="713"/>
      <c r="BP499" s="713"/>
      <c r="BQ499" s="460"/>
      <c r="BR499" s="474"/>
      <c r="BS499" s="460"/>
      <c r="BT499" s="460"/>
      <c r="BU499" s="460"/>
      <c r="BV499" s="460"/>
      <c r="BW499" s="460"/>
      <c r="BX499" s="460"/>
      <c r="BY499" s="460"/>
      <c r="BZ499" s="460"/>
      <c r="CA499" s="460"/>
      <c r="CB499" s="460"/>
      <c r="CC499" s="460"/>
    </row>
    <row r="500" spans="1:81" s="494" customFormat="1" hidden="1">
      <c r="A500" s="474"/>
      <c r="B500" s="474"/>
      <c r="C500" s="686"/>
      <c r="D500" s="474"/>
      <c r="E500" s="687"/>
      <c r="F500" s="475"/>
      <c r="G500" s="475"/>
      <c r="H500" s="475"/>
      <c r="I500" s="475"/>
      <c r="J500" s="475"/>
      <c r="K500" s="475"/>
      <c r="L500" s="475"/>
      <c r="M500" s="475"/>
      <c r="N500" s="475"/>
      <c r="O500" s="475"/>
      <c r="P500" s="475"/>
      <c r="Q500" s="475"/>
      <c r="R500" s="475"/>
      <c r="S500" s="475"/>
      <c r="T500" s="475"/>
      <c r="U500" s="475"/>
      <c r="V500" s="475"/>
      <c r="W500" s="475"/>
      <c r="X500" s="475"/>
      <c r="Y500" s="475"/>
      <c r="Z500" s="475"/>
      <c r="AA500" s="475"/>
      <c r="AB500" s="475"/>
      <c r="AC500" s="475"/>
      <c r="AD500" s="474"/>
      <c r="AE500" s="474"/>
      <c r="AF500" s="474"/>
      <c r="AG500" s="475"/>
      <c r="AH500" s="475"/>
      <c r="AI500" s="475"/>
      <c r="AJ500" s="475"/>
      <c r="AK500" s="656"/>
      <c r="AL500" s="474"/>
      <c r="AM500" s="474"/>
      <c r="AN500" s="458"/>
      <c r="AO500" s="460"/>
      <c r="AP500" s="712"/>
      <c r="AQ500" s="712"/>
      <c r="AR500" s="712"/>
      <c r="AS500" s="711"/>
      <c r="AT500" s="474"/>
      <c r="AU500" s="713"/>
      <c r="AV500" s="713"/>
      <c r="AW500" s="713"/>
      <c r="AX500" s="713"/>
      <c r="AY500" s="713"/>
      <c r="AZ500" s="713"/>
      <c r="BA500" s="713"/>
      <c r="BB500" s="460"/>
      <c r="BC500" s="460"/>
      <c r="BD500" s="460"/>
      <c r="BE500" s="712"/>
      <c r="BF500" s="712"/>
      <c r="BG500" s="712"/>
      <c r="BH500" s="711"/>
      <c r="BI500" s="474"/>
      <c r="BJ500" s="714"/>
      <c r="BK500" s="713"/>
      <c r="BL500" s="713"/>
      <c r="BM500" s="713"/>
      <c r="BN500" s="713"/>
      <c r="BO500" s="713"/>
      <c r="BP500" s="713"/>
      <c r="BQ500" s="460"/>
      <c r="BR500" s="14"/>
      <c r="BS500" s="460"/>
      <c r="BT500" s="460"/>
      <c r="BU500" s="460"/>
      <c r="BV500" s="460"/>
      <c r="BW500" s="460"/>
      <c r="BX500" s="460"/>
      <c r="BY500" s="460"/>
      <c r="BZ500" s="460"/>
      <c r="CA500" s="460"/>
      <c r="CB500" s="460"/>
      <c r="CC500" s="460"/>
    </row>
    <row r="501" spans="1:81" s="494" customFormat="1" hidden="1">
      <c r="A501" s="474"/>
      <c r="B501" s="474"/>
      <c r="C501" s="1923"/>
      <c r="D501" s="1924"/>
      <c r="E501" s="696"/>
      <c r="F501" s="475" t="s">
        <v>2243</v>
      </c>
      <c r="G501" s="475"/>
      <c r="H501" s="475"/>
      <c r="I501" s="475"/>
      <c r="J501" s="475"/>
      <c r="K501" s="475"/>
      <c r="L501" s="475"/>
      <c r="M501" s="475"/>
      <c r="N501" s="475"/>
      <c r="O501" s="475"/>
      <c r="P501" s="475"/>
      <c r="Q501" s="475"/>
      <c r="R501" s="475"/>
      <c r="S501" s="475"/>
      <c r="T501" s="475"/>
      <c r="U501" s="475"/>
      <c r="V501" s="475"/>
      <c r="W501" s="475"/>
      <c r="X501" s="475"/>
      <c r="Y501" s="475"/>
      <c r="Z501" s="475"/>
      <c r="AA501" s="475"/>
      <c r="AB501" s="475"/>
      <c r="AC501" s="515"/>
      <c r="AD501" s="474"/>
      <c r="AE501" s="474"/>
      <c r="AF501" s="474"/>
      <c r="AG501" s="537">
        <f>IF($C$499="Yes",(VLOOKUP($G$502,$AO$477:$AP$480,2,FALSE)),0)</f>
        <v>0</v>
      </c>
      <c r="AH501" s="564" t="s">
        <v>1995</v>
      </c>
      <c r="AI501" s="475"/>
      <c r="AJ501" s="537"/>
      <c r="AK501" s="656"/>
      <c r="AL501" s="474"/>
      <c r="AM501" s="474"/>
      <c r="AN501" s="458"/>
      <c r="AO501" s="460"/>
      <c r="AP501" s="712"/>
      <c r="AQ501" s="712"/>
      <c r="AR501" s="712"/>
      <c r="AS501" s="711"/>
      <c r="AT501" s="474"/>
      <c r="AU501" s="713"/>
      <c r="AV501" s="713"/>
      <c r="AW501" s="713"/>
      <c r="AX501" s="713"/>
      <c r="AY501" s="713"/>
      <c r="AZ501" s="713"/>
      <c r="BA501" s="713"/>
      <c r="BB501" s="460"/>
      <c r="BC501" s="460"/>
      <c r="BD501" s="460"/>
      <c r="BE501" s="712"/>
      <c r="BF501" s="712"/>
      <c r="BG501" s="712"/>
      <c r="BH501" s="711"/>
      <c r="BI501" s="474"/>
      <c r="BJ501" s="714"/>
      <c r="BK501" s="713"/>
      <c r="BL501" s="713"/>
      <c r="BM501" s="713"/>
      <c r="BN501" s="713"/>
      <c r="BO501" s="713"/>
      <c r="BP501" s="713"/>
      <c r="BQ501" s="460"/>
      <c r="BR501" s="474"/>
      <c r="BS501" s="460"/>
      <c r="BT501" s="460"/>
      <c r="BU501" s="460"/>
      <c r="BV501" s="460"/>
      <c r="BW501" s="460"/>
      <c r="BX501" s="460"/>
      <c r="BY501" s="460"/>
      <c r="BZ501" s="460"/>
      <c r="CA501" s="460"/>
      <c r="CB501" s="460"/>
      <c r="CC501" s="460"/>
    </row>
    <row r="502" spans="1:81" s="494" customFormat="1" hidden="1">
      <c r="A502" s="474"/>
      <c r="B502" s="474"/>
      <c r="C502" s="686"/>
      <c r="D502" s="474"/>
      <c r="E502" s="687"/>
      <c r="F502" s="475"/>
      <c r="G502" s="1925" t="s">
        <v>299</v>
      </c>
      <c r="H502" s="1925"/>
      <c r="I502" s="1925"/>
      <c r="J502" s="1925"/>
      <c r="K502" s="1925"/>
      <c r="L502" s="1925"/>
      <c r="M502" s="1925"/>
      <c r="N502" s="1925"/>
      <c r="O502" s="1925"/>
      <c r="P502" s="1925"/>
      <c r="Q502" s="1925"/>
      <c r="R502" s="1925"/>
      <c r="S502" s="1925"/>
      <c r="T502" s="1925"/>
      <c r="U502" s="1925"/>
      <c r="V502" s="1925"/>
      <c r="W502" s="1925"/>
      <c r="X502" s="1925"/>
      <c r="Y502" s="1925"/>
      <c r="Z502" s="1925"/>
      <c r="AA502" s="1925"/>
      <c r="AB502" s="1925"/>
      <c r="AC502" s="1925"/>
      <c r="AD502" s="1925"/>
      <c r="AE502" s="1925"/>
      <c r="AF502" s="1925"/>
      <c r="AG502" s="474"/>
      <c r="AH502" s="474"/>
      <c r="AI502" s="474"/>
      <c r="AJ502" s="475"/>
      <c r="AK502" s="656"/>
      <c r="AL502" s="474"/>
      <c r="AM502" s="474"/>
      <c r="AN502" s="458"/>
      <c r="AO502" s="460"/>
      <c r="AP502" s="712"/>
      <c r="AQ502" s="712"/>
      <c r="AR502" s="712"/>
      <c r="AS502" s="711"/>
      <c r="AT502" s="474"/>
      <c r="AU502" s="713"/>
      <c r="AV502" s="713"/>
      <c r="AW502" s="713"/>
      <c r="AX502" s="713"/>
      <c r="AY502" s="713"/>
      <c r="AZ502" s="713"/>
      <c r="BA502" s="713"/>
      <c r="BB502" s="460"/>
      <c r="BC502" s="460"/>
      <c r="BD502" s="460"/>
      <c r="BE502" s="712"/>
      <c r="BF502" s="712"/>
      <c r="BG502" s="712"/>
      <c r="BH502" s="711"/>
      <c r="BI502" s="474"/>
      <c r="BJ502" s="714"/>
      <c r="BK502" s="713"/>
      <c r="BL502" s="713"/>
      <c r="BM502" s="713"/>
      <c r="BN502" s="713"/>
      <c r="BO502" s="713"/>
      <c r="BP502" s="713"/>
      <c r="BQ502" s="460"/>
      <c r="BR502" s="474"/>
      <c r="BS502" s="460"/>
      <c r="BT502" s="460"/>
      <c r="BU502" s="460"/>
      <c r="BV502" s="460"/>
      <c r="BW502" s="460"/>
      <c r="BX502" s="460"/>
      <c r="BY502" s="460"/>
      <c r="BZ502" s="460"/>
      <c r="CA502" s="460"/>
      <c r="CB502" s="460"/>
      <c r="CC502" s="460"/>
    </row>
    <row r="503" spans="1:81" s="494" customFormat="1" hidden="1">
      <c r="A503" s="474"/>
      <c r="B503" s="474"/>
      <c r="C503" s="65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4"/>
      <c r="AE503" s="474"/>
      <c r="AF503" s="474"/>
      <c r="AG503" s="14"/>
      <c r="AH503" s="14"/>
      <c r="AI503" s="14"/>
      <c r="AJ503" s="14"/>
      <c r="AK503" s="656"/>
      <c r="AL503" s="474"/>
      <c r="AM503" s="474"/>
      <c r="AN503" s="458"/>
      <c r="AO503" s="460"/>
      <c r="AP503" s="712"/>
      <c r="AQ503" s="712"/>
      <c r="AR503" s="712"/>
      <c r="AS503" s="711"/>
      <c r="AT503" s="474"/>
      <c r="AU503" s="713"/>
      <c r="AV503" s="713"/>
      <c r="AW503" s="713"/>
      <c r="AX503" s="713"/>
      <c r="AY503" s="713"/>
      <c r="AZ503" s="713"/>
      <c r="BA503" s="713"/>
      <c r="BB503" s="460"/>
      <c r="BC503" s="460"/>
      <c r="BD503" s="460"/>
      <c r="BE503" s="712"/>
      <c r="BF503" s="712"/>
      <c r="BG503" s="712"/>
      <c r="BH503" s="711"/>
      <c r="BI503" s="474"/>
      <c r="BJ503" s="714"/>
      <c r="BK503" s="713"/>
      <c r="BL503" s="713"/>
      <c r="BM503" s="713"/>
      <c r="BN503" s="713"/>
      <c r="BO503" s="713"/>
      <c r="BP503" s="713"/>
      <c r="BQ503" s="460"/>
      <c r="BR503" s="474"/>
      <c r="BS503" s="460"/>
      <c r="BT503" s="460"/>
      <c r="BU503" s="460"/>
      <c r="BV503" s="460"/>
      <c r="BW503" s="460"/>
      <c r="BX503" s="460"/>
      <c r="BY503" s="460"/>
      <c r="BZ503" s="460"/>
      <c r="CA503" s="460"/>
      <c r="CB503" s="460"/>
      <c r="CC503" s="460"/>
    </row>
    <row r="504" spans="1:81" s="494" customFormat="1" ht="12.75" hidden="1" customHeight="1">
      <c r="A504" s="14"/>
      <c r="B504" s="474"/>
      <c r="C504" s="1926" t="s">
        <v>299</v>
      </c>
      <c r="D504" s="1927"/>
      <c r="F504" s="475" t="s">
        <v>2244</v>
      </c>
      <c r="G504" s="475"/>
      <c r="H504" s="475"/>
      <c r="I504" s="475"/>
      <c r="J504" s="475"/>
      <c r="K504" s="475"/>
      <c r="L504" s="475"/>
      <c r="M504" s="475"/>
      <c r="N504" s="475"/>
      <c r="O504" s="475"/>
      <c r="P504" s="475"/>
      <c r="Q504" s="475"/>
      <c r="R504" s="475"/>
      <c r="S504" s="475"/>
      <c r="T504" s="475"/>
      <c r="U504" s="475"/>
      <c r="V504" s="475"/>
      <c r="W504" s="475"/>
      <c r="X504" s="475"/>
      <c r="Y504" s="475"/>
      <c r="Z504" s="475"/>
      <c r="AA504" s="475"/>
      <c r="AB504" s="475"/>
      <c r="AC504" s="515"/>
      <c r="AD504" s="474"/>
      <c r="AE504" s="474"/>
      <c r="AF504" s="474"/>
      <c r="AG504" s="537">
        <f>IF(AND($C$504="Yes",$C$499="Yes"),2,0)</f>
        <v>0</v>
      </c>
      <c r="AH504" s="564" t="s">
        <v>1995</v>
      </c>
      <c r="AI504" s="475"/>
      <c r="AJ504" s="518"/>
      <c r="AK504" s="656"/>
      <c r="AL504" s="474"/>
      <c r="AM504" s="474"/>
      <c r="AN504" s="458"/>
      <c r="AO504" s="460"/>
      <c r="AP504" s="712"/>
      <c r="AQ504" s="712"/>
      <c r="AR504" s="712"/>
      <c r="AS504" s="711"/>
      <c r="AT504" s="474"/>
      <c r="AU504" s="713"/>
      <c r="AV504" s="713"/>
      <c r="AW504" s="713"/>
      <c r="AX504" s="713"/>
      <c r="AY504" s="713"/>
      <c r="AZ504" s="713"/>
      <c r="BA504" s="713"/>
      <c r="BB504" s="460"/>
      <c r="BC504" s="460"/>
      <c r="BD504" s="460"/>
      <c r="BE504" s="712"/>
      <c r="BF504" s="712"/>
      <c r="BG504" s="712"/>
      <c r="BH504" s="711"/>
      <c r="BI504" s="474"/>
      <c r="BJ504" s="714"/>
      <c r="BK504" s="713"/>
      <c r="BL504" s="713"/>
      <c r="BM504" s="713"/>
      <c r="BN504" s="713"/>
      <c r="BO504" s="713"/>
      <c r="BP504" s="713"/>
      <c r="BQ504" s="460"/>
      <c r="BR504" s="474"/>
      <c r="BS504" s="460"/>
      <c r="BT504" s="460"/>
      <c r="BU504" s="460"/>
      <c r="BV504" s="460"/>
      <c r="BW504" s="460"/>
      <c r="BX504" s="460"/>
      <c r="BY504" s="460"/>
      <c r="BZ504" s="460"/>
      <c r="CA504" s="460"/>
      <c r="CB504" s="460"/>
      <c r="CC504" s="460"/>
    </row>
    <row r="505" spans="1:81" s="494" customFormat="1" hidden="1">
      <c r="A505" s="14"/>
      <c r="B505" s="474"/>
      <c r="C505" s="705"/>
      <c r="D505" s="654"/>
      <c r="E505" s="654"/>
      <c r="F505" s="475"/>
      <c r="G505" s="475" t="s">
        <v>2245</v>
      </c>
      <c r="H505" s="475"/>
      <c r="I505" s="475"/>
      <c r="J505" s="475"/>
      <c r="K505" s="475"/>
      <c r="L505" s="475"/>
      <c r="M505" s="475"/>
      <c r="N505" s="475"/>
      <c r="O505" s="475"/>
      <c r="P505" s="475"/>
      <c r="Q505" s="475"/>
      <c r="R505" s="475"/>
      <c r="S505" s="475"/>
      <c r="T505" s="475"/>
      <c r="U505" s="475"/>
      <c r="V505" s="475"/>
      <c r="W505" s="475"/>
      <c r="X505" s="475"/>
      <c r="Y505" s="475"/>
      <c r="Z505" s="475"/>
      <c r="AA505" s="475"/>
      <c r="AB505" s="475"/>
      <c r="AC505" s="515"/>
      <c r="AD505" s="474"/>
      <c r="AE505" s="474"/>
      <c r="AF505" s="474"/>
      <c r="AG505" s="518"/>
      <c r="AH505" s="518"/>
      <c r="AI505" s="518"/>
      <c r="AJ505" s="518"/>
      <c r="AK505" s="656"/>
      <c r="AL505" s="474"/>
      <c r="AM505" s="474"/>
      <c r="AN505" s="521"/>
      <c r="AO505" s="460"/>
      <c r="AP505" s="712"/>
      <c r="AQ505" s="712"/>
      <c r="AR505" s="712"/>
      <c r="AS505" s="711"/>
      <c r="AT505" s="474"/>
      <c r="AU505" s="713"/>
      <c r="AV505" s="713"/>
      <c r="AW505" s="713"/>
      <c r="AX505" s="713"/>
      <c r="AY505" s="713"/>
      <c r="AZ505" s="713"/>
      <c r="BA505" s="713"/>
      <c r="BB505" s="460"/>
      <c r="BC505" s="460"/>
      <c r="BD505" s="460"/>
      <c r="BE505" s="712"/>
      <c r="BF505" s="712"/>
      <c r="BG505" s="712"/>
      <c r="BH505" s="711"/>
      <c r="BI505" s="474"/>
      <c r="BJ505" s="714"/>
      <c r="BK505" s="713"/>
      <c r="BL505" s="713"/>
      <c r="BM505" s="713"/>
      <c r="BN505" s="713"/>
      <c r="BO505" s="713"/>
      <c r="BP505" s="713"/>
      <c r="BQ505" s="460"/>
      <c r="BR505" s="474"/>
      <c r="BS505" s="460"/>
      <c r="BT505" s="460"/>
      <c r="BU505" s="460"/>
      <c r="BV505" s="460"/>
      <c r="BW505" s="460"/>
      <c r="BX505" s="460"/>
      <c r="BY505" s="460"/>
      <c r="BZ505" s="460"/>
      <c r="CA505" s="460"/>
      <c r="CB505" s="460"/>
      <c r="CC505" s="460"/>
    </row>
    <row r="506" spans="1:81" s="474" customFormat="1" ht="12.75" hidden="1" customHeight="1">
      <c r="A506" s="14"/>
      <c r="C506" s="705"/>
      <c r="D506" s="654"/>
      <c r="E506" s="654"/>
      <c r="F506" s="475"/>
      <c r="G506" s="475" t="s">
        <v>2246</v>
      </c>
      <c r="H506" s="475"/>
      <c r="I506" s="475"/>
      <c r="J506" s="475"/>
      <c r="K506" s="475"/>
      <c r="L506" s="475"/>
      <c r="M506" s="475"/>
      <c r="N506" s="475"/>
      <c r="O506" s="475"/>
      <c r="P506" s="475"/>
      <c r="Q506" s="475"/>
      <c r="R506" s="475"/>
      <c r="S506" s="475"/>
      <c r="T506" s="475"/>
      <c r="U506" s="475"/>
      <c r="V506" s="475"/>
      <c r="W506" s="475"/>
      <c r="X506" s="475"/>
      <c r="Y506" s="475"/>
      <c r="Z506" s="475"/>
      <c r="AA506" s="475"/>
      <c r="AB506" s="475"/>
      <c r="AC506" s="515"/>
      <c r="AG506" s="518"/>
      <c r="AH506" s="518"/>
      <c r="AI506" s="518"/>
      <c r="AJ506" s="518"/>
      <c r="AK506" s="656"/>
      <c r="AN506" s="459"/>
      <c r="AP506" s="460"/>
      <c r="AQ506" s="460"/>
      <c r="AR506" s="460"/>
    </row>
    <row r="507" spans="1:81" s="474" customFormat="1" ht="12.75" hidden="1" customHeight="1">
      <c r="A507" s="561"/>
      <c r="B507" s="14"/>
      <c r="C507" s="717"/>
      <c r="D507" s="14"/>
      <c r="G507" s="535"/>
      <c r="H507" s="535"/>
      <c r="I507" s="535"/>
      <c r="J507" s="535"/>
      <c r="K507" s="535"/>
      <c r="L507" s="535"/>
      <c r="M507" s="535"/>
      <c r="N507" s="535"/>
      <c r="O507" s="535"/>
      <c r="P507" s="535"/>
      <c r="Q507" s="535"/>
      <c r="R507" s="535"/>
      <c r="S507" s="535"/>
      <c r="T507" s="535"/>
      <c r="U507" s="535"/>
      <c r="V507" s="535"/>
      <c r="W507" s="535"/>
      <c r="X507" s="535"/>
      <c r="Y507" s="535"/>
      <c r="Z507" s="535"/>
      <c r="AA507" s="535"/>
      <c r="AB507" s="535"/>
      <c r="AC507" s="535"/>
      <c r="AD507" s="535"/>
      <c r="AE507" s="535"/>
      <c r="AF507" s="535"/>
      <c r="AG507" s="515"/>
      <c r="AH507" s="515"/>
      <c r="AI507" s="515"/>
      <c r="AJ507" s="515"/>
      <c r="AK507" s="718"/>
      <c r="AL507" s="14"/>
      <c r="AM507" s="14"/>
      <c r="AN507" s="459"/>
      <c r="AO507" s="460"/>
      <c r="AP507" s="460"/>
      <c r="AQ507" s="460"/>
      <c r="AR507" s="460"/>
    </row>
    <row r="508" spans="1:81" s="474" customFormat="1" ht="12.75" hidden="1" customHeight="1">
      <c r="A508" s="561"/>
      <c r="C508" s="1926" t="s">
        <v>299</v>
      </c>
      <c r="D508" s="1927"/>
      <c r="F508" s="719" t="s">
        <v>2247</v>
      </c>
      <c r="G508" s="1846" t="s">
        <v>2248</v>
      </c>
      <c r="H508" s="1846"/>
      <c r="I508" s="1846"/>
      <c r="J508" s="1846"/>
      <c r="K508" s="1846"/>
      <c r="L508" s="1846"/>
      <c r="M508" s="1846"/>
      <c r="N508" s="1846"/>
      <c r="O508" s="1846"/>
      <c r="P508" s="1846"/>
      <c r="Q508" s="1846"/>
      <c r="R508" s="1846"/>
      <c r="S508" s="1846"/>
      <c r="T508" s="1846"/>
      <c r="U508" s="1846"/>
      <c r="V508" s="1846"/>
      <c r="W508" s="1846"/>
      <c r="X508" s="1846"/>
      <c r="Y508" s="1846"/>
      <c r="Z508" s="1846"/>
      <c r="AA508" s="1846"/>
      <c r="AB508" s="1846"/>
      <c r="AC508" s="1846"/>
      <c r="AD508" s="1846"/>
      <c r="AE508" s="1846"/>
      <c r="AF508" s="1846"/>
      <c r="AG508" s="537">
        <f>IF(AND($C$508="Yes",$C$499="Yes"),2,0)</f>
        <v>0</v>
      </c>
      <c r="AH508" s="564" t="s">
        <v>1995</v>
      </c>
      <c r="AI508" s="475"/>
      <c r="AJ508" s="518"/>
      <c r="AK508" s="656"/>
      <c r="AN508" s="459"/>
      <c r="AZ508" s="463"/>
      <c r="BC508" s="467"/>
      <c r="BD508" s="463"/>
      <c r="BE508" s="463"/>
      <c r="BF508" s="463"/>
      <c r="BM508" s="460"/>
      <c r="BN508" s="463"/>
      <c r="BO508" s="460"/>
      <c r="BP508" s="463"/>
      <c r="BQ508" s="463"/>
      <c r="BR508" s="463"/>
      <c r="BS508" s="463"/>
      <c r="BT508" s="463"/>
      <c r="BU508" s="463"/>
      <c r="BV508" s="460"/>
      <c r="BW508" s="460"/>
      <c r="BX508" s="460"/>
      <c r="BY508" s="460"/>
      <c r="BZ508" s="460"/>
      <c r="CA508" s="460"/>
      <c r="CB508" s="460"/>
      <c r="CC508" s="460"/>
    </row>
    <row r="509" spans="1:81" s="474" customFormat="1" ht="12.75" hidden="1" customHeight="1">
      <c r="C509" s="720"/>
      <c r="D509" s="651"/>
      <c r="E509" s="689"/>
      <c r="F509" s="650"/>
      <c r="G509" s="1928"/>
      <c r="H509" s="1928"/>
      <c r="I509" s="1928"/>
      <c r="J509" s="1928"/>
      <c r="K509" s="1928"/>
      <c r="L509" s="1928"/>
      <c r="M509" s="1928"/>
      <c r="N509" s="1928"/>
      <c r="O509" s="1928"/>
      <c r="P509" s="1928"/>
      <c r="Q509" s="1928"/>
      <c r="R509" s="1928"/>
      <c r="S509" s="1928"/>
      <c r="T509" s="1928"/>
      <c r="U509" s="1928"/>
      <c r="V509" s="1928"/>
      <c r="W509" s="1928"/>
      <c r="X509" s="1928"/>
      <c r="Y509" s="1928"/>
      <c r="Z509" s="1928"/>
      <c r="AA509" s="1928"/>
      <c r="AB509" s="1928"/>
      <c r="AC509" s="1928"/>
      <c r="AD509" s="1928"/>
      <c r="AE509" s="1928"/>
      <c r="AF509" s="1928"/>
      <c r="AG509" s="582"/>
      <c r="AH509" s="582"/>
      <c r="AI509" s="582"/>
      <c r="AJ509" s="582"/>
      <c r="AK509" s="666"/>
      <c r="AN509" s="459"/>
      <c r="AZ509" s="463"/>
      <c r="BC509" s="467"/>
      <c r="BD509" s="463"/>
      <c r="BE509" s="463"/>
      <c r="BF509" s="463"/>
      <c r="BM509" s="519"/>
      <c r="BN509" s="519"/>
      <c r="BO509" s="519"/>
      <c r="BP509" s="519"/>
      <c r="BQ509" s="519"/>
      <c r="BR509" s="519"/>
      <c r="BS509" s="519"/>
      <c r="BT509" s="519"/>
      <c r="BU509" s="519"/>
      <c r="BV509" s="519"/>
      <c r="BW509" s="519"/>
      <c r="BX509" s="519"/>
      <c r="BY509" s="519"/>
      <c r="BZ509" s="519"/>
      <c r="CA509" s="519"/>
      <c r="CB509" s="519"/>
      <c r="CC509" s="519"/>
    </row>
    <row r="510" spans="1:81" s="474" customFormat="1" ht="12.75" hidden="1" customHeight="1">
      <c r="C510" s="460"/>
      <c r="E510" s="687"/>
      <c r="F510" s="527"/>
      <c r="G510" s="497"/>
      <c r="H510" s="497"/>
      <c r="I510" s="497"/>
      <c r="J510" s="497"/>
      <c r="K510" s="497"/>
      <c r="L510" s="497"/>
      <c r="M510" s="497"/>
      <c r="N510" s="497"/>
      <c r="O510" s="497"/>
      <c r="P510" s="497"/>
      <c r="Q510" s="497"/>
      <c r="R510" s="497"/>
      <c r="S510" s="497"/>
      <c r="T510" s="497"/>
      <c r="U510" s="497"/>
      <c r="V510" s="497"/>
      <c r="W510" s="497"/>
      <c r="X510" s="497"/>
      <c r="Y510" s="497"/>
      <c r="Z510" s="497"/>
      <c r="AA510" s="497"/>
      <c r="AB510" s="497"/>
      <c r="AC510" s="497"/>
      <c r="AD510" s="497"/>
      <c r="AE510" s="497"/>
      <c r="AF510" s="497"/>
      <c r="AG510" s="475"/>
      <c r="AH510" s="475"/>
      <c r="AI510" s="475"/>
      <c r="AJ510" s="475"/>
      <c r="AN510" s="459"/>
      <c r="AP510" s="463"/>
      <c r="AQ510" s="463"/>
      <c r="AR510" s="463"/>
      <c r="AS510" s="463"/>
      <c r="AT510" s="463"/>
      <c r="AU510" s="463"/>
      <c r="AV510" s="463"/>
      <c r="AW510" s="463"/>
      <c r="AX510" s="463"/>
      <c r="AY510" s="463"/>
      <c r="AZ510" s="463"/>
      <c r="BA510" s="463"/>
      <c r="BB510" s="463"/>
      <c r="BC510" s="463"/>
      <c r="BD510" s="463"/>
      <c r="BE510" s="463"/>
      <c r="BF510" s="463"/>
      <c r="BG510" s="463"/>
      <c r="BH510" s="463"/>
      <c r="BI510" s="467"/>
      <c r="BJ510" s="721"/>
      <c r="BK510" s="721"/>
      <c r="BM510" s="519"/>
      <c r="BN510" s="519"/>
      <c r="BO510" s="519"/>
      <c r="BP510" s="519"/>
      <c r="BQ510" s="519"/>
      <c r="BR510" s="519"/>
      <c r="BS510" s="519"/>
      <c r="BT510" s="519"/>
      <c r="BU510" s="519"/>
      <c r="BV510" s="519"/>
      <c r="BW510" s="519"/>
      <c r="BX510" s="519"/>
      <c r="BY510" s="519"/>
      <c r="BZ510" s="519"/>
      <c r="CA510" s="519"/>
      <c r="CB510" s="519"/>
      <c r="CC510" s="519"/>
    </row>
    <row r="511" spans="1:81" s="474" customFormat="1" ht="12.75" hidden="1" customHeight="1">
      <c r="C511" s="722" t="s">
        <v>2249</v>
      </c>
      <c r="D511" s="638"/>
      <c r="E511" s="723"/>
      <c r="F511" s="724"/>
      <c r="G511" s="725"/>
      <c r="H511" s="725"/>
      <c r="I511" s="725"/>
      <c r="J511" s="725"/>
      <c r="K511" s="725"/>
      <c r="L511" s="725"/>
      <c r="M511" s="725"/>
      <c r="N511" s="725"/>
      <c r="O511" s="725"/>
      <c r="P511" s="725"/>
      <c r="Q511" s="725"/>
      <c r="R511" s="725"/>
      <c r="S511" s="725"/>
      <c r="T511" s="725"/>
      <c r="U511" s="725"/>
      <c r="V511" s="725"/>
      <c r="W511" s="725"/>
      <c r="X511" s="725"/>
      <c r="Y511" s="725"/>
      <c r="Z511" s="725"/>
      <c r="AA511" s="725"/>
      <c r="AB511" s="725"/>
      <c r="AC511" s="725"/>
      <c r="AD511" s="725"/>
      <c r="AE511" s="725"/>
      <c r="AF511" s="725"/>
      <c r="AG511" s="573"/>
      <c r="AH511" s="573"/>
      <c r="AI511" s="573"/>
      <c r="AJ511" s="573"/>
      <c r="AK511" s="669"/>
      <c r="AN511" s="521"/>
      <c r="AP511" s="463"/>
      <c r="AQ511" s="463"/>
      <c r="AR511" s="463"/>
      <c r="AS511" s="463"/>
      <c r="AT511" s="463"/>
      <c r="AU511" s="463"/>
      <c r="AV511" s="463"/>
      <c r="AW511" s="463"/>
      <c r="AX511" s="463"/>
      <c r="AY511" s="463"/>
      <c r="AZ511" s="463"/>
      <c r="BA511" s="463"/>
      <c r="BB511" s="463"/>
      <c r="BC511" s="463"/>
      <c r="BD511" s="463"/>
      <c r="BE511" s="463"/>
      <c r="BF511" s="463"/>
      <c r="BG511" s="463"/>
      <c r="BH511" s="463"/>
      <c r="BI511" s="561"/>
      <c r="BJ511" s="721"/>
      <c r="BK511" s="721"/>
      <c r="BM511" s="519"/>
      <c r="BN511" s="519"/>
      <c r="BO511" s="519"/>
      <c r="BP511" s="519"/>
      <c r="BQ511" s="519"/>
      <c r="BR511" s="519"/>
      <c r="BS511" s="519"/>
      <c r="BT511" s="519"/>
      <c r="BU511" s="519"/>
      <c r="BV511" s="519"/>
      <c r="BW511" s="519"/>
      <c r="BX511" s="519"/>
      <c r="BY511" s="519"/>
      <c r="BZ511" s="519"/>
      <c r="CA511" s="519"/>
      <c r="CB511" s="519"/>
      <c r="CC511" s="519"/>
    </row>
    <row r="512" spans="1:81" s="474" customFormat="1" ht="12.75" hidden="1" customHeight="1">
      <c r="C512" s="1933" t="s">
        <v>299</v>
      </c>
      <c r="D512" s="1934"/>
      <c r="E512" s="726" t="s">
        <v>2250</v>
      </c>
      <c r="F512" s="695" t="s">
        <v>2251</v>
      </c>
      <c r="G512" s="497"/>
      <c r="H512" s="497"/>
      <c r="I512" s="497"/>
      <c r="J512" s="497"/>
      <c r="K512" s="497"/>
      <c r="L512" s="497"/>
      <c r="M512" s="497"/>
      <c r="N512" s="497"/>
      <c r="O512" s="497"/>
      <c r="P512" s="497"/>
      <c r="Q512" s="497"/>
      <c r="R512" s="497"/>
      <c r="S512" s="497"/>
      <c r="T512" s="497"/>
      <c r="U512" s="497"/>
      <c r="V512" s="497"/>
      <c r="W512" s="497"/>
      <c r="X512" s="497"/>
      <c r="Y512" s="497"/>
      <c r="Z512" s="497"/>
      <c r="AA512" s="497"/>
      <c r="AB512" s="497"/>
      <c r="AC512" s="497"/>
      <c r="AD512" s="497"/>
      <c r="AE512" s="497"/>
      <c r="AF512" s="497"/>
      <c r="AG512" s="537">
        <f>IF(C$512="Yes",(VLOOKUP(F$513,$AO$483:$AP$486,2,FALSE)),0)</f>
        <v>0</v>
      </c>
      <c r="AH512" s="564" t="s">
        <v>1995</v>
      </c>
      <c r="AI512" s="475"/>
      <c r="AJ512" s="475"/>
      <c r="AK512" s="656"/>
      <c r="AN512" s="521"/>
      <c r="AP512" s="463"/>
      <c r="AQ512" s="463"/>
      <c r="AR512" s="463"/>
      <c r="AS512" s="463"/>
      <c r="AT512" s="463"/>
      <c r="AU512" s="463"/>
      <c r="AV512" s="463"/>
      <c r="AW512" s="463"/>
      <c r="AX512" s="463"/>
      <c r="AY512" s="463"/>
      <c r="AZ512" s="463"/>
      <c r="BA512" s="463"/>
      <c r="BB512" s="463"/>
      <c r="BC512" s="463"/>
      <c r="BD512" s="463"/>
      <c r="BE512" s="463"/>
      <c r="BF512" s="463"/>
      <c r="BG512" s="463"/>
      <c r="BH512" s="463"/>
      <c r="BI512" s="561"/>
      <c r="BJ512" s="721"/>
      <c r="BK512" s="721"/>
      <c r="BM512" s="460"/>
      <c r="BN512" s="460"/>
      <c r="BO512" s="460"/>
      <c r="BP512" s="460"/>
      <c r="BQ512" s="460"/>
      <c r="BR512" s="460"/>
      <c r="BS512" s="460"/>
      <c r="BT512" s="460"/>
      <c r="BU512" s="460"/>
      <c r="BV512" s="460"/>
      <c r="BW512" s="460"/>
      <c r="BX512" s="460"/>
      <c r="BY512" s="460"/>
      <c r="BZ512" s="460"/>
      <c r="CA512" s="460"/>
      <c r="CB512" s="460"/>
      <c r="CC512" s="460"/>
    </row>
    <row r="513" spans="1:81" s="474" customFormat="1" ht="12.75" hidden="1" customHeight="1">
      <c r="C513" s="642"/>
      <c r="E513" s="687"/>
      <c r="F513" s="1935" t="s">
        <v>299</v>
      </c>
      <c r="G513" s="1935"/>
      <c r="H513" s="1935"/>
      <c r="I513" s="1935"/>
      <c r="J513" s="1935"/>
      <c r="K513" s="1935"/>
      <c r="L513" s="1935"/>
      <c r="M513" s="1935"/>
      <c r="N513" s="1935"/>
      <c r="O513" s="1935"/>
      <c r="P513" s="1935"/>
      <c r="Q513" s="1935"/>
      <c r="R513" s="1935"/>
      <c r="S513" s="1935"/>
      <c r="T513" s="1935"/>
      <c r="U513" s="1935"/>
      <c r="V513" s="1935"/>
      <c r="W513" s="1935"/>
      <c r="X513" s="1935"/>
      <c r="Y513" s="1935"/>
      <c r="Z513" s="1935"/>
      <c r="AA513" s="1935"/>
      <c r="AB513" s="1935"/>
      <c r="AC513" s="1935"/>
      <c r="AD513" s="1935"/>
      <c r="AE513" s="1935"/>
      <c r="AF513" s="1935"/>
      <c r="AG513" s="475"/>
      <c r="AH513" s="475"/>
      <c r="AI513" s="475"/>
      <c r="AJ513" s="475"/>
      <c r="AK513" s="656"/>
      <c r="AN513" s="521"/>
      <c r="BM513" s="460"/>
      <c r="BN513" s="460"/>
      <c r="BO513" s="460"/>
      <c r="BP513" s="460"/>
      <c r="BQ513" s="460"/>
      <c r="BR513" s="460"/>
      <c r="BS513" s="460"/>
      <c r="BT513" s="460"/>
      <c r="BU513" s="460"/>
      <c r="BV513" s="460"/>
      <c r="BW513" s="460"/>
      <c r="BX513" s="460"/>
      <c r="BY513" s="460"/>
      <c r="BZ513" s="460"/>
      <c r="CA513" s="460"/>
      <c r="CB513" s="460"/>
      <c r="CC513" s="460"/>
    </row>
    <row r="514" spans="1:81" s="474" customFormat="1" ht="12.75" hidden="1" customHeight="1">
      <c r="C514" s="720"/>
      <c r="D514" s="651"/>
      <c r="E514" s="689"/>
      <c r="F514" s="1936"/>
      <c r="G514" s="1936"/>
      <c r="H514" s="1936"/>
      <c r="I514" s="1936"/>
      <c r="J514" s="1936"/>
      <c r="K514" s="1936"/>
      <c r="L514" s="1936"/>
      <c r="M514" s="1936"/>
      <c r="N514" s="1936"/>
      <c r="O514" s="1936"/>
      <c r="P514" s="1936"/>
      <c r="Q514" s="1936"/>
      <c r="R514" s="1936"/>
      <c r="S514" s="1936"/>
      <c r="T514" s="1936"/>
      <c r="U514" s="1936"/>
      <c r="V514" s="1936"/>
      <c r="W514" s="1936"/>
      <c r="X514" s="1936"/>
      <c r="Y514" s="1936"/>
      <c r="Z514" s="1936"/>
      <c r="AA514" s="1936"/>
      <c r="AB514" s="1936"/>
      <c r="AC514" s="1936"/>
      <c r="AD514" s="1936"/>
      <c r="AE514" s="1936"/>
      <c r="AF514" s="1936"/>
      <c r="AG514" s="582"/>
      <c r="AH514" s="582"/>
      <c r="AI514" s="582"/>
      <c r="AJ514" s="582"/>
      <c r="AK514" s="666"/>
      <c r="AN514" s="521"/>
      <c r="BM514" s="460"/>
      <c r="BN514" s="460"/>
      <c r="BO514" s="460"/>
      <c r="BP514" s="460"/>
      <c r="BQ514" s="460"/>
      <c r="BR514" s="460"/>
      <c r="BS514" s="460"/>
      <c r="BT514" s="460"/>
      <c r="BU514" s="460"/>
      <c r="BV514" s="460"/>
      <c r="BW514" s="460"/>
      <c r="BX514" s="460"/>
      <c r="BY514" s="460"/>
      <c r="BZ514" s="460"/>
      <c r="CA514" s="460"/>
      <c r="CB514" s="460"/>
      <c r="CC514" s="460"/>
    </row>
    <row r="515" spans="1:81" s="474" customFormat="1" ht="12.75" hidden="1" customHeight="1">
      <c r="A515" s="561"/>
      <c r="C515" s="475"/>
      <c r="E515" s="475"/>
      <c r="F515" s="695"/>
      <c r="G515" s="475"/>
      <c r="H515" s="475"/>
      <c r="I515" s="475"/>
      <c r="J515" s="475"/>
      <c r="K515" s="475"/>
      <c r="L515" s="475"/>
      <c r="M515" s="475"/>
      <c r="N515" s="475"/>
      <c r="O515" s="475"/>
      <c r="P515" s="475"/>
      <c r="Q515" s="475"/>
      <c r="R515" s="475"/>
      <c r="S515" s="475"/>
      <c r="T515" s="475"/>
      <c r="U515" s="475"/>
      <c r="V515" s="475"/>
      <c r="W515" s="475"/>
      <c r="X515" s="475"/>
      <c r="Y515" s="475"/>
      <c r="Z515" s="475"/>
      <c r="AA515" s="475"/>
      <c r="AB515" s="475"/>
      <c r="AC515" s="475"/>
      <c r="AD515" s="540"/>
      <c r="AE515" s="475"/>
      <c r="AF515" s="475"/>
      <c r="AG515" s="475"/>
      <c r="AH515" s="475"/>
      <c r="AN515" s="521"/>
      <c r="BM515" s="460"/>
      <c r="BN515" s="460"/>
      <c r="BO515" s="460"/>
      <c r="BP515" s="460"/>
      <c r="BQ515" s="460"/>
      <c r="BR515" s="460"/>
      <c r="BS515" s="460"/>
      <c r="BT515" s="460"/>
      <c r="BU515" s="460"/>
      <c r="BV515" s="460"/>
      <c r="BW515" s="460"/>
      <c r="BX515" s="460"/>
      <c r="BY515" s="460"/>
      <c r="BZ515" s="460"/>
      <c r="CA515" s="460"/>
      <c r="CB515" s="460"/>
      <c r="CC515" s="460"/>
    </row>
    <row r="516" spans="1:81" s="474" customFormat="1" ht="12.75" hidden="1" customHeight="1">
      <c r="A516" s="561"/>
      <c r="B516" s="474" t="s">
        <v>2252</v>
      </c>
      <c r="C516" s="475"/>
      <c r="E516" s="475"/>
      <c r="F516" s="475"/>
      <c r="G516" s="475"/>
      <c r="H516" s="475"/>
      <c r="I516" s="475"/>
      <c r="J516" s="475"/>
      <c r="K516" s="475"/>
      <c r="L516" s="475"/>
      <c r="M516" s="475"/>
      <c r="N516" s="475"/>
      <c r="O516" s="475"/>
      <c r="P516" s="475"/>
      <c r="Q516" s="475"/>
      <c r="R516" s="475"/>
      <c r="S516" s="475"/>
      <c r="T516" s="475"/>
      <c r="U516" s="475"/>
      <c r="V516" s="475"/>
      <c r="W516" s="475"/>
      <c r="X516" s="475"/>
      <c r="Y516" s="475"/>
      <c r="Z516" s="475"/>
      <c r="AA516" s="475"/>
      <c r="AB516" s="475"/>
      <c r="AC516" s="475"/>
      <c r="AD516" s="540"/>
      <c r="AE516" s="475"/>
      <c r="AF516" s="475"/>
      <c r="AG516" s="475"/>
      <c r="AH516" s="475"/>
      <c r="AN516" s="521"/>
      <c r="AP516" s="710"/>
      <c r="AQ516" s="710"/>
      <c r="AR516" s="710"/>
      <c r="AS516" s="710"/>
      <c r="AT516" s="710"/>
      <c r="AU516" s="710"/>
      <c r="AV516" s="710"/>
      <c r="AW516" s="710"/>
      <c r="AX516" s="710"/>
      <c r="AY516" s="710"/>
      <c r="BM516" s="460"/>
      <c r="BN516" s="460"/>
      <c r="BO516" s="460"/>
      <c r="BP516" s="460"/>
      <c r="BQ516" s="460"/>
      <c r="BR516" s="460"/>
      <c r="BS516" s="460"/>
      <c r="BT516" s="460"/>
      <c r="BU516" s="460"/>
      <c r="BV516" s="460"/>
      <c r="BW516" s="460"/>
      <c r="BX516" s="460"/>
      <c r="BY516" s="460"/>
      <c r="BZ516" s="460"/>
      <c r="CA516" s="460"/>
      <c r="CB516" s="460"/>
      <c r="CC516" s="460"/>
    </row>
    <row r="517" spans="1:81" s="474" customFormat="1" ht="12.75" hidden="1" customHeight="1">
      <c r="A517" s="561"/>
      <c r="B517" s="474" t="s">
        <v>2253</v>
      </c>
      <c r="C517" s="475"/>
      <c r="E517" s="475"/>
      <c r="F517" s="475"/>
      <c r="G517" s="475"/>
      <c r="H517" s="475"/>
      <c r="I517" s="475"/>
      <c r="J517" s="475"/>
      <c r="K517" s="475"/>
      <c r="L517" s="475"/>
      <c r="M517" s="475"/>
      <c r="N517" s="475"/>
      <c r="O517" s="475"/>
      <c r="P517" s="475"/>
      <c r="Q517" s="475"/>
      <c r="R517" s="475"/>
      <c r="S517" s="475"/>
      <c r="T517" s="475"/>
      <c r="U517" s="475"/>
      <c r="V517" s="475"/>
      <c r="W517" s="475"/>
      <c r="X517" s="475"/>
      <c r="Y517" s="475"/>
      <c r="Z517" s="475"/>
      <c r="AA517" s="475"/>
      <c r="AB517" s="475"/>
      <c r="AC517" s="475"/>
      <c r="AD517" s="540"/>
      <c r="AE517" s="475"/>
      <c r="AF517" s="475"/>
      <c r="AG517" s="475"/>
      <c r="AH517" s="475"/>
      <c r="AN517" s="521"/>
      <c r="AP517" s="727"/>
      <c r="AQ517" s="727"/>
      <c r="AR517" s="727"/>
      <c r="AS517" s="727"/>
      <c r="AT517" s="727"/>
      <c r="AU517" s="727"/>
      <c r="AV517" s="727"/>
      <c r="AW517" s="727"/>
      <c r="AX517" s="727"/>
      <c r="AY517" s="727"/>
      <c r="BM517" s="460"/>
      <c r="BN517" s="460"/>
      <c r="BO517" s="460"/>
      <c r="BP517" s="460"/>
      <c r="BQ517" s="460"/>
      <c r="BR517" s="460"/>
      <c r="BS517" s="460"/>
      <c r="BT517" s="460"/>
      <c r="BU517" s="460"/>
      <c r="BV517" s="460"/>
      <c r="BW517" s="460"/>
      <c r="BX517" s="460"/>
      <c r="BY517" s="460"/>
      <c r="BZ517" s="460"/>
      <c r="CA517" s="460"/>
      <c r="CB517" s="460"/>
      <c r="CC517" s="460"/>
    </row>
    <row r="518" spans="1:81" s="474" customFormat="1" ht="12.75" hidden="1" customHeight="1">
      <c r="A518" s="561"/>
      <c r="B518" s="474" t="s">
        <v>2254</v>
      </c>
      <c r="C518" s="475"/>
      <c r="E518" s="475"/>
      <c r="F518" s="475"/>
      <c r="G518" s="475"/>
      <c r="H518" s="475"/>
      <c r="I518" s="475"/>
      <c r="J518" s="475"/>
      <c r="K518" s="475"/>
      <c r="L518" s="475"/>
      <c r="M518" s="475"/>
      <c r="N518" s="475"/>
      <c r="O518" s="475"/>
      <c r="P518" s="475"/>
      <c r="Q518" s="475"/>
      <c r="R518" s="475"/>
      <c r="S518" s="475"/>
      <c r="T518" s="475"/>
      <c r="U518" s="475"/>
      <c r="V518" s="475"/>
      <c r="W518" s="475"/>
      <c r="X518" s="475"/>
      <c r="Y518" s="475"/>
      <c r="Z518" s="475"/>
      <c r="AA518" s="475"/>
      <c r="AB518" s="475"/>
      <c r="AC518" s="475"/>
      <c r="AD518" s="540"/>
      <c r="AE518" s="475"/>
      <c r="AF518" s="475"/>
      <c r="AG518" s="475"/>
      <c r="AH518" s="475"/>
      <c r="AN518" s="521"/>
      <c r="AP518" s="727"/>
      <c r="AQ518" s="727"/>
      <c r="AR518" s="727"/>
      <c r="AS518" s="727"/>
      <c r="AT518" s="727"/>
      <c r="AU518" s="727"/>
      <c r="AV518" s="727"/>
      <c r="AW518" s="727"/>
      <c r="AX518" s="727"/>
      <c r="AY518" s="727"/>
      <c r="BM518" s="460"/>
      <c r="BN518" s="460"/>
      <c r="BO518" s="460"/>
      <c r="BP518" s="460"/>
      <c r="BQ518" s="460"/>
      <c r="BR518" s="460"/>
      <c r="BS518" s="460"/>
      <c r="BT518" s="460"/>
      <c r="BU518" s="460"/>
      <c r="BV518" s="460"/>
      <c r="BW518" s="460"/>
      <c r="BX518" s="460"/>
      <c r="BY518" s="460"/>
      <c r="BZ518" s="460"/>
      <c r="CA518" s="460"/>
      <c r="CB518" s="460"/>
      <c r="CC518" s="460"/>
    </row>
    <row r="519" spans="1:81" s="474" customFormat="1" ht="12.75" hidden="1" customHeight="1">
      <c r="A519" s="561"/>
      <c r="B519" s="474" t="s">
        <v>2255</v>
      </c>
      <c r="C519" s="475"/>
      <c r="E519" s="475"/>
      <c r="F519" s="475"/>
      <c r="G519" s="475"/>
      <c r="H519" s="475"/>
      <c r="I519" s="475"/>
      <c r="J519" s="475"/>
      <c r="K519" s="475"/>
      <c r="L519" s="475"/>
      <c r="M519" s="475"/>
      <c r="N519" s="475"/>
      <c r="O519" s="475"/>
      <c r="P519" s="475"/>
      <c r="Q519" s="475"/>
      <c r="R519" s="475"/>
      <c r="S519" s="475"/>
      <c r="T519" s="475"/>
      <c r="U519" s="475"/>
      <c r="V519" s="475"/>
      <c r="W519" s="475"/>
      <c r="X519" s="475"/>
      <c r="Y519" s="475"/>
      <c r="Z519" s="475"/>
      <c r="AA519" s="475"/>
      <c r="AB519" s="475"/>
      <c r="AC519" s="475"/>
      <c r="AD519" s="540"/>
      <c r="AE519" s="475"/>
      <c r="AF519" s="475"/>
      <c r="AG519" s="475"/>
      <c r="AH519" s="475"/>
      <c r="AN519" s="521"/>
      <c r="AP519" s="727"/>
      <c r="AQ519" s="727"/>
      <c r="AR519" s="727"/>
      <c r="AS519" s="727"/>
      <c r="AT519" s="727"/>
      <c r="AU519" s="727"/>
      <c r="AV519" s="727"/>
      <c r="AW519" s="727"/>
      <c r="AX519" s="727"/>
      <c r="AY519" s="727"/>
      <c r="BM519" s="460"/>
      <c r="BN519" s="460"/>
      <c r="BO519" s="460"/>
      <c r="BP519" s="460"/>
      <c r="BQ519" s="460"/>
      <c r="BR519" s="460"/>
      <c r="BS519" s="460"/>
      <c r="BT519" s="460"/>
      <c r="BU519" s="460"/>
      <c r="BV519" s="460"/>
      <c r="BW519" s="460"/>
      <c r="BX519" s="460"/>
      <c r="BY519" s="460"/>
      <c r="BZ519" s="460"/>
      <c r="CA519" s="460"/>
      <c r="CB519" s="460"/>
      <c r="CC519" s="460"/>
    </row>
    <row r="520" spans="1:81" s="474" customFormat="1" ht="12.75" hidden="1" customHeight="1">
      <c r="A520" s="561"/>
      <c r="B520" s="474" t="s">
        <v>2256</v>
      </c>
      <c r="C520" s="475"/>
      <c r="E520" s="475"/>
      <c r="F520" s="475"/>
      <c r="G520" s="475"/>
      <c r="H520" s="475"/>
      <c r="I520" s="475"/>
      <c r="J520" s="475"/>
      <c r="K520" s="475"/>
      <c r="L520" s="475"/>
      <c r="M520" s="475"/>
      <c r="N520" s="475"/>
      <c r="O520" s="475"/>
      <c r="P520" s="475"/>
      <c r="Q520" s="475"/>
      <c r="R520" s="475"/>
      <c r="S520" s="475"/>
      <c r="T520" s="475"/>
      <c r="U520" s="475"/>
      <c r="V520" s="475"/>
      <c r="W520" s="475"/>
      <c r="X520" s="475"/>
      <c r="Y520" s="475"/>
      <c r="Z520" s="475"/>
      <c r="AA520" s="475"/>
      <c r="AB520" s="475"/>
      <c r="AC520" s="475"/>
      <c r="AD520" s="540"/>
      <c r="AE520" s="475"/>
      <c r="AF520" s="475"/>
      <c r="AG520" s="475"/>
      <c r="AH520" s="475"/>
      <c r="AN520" s="521"/>
      <c r="AP520" s="727"/>
      <c r="AQ520" s="727"/>
      <c r="AR520" s="727"/>
      <c r="AS520" s="727"/>
      <c r="AT520" s="727"/>
      <c r="AU520" s="727"/>
      <c r="AV520" s="727"/>
      <c r="AW520" s="727"/>
      <c r="AX520" s="727"/>
      <c r="AY520" s="727"/>
      <c r="BM520" s="460"/>
      <c r="BN520" s="460"/>
      <c r="BO520" s="460"/>
      <c r="BP520" s="460"/>
      <c r="BQ520" s="460"/>
      <c r="BR520" s="460"/>
      <c r="BS520" s="460"/>
      <c r="BT520" s="460"/>
      <c r="BU520" s="460"/>
      <c r="BV520" s="460"/>
      <c r="BW520" s="460"/>
      <c r="BX520" s="460"/>
      <c r="BY520" s="460"/>
      <c r="BZ520" s="460"/>
      <c r="CA520" s="460"/>
      <c r="CB520" s="460"/>
      <c r="CC520" s="460"/>
    </row>
    <row r="521" spans="1:81" s="474" customFormat="1" ht="12.75" hidden="1" customHeight="1">
      <c r="A521" s="561"/>
      <c r="B521" s="474" t="s">
        <v>2257</v>
      </c>
      <c r="C521" s="475"/>
      <c r="E521" s="475"/>
      <c r="F521" s="475"/>
      <c r="G521" s="475"/>
      <c r="H521" s="475"/>
      <c r="I521" s="475"/>
      <c r="J521" s="475"/>
      <c r="K521" s="475"/>
      <c r="L521" s="475"/>
      <c r="M521" s="475"/>
      <c r="N521" s="475"/>
      <c r="O521" s="475"/>
      <c r="P521" s="475"/>
      <c r="Q521" s="475"/>
      <c r="R521" s="475"/>
      <c r="S521" s="475"/>
      <c r="T521" s="475"/>
      <c r="U521" s="475"/>
      <c r="V521" s="475"/>
      <c r="W521" s="475"/>
      <c r="X521" s="475"/>
      <c r="Y521" s="475"/>
      <c r="Z521" s="475"/>
      <c r="AA521" s="475"/>
      <c r="AB521" s="475"/>
      <c r="AC521" s="475"/>
      <c r="AD521" s="540"/>
      <c r="AE521" s="475"/>
      <c r="AF521" s="475"/>
      <c r="AG521" s="475"/>
      <c r="AH521" s="475"/>
      <c r="AN521" s="521"/>
      <c r="AP521" s="727"/>
      <c r="AQ521" s="727"/>
      <c r="AR521" s="727"/>
      <c r="AS521" s="727"/>
      <c r="AT521" s="727"/>
      <c r="AU521" s="727"/>
      <c r="AV521" s="727"/>
      <c r="AW521" s="727"/>
      <c r="AX521" s="727"/>
      <c r="AY521" s="727"/>
      <c r="BM521" s="460"/>
      <c r="BN521" s="460"/>
      <c r="BO521" s="460"/>
      <c r="BP521" s="460"/>
      <c r="BQ521" s="460"/>
      <c r="BR521" s="460"/>
      <c r="BS521" s="460"/>
      <c r="BT521" s="460"/>
      <c r="BU521" s="460"/>
      <c r="BV521" s="460"/>
      <c r="BW521" s="460"/>
      <c r="BX521" s="460"/>
      <c r="BY521" s="460"/>
      <c r="BZ521" s="460"/>
      <c r="CA521" s="460"/>
      <c r="CB521" s="460"/>
      <c r="CC521" s="460"/>
    </row>
    <row r="522" spans="1:81" s="474" customFormat="1" ht="12.75" hidden="1" customHeight="1">
      <c r="A522" s="561"/>
      <c r="B522" s="474" t="s">
        <v>2258</v>
      </c>
      <c r="C522" s="475"/>
      <c r="E522" s="475"/>
      <c r="F522" s="475"/>
      <c r="G522" s="475"/>
      <c r="H522" s="475"/>
      <c r="I522" s="475"/>
      <c r="J522" s="475"/>
      <c r="K522" s="475"/>
      <c r="L522" s="475"/>
      <c r="M522" s="475"/>
      <c r="N522" s="475"/>
      <c r="O522" s="475"/>
      <c r="P522" s="475"/>
      <c r="Q522" s="475"/>
      <c r="R522" s="475"/>
      <c r="S522" s="475"/>
      <c r="T522" s="475"/>
      <c r="U522" s="475"/>
      <c r="V522" s="475"/>
      <c r="W522" s="475"/>
      <c r="X522" s="475"/>
      <c r="Y522" s="475"/>
      <c r="Z522" s="475"/>
      <c r="AA522" s="475"/>
      <c r="AB522" s="475"/>
      <c r="AC522" s="475"/>
      <c r="AD522" s="540"/>
      <c r="AE522" s="475"/>
      <c r="AF522" s="475"/>
      <c r="AG522" s="475"/>
      <c r="AH522" s="475"/>
      <c r="AN522" s="521"/>
    </row>
    <row r="523" spans="1:81" s="474" customFormat="1" ht="12.75" hidden="1" customHeight="1">
      <c r="A523" s="728"/>
      <c r="C523" s="475"/>
      <c r="E523" s="475"/>
      <c r="F523" s="475"/>
      <c r="G523" s="475"/>
      <c r="H523" s="475"/>
      <c r="I523" s="475"/>
      <c r="J523" s="475"/>
      <c r="K523" s="475"/>
      <c r="L523" s="475"/>
      <c r="M523" s="475"/>
      <c r="N523" s="475"/>
      <c r="O523" s="475"/>
      <c r="P523" s="475"/>
      <c r="Q523" s="475"/>
      <c r="R523" s="475"/>
      <c r="S523" s="475"/>
      <c r="T523" s="475"/>
      <c r="U523" s="475"/>
      <c r="V523" s="475"/>
      <c r="W523" s="475"/>
      <c r="X523" s="475"/>
      <c r="Y523" s="475"/>
      <c r="Z523" s="475"/>
      <c r="AA523" s="475"/>
      <c r="AB523" s="475"/>
      <c r="AC523" s="475"/>
      <c r="AD523" s="540"/>
      <c r="AE523" s="475"/>
      <c r="AF523" s="475"/>
      <c r="AG523" s="475"/>
      <c r="AH523" s="475"/>
      <c r="AN523" s="521"/>
    </row>
    <row r="524" spans="1:81" s="474" customFormat="1" ht="12.75" hidden="1" customHeight="1">
      <c r="A524" s="530"/>
      <c r="B524" s="588"/>
      <c r="C524" s="588"/>
      <c r="D524" s="588"/>
      <c r="E524" s="588"/>
      <c r="F524" s="588"/>
      <c r="G524" s="588"/>
      <c r="H524" s="588"/>
      <c r="I524" s="588"/>
      <c r="J524" s="588"/>
      <c r="K524" s="588"/>
      <c r="L524" s="588"/>
      <c r="M524" s="588"/>
      <c r="N524" s="588"/>
      <c r="O524" s="588"/>
      <c r="P524" s="588"/>
      <c r="Q524" s="588"/>
      <c r="R524" s="588"/>
      <c r="S524" s="588"/>
      <c r="T524" s="588"/>
      <c r="U524" s="588"/>
      <c r="V524" s="588"/>
      <c r="W524" s="588"/>
      <c r="X524" s="588"/>
      <c r="Y524" s="588"/>
      <c r="Z524" s="588"/>
      <c r="AA524" s="588"/>
      <c r="AB524" s="588"/>
      <c r="AC524" s="589"/>
      <c r="AD524" s="588"/>
      <c r="AE524" s="588"/>
      <c r="AF524" s="588"/>
      <c r="AG524" s="588"/>
      <c r="AH524" s="488"/>
      <c r="AI524" s="489"/>
      <c r="AJ524" s="489" t="s">
        <v>2259</v>
      </c>
      <c r="AK524" s="1841">
        <f>SUM(AG468:AG513)</f>
        <v>0</v>
      </c>
      <c r="AL524" s="1842"/>
      <c r="AM524" s="1843"/>
      <c r="AN524" s="521"/>
      <c r="AP524" s="460"/>
      <c r="AQ524" s="460"/>
      <c r="AR524" s="460"/>
      <c r="AS524" s="460"/>
      <c r="AT524" s="460"/>
      <c r="AU524" s="460"/>
      <c r="AV524" s="460"/>
      <c r="AW524" s="460"/>
      <c r="AX524" s="460"/>
      <c r="AY524" s="460"/>
      <c r="AZ524" s="460"/>
    </row>
    <row r="525" spans="1:81" s="474" customFormat="1" ht="12.75" hidden="1" customHeight="1">
      <c r="B525" s="475"/>
      <c r="C525" s="475"/>
      <c r="D525" s="475"/>
      <c r="E525" s="475"/>
      <c r="F525" s="475"/>
      <c r="G525" s="475"/>
      <c r="H525" s="475"/>
      <c r="I525" s="475"/>
      <c r="J525" s="475"/>
      <c r="K525" s="475"/>
      <c r="L525" s="475"/>
      <c r="M525" s="475"/>
      <c r="N525" s="475"/>
      <c r="O525" s="475"/>
      <c r="P525" s="475"/>
      <c r="Q525" s="475"/>
      <c r="R525" s="475"/>
      <c r="S525" s="475"/>
      <c r="T525" s="475"/>
      <c r="U525" s="475"/>
      <c r="V525" s="475"/>
      <c r="W525" s="475"/>
      <c r="X525" s="475"/>
      <c r="Y525" s="475"/>
      <c r="Z525" s="475"/>
      <c r="AA525" s="475"/>
      <c r="AB525" s="475"/>
      <c r="AC525" s="540"/>
      <c r="AD525" s="475"/>
      <c r="AE525" s="475"/>
      <c r="AF525" s="475"/>
      <c r="AG525" s="475"/>
      <c r="AI525" s="467"/>
      <c r="AJ525" s="467"/>
      <c r="AK525" s="519"/>
      <c r="AL525" s="519"/>
      <c r="AM525" s="519"/>
      <c r="AN525" s="521"/>
      <c r="AP525" s="460"/>
      <c r="AQ525" s="460"/>
      <c r="AR525" s="460"/>
      <c r="AS525" s="460"/>
      <c r="AT525" s="460"/>
      <c r="AU525" s="460"/>
      <c r="AV525" s="460"/>
      <c r="AW525" s="460"/>
      <c r="AX525" s="460"/>
      <c r="AY525" s="460"/>
      <c r="AZ525" s="460"/>
    </row>
    <row r="526" spans="1:81" ht="13.8" thickTop="1"/>
    <row r="527" spans="1:81" s="474" customFormat="1" ht="12.75" customHeight="1">
      <c r="A527" s="463" t="s">
        <v>2260</v>
      </c>
      <c r="B527" s="463" t="s">
        <v>2261</v>
      </c>
      <c r="C527" s="475"/>
      <c r="D527" s="475"/>
      <c r="E527" s="475"/>
      <c r="F527" s="475"/>
      <c r="G527" s="475"/>
      <c r="H527" s="475"/>
      <c r="I527" s="475"/>
      <c r="J527" s="475"/>
      <c r="K527" s="475"/>
      <c r="L527" s="475"/>
      <c r="M527" s="475"/>
      <c r="N527" s="475"/>
      <c r="O527" s="475"/>
      <c r="P527" s="475"/>
      <c r="Q527" s="475"/>
      <c r="R527" s="475"/>
      <c r="S527" s="475"/>
      <c r="T527" s="475"/>
      <c r="U527" s="475"/>
      <c r="V527" s="475"/>
      <c r="W527" s="475"/>
      <c r="X527" s="475"/>
      <c r="Y527" s="475"/>
      <c r="Z527" s="475"/>
      <c r="AA527" s="475"/>
      <c r="AB527" s="475"/>
      <c r="AC527" s="540"/>
      <c r="AD527" s="475"/>
      <c r="AE527" s="1847" t="s">
        <v>2262</v>
      </c>
      <c r="AF527" s="1847"/>
      <c r="AG527" s="1847"/>
      <c r="AH527" s="1847"/>
      <c r="AI527" s="1847"/>
      <c r="AJ527" s="1847"/>
      <c r="AK527" s="1847"/>
      <c r="AL527" s="519"/>
      <c r="AM527" s="519"/>
      <c r="AN527" s="521"/>
    </row>
    <row r="528" spans="1:81" s="474" customFormat="1" ht="12.75" customHeight="1">
      <c r="A528" s="463"/>
      <c r="B528" s="463" t="s">
        <v>1991</v>
      </c>
      <c r="C528" s="475"/>
      <c r="D528" s="475"/>
      <c r="E528" s="475"/>
      <c r="F528" s="475"/>
      <c r="G528" s="475"/>
      <c r="H528" s="475"/>
      <c r="I528" s="475"/>
      <c r="J528" s="475"/>
      <c r="K528" s="475"/>
      <c r="L528" s="475"/>
      <c r="M528" s="475"/>
      <c r="N528" s="475"/>
      <c r="O528" s="475"/>
      <c r="P528" s="475"/>
      <c r="Q528" s="475"/>
      <c r="R528" s="475"/>
      <c r="S528" s="475"/>
      <c r="T528" s="475"/>
      <c r="U528" s="475"/>
      <c r="V528" s="475"/>
      <c r="W528" s="475"/>
      <c r="X528" s="475"/>
      <c r="Y528" s="475"/>
      <c r="Z528" s="475"/>
      <c r="AA528" s="475"/>
      <c r="AB528" s="475"/>
      <c r="AC528" s="540"/>
      <c r="AD528" s="475"/>
      <c r="AE528" s="467"/>
      <c r="AF528" s="467"/>
      <c r="AG528" s="467"/>
      <c r="AH528" s="467"/>
      <c r="AI528" s="467"/>
      <c r="AJ528" s="467"/>
      <c r="AK528" s="467"/>
      <c r="AL528" s="519"/>
      <c r="AM528" s="519"/>
      <c r="AN528" s="521"/>
    </row>
    <row r="529" spans="1:49" s="474" customFormat="1" ht="12.75" customHeight="1">
      <c r="A529" s="463"/>
      <c r="B529" s="463"/>
      <c r="C529" s="475"/>
      <c r="D529" s="475"/>
      <c r="E529" s="475"/>
      <c r="F529" s="475"/>
      <c r="G529" s="475"/>
      <c r="H529" s="475"/>
      <c r="I529" s="475"/>
      <c r="J529" s="475"/>
      <c r="K529" s="475"/>
      <c r="L529" s="475"/>
      <c r="M529" s="475"/>
      <c r="N529" s="475"/>
      <c r="O529" s="475"/>
      <c r="P529" s="475"/>
      <c r="Q529" s="475"/>
      <c r="R529" s="475"/>
      <c r="S529" s="475"/>
      <c r="T529" s="475"/>
      <c r="U529" s="475"/>
      <c r="V529" s="475"/>
      <c r="W529" s="475"/>
      <c r="X529" s="475"/>
      <c r="Y529" s="475"/>
      <c r="Z529" s="475"/>
      <c r="AA529" s="475"/>
      <c r="AB529" s="475"/>
      <c r="AC529" s="540"/>
      <c r="AD529" s="475"/>
      <c r="AE529" s="467"/>
      <c r="AF529" s="467"/>
      <c r="AG529" s="467"/>
      <c r="AH529" s="467"/>
      <c r="AI529" s="467"/>
      <c r="AJ529" s="467"/>
      <c r="AK529" s="467"/>
      <c r="AL529" s="519"/>
      <c r="AM529" s="519"/>
      <c r="AN529" s="521"/>
    </row>
    <row r="530" spans="1:49" s="474" customFormat="1" ht="12.75" customHeight="1">
      <c r="A530" s="463"/>
      <c r="B530" s="463"/>
      <c r="C530" s="1856" t="s">
        <v>299</v>
      </c>
      <c r="D530" s="1856"/>
      <c r="E530" s="475"/>
      <c r="F530" s="1915" t="s">
        <v>2263</v>
      </c>
      <c r="G530" s="1916"/>
      <c r="H530" s="1916"/>
      <c r="I530" s="1916"/>
      <c r="J530" s="1916"/>
      <c r="K530" s="1916"/>
      <c r="L530" s="1916"/>
      <c r="M530" s="1916"/>
      <c r="N530" s="1916"/>
      <c r="O530" s="1916"/>
      <c r="P530" s="1916"/>
      <c r="Q530" s="1916"/>
      <c r="R530" s="1916"/>
      <c r="S530" s="1916"/>
      <c r="T530" s="1916"/>
      <c r="U530" s="1916"/>
      <c r="V530" s="1916"/>
      <c r="W530" s="1916"/>
      <c r="X530" s="1916"/>
      <c r="Y530" s="1916"/>
      <c r="Z530" s="1916"/>
      <c r="AA530" s="1916"/>
      <c r="AB530" s="1916"/>
      <c r="AC530" s="1916"/>
      <c r="AD530" s="1916"/>
      <c r="AE530" s="1916"/>
      <c r="AF530" s="1916"/>
      <c r="AG530" s="1916"/>
      <c r="AH530" s="1916"/>
      <c r="AI530" s="1916"/>
      <c r="AJ530" s="1916"/>
      <c r="AK530" s="1916"/>
      <c r="AL530" s="1917"/>
      <c r="AM530" s="519"/>
      <c r="AN530" s="521"/>
    </row>
    <row r="531" spans="1:49" s="474" customFormat="1" ht="12.75" customHeight="1">
      <c r="A531" s="463"/>
      <c r="B531" s="463"/>
      <c r="C531" s="475"/>
      <c r="D531" s="475"/>
      <c r="E531" s="475"/>
      <c r="F531" s="1918"/>
      <c r="G531" s="1919"/>
      <c r="H531" s="1919"/>
      <c r="I531" s="1919"/>
      <c r="J531" s="1919"/>
      <c r="K531" s="1919"/>
      <c r="L531" s="1919"/>
      <c r="M531" s="1919"/>
      <c r="N531" s="1919"/>
      <c r="O531" s="1919"/>
      <c r="P531" s="1919"/>
      <c r="Q531" s="1919"/>
      <c r="R531" s="1919"/>
      <c r="S531" s="1919"/>
      <c r="T531" s="1919"/>
      <c r="U531" s="1919"/>
      <c r="V531" s="1919"/>
      <c r="W531" s="1919"/>
      <c r="X531" s="1919"/>
      <c r="Y531" s="1919"/>
      <c r="Z531" s="1919"/>
      <c r="AA531" s="1919"/>
      <c r="AB531" s="1919"/>
      <c r="AC531" s="1919"/>
      <c r="AD531" s="1919"/>
      <c r="AE531" s="1919"/>
      <c r="AF531" s="1919"/>
      <c r="AG531" s="1919"/>
      <c r="AH531" s="1919"/>
      <c r="AI531" s="1919"/>
      <c r="AJ531" s="1919"/>
      <c r="AK531" s="1919"/>
      <c r="AL531" s="1920"/>
      <c r="AM531" s="519"/>
      <c r="AN531" s="521"/>
    </row>
    <row r="532" spans="1:49" s="474" customFormat="1" ht="12.75" customHeight="1">
      <c r="A532" s="463"/>
      <c r="B532" s="463"/>
      <c r="C532" s="475"/>
      <c r="D532" s="475"/>
      <c r="E532" s="475"/>
      <c r="F532" s="729"/>
      <c r="G532" s="729"/>
      <c r="H532" s="729"/>
      <c r="I532" s="729"/>
      <c r="J532" s="729"/>
      <c r="K532" s="729"/>
      <c r="L532" s="729"/>
      <c r="M532" s="729"/>
      <c r="N532" s="729"/>
      <c r="O532" s="729"/>
      <c r="P532" s="729"/>
      <c r="Q532" s="729"/>
      <c r="R532" s="729"/>
      <c r="S532" s="729"/>
      <c r="T532" s="729"/>
      <c r="U532" s="729"/>
      <c r="V532" s="729"/>
      <c r="W532" s="729"/>
      <c r="X532" s="729"/>
      <c r="Y532" s="729"/>
      <c r="Z532" s="729"/>
      <c r="AA532" s="729"/>
      <c r="AB532" s="729"/>
      <c r="AC532" s="729"/>
      <c r="AD532" s="729"/>
      <c r="AE532" s="729"/>
      <c r="AF532" s="729"/>
      <c r="AG532" s="729"/>
      <c r="AH532" s="729"/>
      <c r="AI532" s="729"/>
      <c r="AJ532" s="729"/>
      <c r="AK532" s="729"/>
      <c r="AL532" s="729"/>
      <c r="AM532" s="519"/>
      <c r="AN532" s="521"/>
    </row>
    <row r="533" spans="1:49" s="474" customFormat="1" ht="12.75" customHeight="1">
      <c r="A533" s="463"/>
      <c r="B533" s="730"/>
      <c r="C533" s="1856" t="s">
        <v>836</v>
      </c>
      <c r="D533" s="1856"/>
      <c r="E533" s="730"/>
      <c r="F533" s="568" t="s">
        <v>2264</v>
      </c>
      <c r="G533" s="731"/>
      <c r="H533" s="732"/>
      <c r="I533" s="732"/>
      <c r="J533" s="732"/>
      <c r="K533" s="732"/>
      <c r="L533" s="732"/>
      <c r="M533" s="732"/>
      <c r="N533" s="732"/>
      <c r="O533" s="732"/>
      <c r="P533" s="732"/>
      <c r="Q533" s="732"/>
      <c r="R533" s="732"/>
      <c r="S533" s="732"/>
      <c r="T533" s="732"/>
      <c r="U533" s="732"/>
      <c r="V533" s="732"/>
      <c r="W533" s="732"/>
      <c r="X533" s="732"/>
      <c r="Y533" s="732"/>
      <c r="Z533" s="732"/>
      <c r="AA533" s="732"/>
      <c r="AB533" s="732"/>
      <c r="AC533" s="732"/>
      <c r="AD533" s="732"/>
      <c r="AE533" s="732"/>
      <c r="AF533" s="732"/>
      <c r="AG533" s="732"/>
      <c r="AH533" s="732"/>
      <c r="AI533" s="732"/>
      <c r="AJ533" s="732"/>
      <c r="AK533" s="733"/>
      <c r="AL533" s="734"/>
      <c r="AM533" s="519"/>
      <c r="AN533" s="521"/>
    </row>
    <row r="534" spans="1:49" s="474" customFormat="1" ht="12.75" customHeight="1">
      <c r="B534" s="730"/>
      <c r="C534" s="730"/>
      <c r="D534" s="730"/>
      <c r="E534" s="730"/>
      <c r="F534" s="1833" t="s">
        <v>2265</v>
      </c>
      <c r="G534" s="1834"/>
      <c r="H534" s="1834"/>
      <c r="I534" s="1834"/>
      <c r="J534" s="1834"/>
      <c r="K534" s="1834"/>
      <c r="L534" s="1834"/>
      <c r="M534" s="1834"/>
      <c r="N534" s="1834"/>
      <c r="O534" s="1834"/>
      <c r="P534" s="1834"/>
      <c r="Q534" s="1834"/>
      <c r="R534" s="1834"/>
      <c r="S534" s="1834"/>
      <c r="T534" s="1834"/>
      <c r="U534" s="1834"/>
      <c r="V534" s="1834"/>
      <c r="W534" s="1834"/>
      <c r="X534" s="1834"/>
      <c r="Y534" s="1834"/>
      <c r="Z534" s="1834"/>
      <c r="AA534" s="1834"/>
      <c r="AB534" s="1834"/>
      <c r="AC534" s="1834"/>
      <c r="AD534" s="1834"/>
      <c r="AE534" s="1834"/>
      <c r="AF534" s="1834"/>
      <c r="AG534" s="1834"/>
      <c r="AH534" s="1834"/>
      <c r="AI534" s="1834"/>
      <c r="AJ534" s="1834"/>
      <c r="AK534" s="1834"/>
      <c r="AL534" s="1835"/>
      <c r="AM534" s="519"/>
      <c r="AN534" s="521"/>
      <c r="AS534" s="793"/>
      <c r="AT534" s="793"/>
      <c r="AU534" s="793"/>
      <c r="AV534" s="793"/>
      <c r="AW534" s="793"/>
    </row>
    <row r="535" spans="1:49" s="474" customFormat="1" ht="12.75" customHeight="1">
      <c r="B535" s="730"/>
      <c r="C535" s="730"/>
      <c r="D535" s="730"/>
      <c r="E535" s="730"/>
      <c r="F535" s="1833"/>
      <c r="G535" s="1834"/>
      <c r="H535" s="1834"/>
      <c r="I535" s="1834"/>
      <c r="J535" s="1834"/>
      <c r="K535" s="1834"/>
      <c r="L535" s="1834"/>
      <c r="M535" s="1834"/>
      <c r="N535" s="1834"/>
      <c r="O535" s="1834"/>
      <c r="P535" s="1834"/>
      <c r="Q535" s="1834"/>
      <c r="R535" s="1834"/>
      <c r="S535" s="1834"/>
      <c r="T535" s="1834"/>
      <c r="U535" s="1834"/>
      <c r="V535" s="1834"/>
      <c r="W535" s="1834"/>
      <c r="X535" s="1834"/>
      <c r="Y535" s="1834"/>
      <c r="Z535" s="1834"/>
      <c r="AA535" s="1834"/>
      <c r="AB535" s="1834"/>
      <c r="AC535" s="1834"/>
      <c r="AD535" s="1834"/>
      <c r="AE535" s="1834"/>
      <c r="AF535" s="1834"/>
      <c r="AG535" s="1834"/>
      <c r="AH535" s="1834"/>
      <c r="AI535" s="1834"/>
      <c r="AJ535" s="1834"/>
      <c r="AK535" s="1834"/>
      <c r="AL535" s="1835"/>
      <c r="AM535" s="519"/>
      <c r="AN535" s="521"/>
    </row>
    <row r="536" spans="1:49" s="474" customFormat="1" ht="12.75" customHeight="1">
      <c r="B536" s="730"/>
      <c r="C536" s="730"/>
      <c r="D536" s="730"/>
      <c r="E536" s="730"/>
      <c r="F536" s="735" t="s">
        <v>2266</v>
      </c>
      <c r="G536" s="540"/>
      <c r="H536" s="540"/>
      <c r="I536" s="540"/>
      <c r="J536" s="540"/>
      <c r="K536" s="540"/>
      <c r="L536" s="540"/>
      <c r="M536" s="540"/>
      <c r="N536" s="540"/>
      <c r="O536" s="540"/>
      <c r="P536" s="540"/>
      <c r="Q536" s="540"/>
      <c r="R536" s="540"/>
      <c r="S536" s="540"/>
      <c r="T536" s="540"/>
      <c r="U536" s="540"/>
      <c r="V536" s="540"/>
      <c r="W536" s="540"/>
      <c r="X536" s="540"/>
      <c r="Y536" s="540"/>
      <c r="Z536" s="540"/>
      <c r="AA536" s="540"/>
      <c r="AB536" s="540"/>
      <c r="AC536" s="540"/>
      <c r="AD536" s="540"/>
      <c r="AE536" s="540"/>
      <c r="AF536" s="540"/>
      <c r="AG536" s="540"/>
      <c r="AH536" s="540"/>
      <c r="AI536" s="540"/>
      <c r="AJ536" s="540"/>
      <c r="AK536" s="540"/>
      <c r="AL536" s="736"/>
      <c r="AM536" s="519"/>
      <c r="AN536" s="521"/>
    </row>
    <row r="537" spans="1:49" s="474" customFormat="1" ht="12.75" customHeight="1">
      <c r="B537" s="730"/>
      <c r="C537" s="730"/>
      <c r="D537" s="730"/>
      <c r="E537" s="730"/>
      <c r="F537" s="1833" t="s">
        <v>2267</v>
      </c>
      <c r="G537" s="1834"/>
      <c r="H537" s="1834"/>
      <c r="I537" s="1834"/>
      <c r="J537" s="1834"/>
      <c r="K537" s="1834"/>
      <c r="L537" s="1834"/>
      <c r="M537" s="1834"/>
      <c r="N537" s="1834"/>
      <c r="O537" s="1834"/>
      <c r="P537" s="1834"/>
      <c r="Q537" s="1834"/>
      <c r="R537" s="1834"/>
      <c r="S537" s="1834"/>
      <c r="T537" s="1834"/>
      <c r="U537" s="1834"/>
      <c r="V537" s="1834"/>
      <c r="W537" s="1834"/>
      <c r="X537" s="1834"/>
      <c r="Y537" s="1834"/>
      <c r="Z537" s="1834"/>
      <c r="AA537" s="1834"/>
      <c r="AB537" s="1834"/>
      <c r="AC537" s="1834"/>
      <c r="AD537" s="1834"/>
      <c r="AE537" s="1834"/>
      <c r="AF537" s="1834"/>
      <c r="AG537" s="1834"/>
      <c r="AH537" s="1834"/>
      <c r="AI537" s="1834"/>
      <c r="AJ537" s="1834"/>
      <c r="AK537" s="1834"/>
      <c r="AL537" s="737"/>
      <c r="AM537" s="519"/>
      <c r="AN537" s="521"/>
    </row>
    <row r="538" spans="1:49" s="474" customFormat="1" ht="12.75" customHeight="1">
      <c r="B538" s="730"/>
      <c r="C538" s="730"/>
      <c r="D538" s="730"/>
      <c r="E538" s="730"/>
      <c r="F538" s="1836"/>
      <c r="G538" s="1837"/>
      <c r="H538" s="1837"/>
      <c r="I538" s="1837"/>
      <c r="J538" s="1837"/>
      <c r="K538" s="1837"/>
      <c r="L538" s="1837"/>
      <c r="M538" s="1837"/>
      <c r="N538" s="1837"/>
      <c r="O538" s="1837"/>
      <c r="P538" s="1837"/>
      <c r="Q538" s="1837"/>
      <c r="R538" s="1837"/>
      <c r="S538" s="1837"/>
      <c r="T538" s="1837"/>
      <c r="U538" s="1837"/>
      <c r="V538" s="1837"/>
      <c r="W538" s="1837"/>
      <c r="X538" s="1837"/>
      <c r="Y538" s="1837"/>
      <c r="Z538" s="1837"/>
      <c r="AA538" s="1837"/>
      <c r="AB538" s="1837"/>
      <c r="AC538" s="1837"/>
      <c r="AD538" s="1837"/>
      <c r="AE538" s="1837"/>
      <c r="AF538" s="1837"/>
      <c r="AG538" s="1837"/>
      <c r="AH538" s="1837"/>
      <c r="AI538" s="1837"/>
      <c r="AJ538" s="1837"/>
      <c r="AK538" s="1837"/>
      <c r="AL538" s="738"/>
      <c r="AM538" s="519"/>
      <c r="AN538" s="521"/>
    </row>
    <row r="539" spans="1:49" s="474" customFormat="1" ht="12.75" customHeight="1">
      <c r="B539" s="730"/>
      <c r="C539" s="730"/>
      <c r="D539" s="730"/>
      <c r="E539" s="730"/>
      <c r="F539" s="566"/>
      <c r="G539" s="566"/>
      <c r="H539" s="566"/>
      <c r="I539" s="566"/>
      <c r="J539" s="566"/>
      <c r="K539" s="566"/>
      <c r="L539" s="566"/>
      <c r="M539" s="566"/>
      <c r="N539" s="566"/>
      <c r="O539" s="566"/>
      <c r="P539" s="566"/>
      <c r="Q539" s="566"/>
      <c r="R539" s="566"/>
      <c r="S539" s="566"/>
      <c r="T539" s="566"/>
      <c r="U539" s="566"/>
      <c r="V539" s="566"/>
      <c r="W539" s="566"/>
      <c r="X539" s="566"/>
      <c r="Y539" s="566"/>
      <c r="Z539" s="566"/>
      <c r="AA539" s="566"/>
      <c r="AB539" s="566"/>
      <c r="AC539" s="566"/>
      <c r="AD539" s="566"/>
      <c r="AE539" s="566"/>
      <c r="AF539" s="566"/>
      <c r="AG539" s="566"/>
      <c r="AH539" s="566"/>
      <c r="AI539" s="566"/>
      <c r="AJ539" s="566"/>
      <c r="AK539" s="566"/>
      <c r="AL539" s="519"/>
      <c r="AM539" s="519"/>
      <c r="AN539" s="521"/>
      <c r="AP539" s="1828">
        <f>Application!AJ991</f>
        <v>51390615</v>
      </c>
      <c r="AQ539" s="1828"/>
      <c r="AR539" s="1828"/>
      <c r="AS539" s="474" t="s">
        <v>2268</v>
      </c>
    </row>
    <row r="540" spans="1:49" s="474" customFormat="1" ht="12.75" customHeight="1">
      <c r="A540" s="423"/>
      <c r="B540" s="373" t="s">
        <v>2269</v>
      </c>
      <c r="C540" s="547"/>
      <c r="D540" s="547"/>
      <c r="E540" s="547"/>
      <c r="F540" s="14"/>
      <c r="G540" s="548"/>
      <c r="H540" s="548"/>
      <c r="I540" s="548"/>
      <c r="J540" s="548"/>
      <c r="K540" s="548"/>
      <c r="L540" s="548"/>
      <c r="M540" s="548"/>
      <c r="N540" s="548"/>
      <c r="O540" s="548"/>
      <c r="P540" s="548"/>
      <c r="Q540" s="548"/>
      <c r="R540" s="14"/>
      <c r="S540" s="14"/>
      <c r="T540" s="14"/>
      <c r="U540" s="14"/>
      <c r="V540" s="14"/>
      <c r="W540" s="14"/>
      <c r="X540" s="548"/>
      <c r="Y540" s="548"/>
      <c r="Z540" s="548"/>
      <c r="AA540" s="546"/>
      <c r="AB540" s="546"/>
      <c r="AC540" s="546"/>
      <c r="AD540" s="546"/>
      <c r="AE540" s="14"/>
      <c r="AF540" s="1838">
        <f>'Sources and Uses Budget'!S107+'Sources and Uses Budget'!T107</f>
        <v>67572262.090800017</v>
      </c>
      <c r="AG540" s="1838"/>
      <c r="AH540" s="1838"/>
      <c r="AI540" s="1838"/>
      <c r="AJ540" s="1838"/>
      <c r="AK540" s="519"/>
      <c r="AL540" s="519"/>
      <c r="AM540" s="519"/>
      <c r="AN540" s="521"/>
    </row>
    <row r="541" spans="1:49" s="474" customFormat="1" ht="12.75" customHeight="1">
      <c r="A541" s="549"/>
      <c r="B541" s="549" t="s">
        <v>2270</v>
      </c>
      <c r="C541" s="548"/>
      <c r="D541" s="548"/>
      <c r="E541" s="550"/>
      <c r="F541" s="550"/>
      <c r="G541" s="550"/>
      <c r="H541" s="550"/>
      <c r="I541" s="550"/>
      <c r="J541" s="550"/>
      <c r="K541" s="550"/>
      <c r="L541" s="548"/>
      <c r="M541" s="550"/>
      <c r="N541" s="550"/>
      <c r="O541" s="550"/>
      <c r="P541" s="550"/>
      <c r="Q541" s="550"/>
      <c r="R541" s="14"/>
      <c r="S541" s="14"/>
      <c r="T541" s="14"/>
      <c r="U541" s="14"/>
      <c r="V541" s="14"/>
      <c r="W541" s="14"/>
      <c r="X541" s="548"/>
      <c r="Y541" s="548"/>
      <c r="Z541" s="548"/>
      <c r="AA541" s="546"/>
      <c r="AB541" s="546"/>
      <c r="AC541" s="546"/>
      <c r="AD541" s="546"/>
      <c r="AE541" s="14"/>
      <c r="AF541" s="1839">
        <f>IFERROR(AP548,0)</f>
        <v>107920292</v>
      </c>
      <c r="AG541" s="1839"/>
      <c r="AH541" s="1839"/>
      <c r="AI541" s="1839"/>
      <c r="AJ541" s="1839"/>
      <c r="AK541" s="519"/>
      <c r="AL541" s="519"/>
      <c r="AM541" s="519"/>
      <c r="AN541" s="521"/>
      <c r="AP541" s="1828">
        <f>Application!AJ1044</f>
        <v>0</v>
      </c>
      <c r="AQ541" s="1828"/>
      <c r="AR541" s="1828"/>
      <c r="AS541" s="474" t="s">
        <v>1784</v>
      </c>
    </row>
    <row r="542" spans="1:49" s="474" customFormat="1" ht="12.75" customHeight="1">
      <c r="A542" s="548"/>
      <c r="B542" s="548" t="s">
        <v>1720</v>
      </c>
      <c r="C542" s="548"/>
      <c r="D542" s="548"/>
      <c r="E542" s="548"/>
      <c r="F542" s="548"/>
      <c r="G542" s="548"/>
      <c r="H542" s="548"/>
      <c r="I542" s="548"/>
      <c r="J542" s="548"/>
      <c r="K542" s="548"/>
      <c r="L542" s="548"/>
      <c r="M542" s="548"/>
      <c r="N542" s="548"/>
      <c r="O542" s="548"/>
      <c r="P542" s="548"/>
      <c r="Q542" s="548"/>
      <c r="R542" s="14"/>
      <c r="S542" s="14"/>
      <c r="T542" s="14"/>
      <c r="U542" s="14"/>
      <c r="V542" s="14"/>
      <c r="W542" s="14"/>
      <c r="X542" s="548"/>
      <c r="Y542" s="548"/>
      <c r="Z542" s="548"/>
      <c r="AA542" s="546"/>
      <c r="AB542" s="546"/>
      <c r="AC542" s="546"/>
      <c r="AD542" s="546"/>
      <c r="AE542" s="14"/>
      <c r="AF542" s="1840">
        <f>IFERROR(ROUNDDOWN(IF(C533="YES",((1-(AF540/AF541))*2),(1-(AF540/AF541))),2),0)</f>
        <v>0.74</v>
      </c>
      <c r="AG542" s="1840"/>
      <c r="AH542" s="1840"/>
      <c r="AI542" s="1840"/>
      <c r="AJ542" s="1840"/>
      <c r="AK542" s="519"/>
      <c r="AL542" s="519"/>
      <c r="AM542" s="519"/>
      <c r="AN542" s="521"/>
      <c r="AP542" s="1829">
        <f>Application!AJ1048</f>
        <v>51390615</v>
      </c>
      <c r="AQ542" s="1829"/>
      <c r="AR542" s="1829"/>
      <c r="AS542" s="474" t="s">
        <v>1789</v>
      </c>
    </row>
    <row r="543" spans="1:49" s="474" customFormat="1" ht="12.75" customHeight="1">
      <c r="A543" s="548"/>
      <c r="B543" s="548"/>
      <c r="C543" s="548"/>
      <c r="D543" s="548"/>
      <c r="E543" s="548"/>
      <c r="F543" s="548"/>
      <c r="G543" s="548"/>
      <c r="H543" s="548"/>
      <c r="I543" s="548"/>
      <c r="J543" s="548"/>
      <c r="K543" s="548"/>
      <c r="L543" s="548"/>
      <c r="M543" s="548"/>
      <c r="N543" s="548"/>
      <c r="O543" s="548"/>
      <c r="P543" s="548"/>
      <c r="Q543" s="548"/>
      <c r="R543" s="14"/>
      <c r="S543" s="14"/>
      <c r="T543" s="14"/>
      <c r="U543" s="14"/>
      <c r="V543" s="14"/>
      <c r="W543" s="14"/>
      <c r="X543" s="548"/>
      <c r="Y543" s="548"/>
      <c r="Z543" s="548"/>
      <c r="AA543" s="546"/>
      <c r="AB543" s="546"/>
      <c r="AC543" s="546"/>
      <c r="AD543" s="546"/>
      <c r="AE543" s="14"/>
      <c r="AF543" s="739"/>
      <c r="AG543" s="739"/>
      <c r="AH543" s="739"/>
      <c r="AI543" s="739"/>
      <c r="AJ543" s="739"/>
      <c r="AK543" s="519"/>
      <c r="AL543" s="519"/>
      <c r="AM543" s="519"/>
      <c r="AN543" s="521"/>
      <c r="AP543" s="1848">
        <f>IF(((AP541+AP542)/AP539)&gt;0.8,0.8,((AP541+AP542)/AP539))</f>
        <v>0.8</v>
      </c>
      <c r="AQ543" s="1848"/>
      <c r="AR543" s="1848"/>
      <c r="AS543" s="474" t="s">
        <v>2271</v>
      </c>
    </row>
    <row r="544" spans="1:49" s="474" customFormat="1" ht="12.75" customHeight="1">
      <c r="A544" s="548"/>
      <c r="B544" s="1894" t="s">
        <v>2272</v>
      </c>
      <c r="C544" s="1895"/>
      <c r="D544" s="1895"/>
      <c r="E544" s="1895"/>
      <c r="F544" s="1895"/>
      <c r="G544" s="1895"/>
      <c r="H544" s="1895"/>
      <c r="I544" s="1895"/>
      <c r="J544" s="1895"/>
      <c r="K544" s="1895"/>
      <c r="L544" s="1895"/>
      <c r="M544" s="1895"/>
      <c r="N544" s="1895"/>
      <c r="O544" s="1895"/>
      <c r="P544" s="1895"/>
      <c r="Q544" s="1895"/>
      <c r="R544" s="1895"/>
      <c r="S544" s="1895"/>
      <c r="T544" s="1895"/>
      <c r="U544" s="1895"/>
      <c r="V544" s="1895"/>
      <c r="W544" s="1895"/>
      <c r="X544" s="1895"/>
      <c r="Y544" s="1895"/>
      <c r="Z544" s="1895"/>
      <c r="AA544" s="1895"/>
      <c r="AB544" s="1895"/>
      <c r="AC544" s="1895"/>
      <c r="AD544" s="1895"/>
      <c r="AE544" s="1895"/>
      <c r="AF544" s="1895"/>
      <c r="AG544" s="1895"/>
      <c r="AH544" s="1895"/>
      <c r="AI544" s="1895"/>
      <c r="AJ544" s="1896"/>
      <c r="AK544" s="519"/>
      <c r="AL544" s="519"/>
      <c r="AM544" s="519"/>
      <c r="AN544" s="521"/>
    </row>
    <row r="545" spans="1:45" s="474" customFormat="1" ht="12.75" customHeight="1">
      <c r="A545" s="548"/>
      <c r="B545" s="1897"/>
      <c r="C545" s="1898"/>
      <c r="D545" s="1898"/>
      <c r="E545" s="1898"/>
      <c r="F545" s="1898"/>
      <c r="G545" s="1898"/>
      <c r="H545" s="1898"/>
      <c r="I545" s="1898"/>
      <c r="J545" s="1898"/>
      <c r="K545" s="1898"/>
      <c r="L545" s="1898"/>
      <c r="M545" s="1898"/>
      <c r="N545" s="1898"/>
      <c r="O545" s="1898"/>
      <c r="P545" s="1898"/>
      <c r="Q545" s="1898"/>
      <c r="R545" s="1898"/>
      <c r="S545" s="1898"/>
      <c r="T545" s="1898"/>
      <c r="U545" s="1898"/>
      <c r="V545" s="1898"/>
      <c r="W545" s="1898"/>
      <c r="X545" s="1898"/>
      <c r="Y545" s="1898"/>
      <c r="Z545" s="1898"/>
      <c r="AA545" s="1898"/>
      <c r="AB545" s="1898"/>
      <c r="AC545" s="1898"/>
      <c r="AD545" s="1898"/>
      <c r="AE545" s="1898"/>
      <c r="AF545" s="1898"/>
      <c r="AG545" s="1898"/>
      <c r="AH545" s="1898"/>
      <c r="AI545" s="1898"/>
      <c r="AJ545" s="1899"/>
      <c r="AK545" s="519"/>
      <c r="AL545" s="519"/>
      <c r="AM545" s="519"/>
      <c r="AN545" s="521"/>
      <c r="AP545" s="1828">
        <f>AP546-AP541-AP542</f>
        <v>66807800</v>
      </c>
      <c r="AQ545" s="1849"/>
      <c r="AR545" s="1849"/>
      <c r="AS545" s="474" t="s">
        <v>2273</v>
      </c>
    </row>
    <row r="546" spans="1:45" s="474" customFormat="1" ht="12.75" customHeight="1">
      <c r="A546" s="548"/>
      <c r="B546" s="1900"/>
      <c r="C546" s="1901"/>
      <c r="D546" s="1901"/>
      <c r="E546" s="1901"/>
      <c r="F546" s="1901"/>
      <c r="G546" s="1901"/>
      <c r="H546" s="1901"/>
      <c r="I546" s="1901"/>
      <c r="J546" s="1901"/>
      <c r="K546" s="1901"/>
      <c r="L546" s="1901"/>
      <c r="M546" s="1901"/>
      <c r="N546" s="1901"/>
      <c r="O546" s="1901"/>
      <c r="P546" s="1901"/>
      <c r="Q546" s="1901"/>
      <c r="R546" s="1901"/>
      <c r="S546" s="1901"/>
      <c r="T546" s="1901"/>
      <c r="U546" s="1901"/>
      <c r="V546" s="1901"/>
      <c r="W546" s="1901"/>
      <c r="X546" s="1901"/>
      <c r="Y546" s="1901"/>
      <c r="Z546" s="1901"/>
      <c r="AA546" s="1901"/>
      <c r="AB546" s="1901"/>
      <c r="AC546" s="1901"/>
      <c r="AD546" s="1901"/>
      <c r="AE546" s="1901"/>
      <c r="AF546" s="1901"/>
      <c r="AG546" s="1901"/>
      <c r="AH546" s="1901"/>
      <c r="AI546" s="1901"/>
      <c r="AJ546" s="1902"/>
      <c r="AK546" s="519"/>
      <c r="AL546" s="519"/>
      <c r="AM546" s="519"/>
      <c r="AN546" s="521"/>
      <c r="AP546" s="1828">
        <f>Application!AJ1052</f>
        <v>118198415</v>
      </c>
      <c r="AQ546" s="1828"/>
      <c r="AR546" s="1828"/>
      <c r="AS546" s="474" t="s">
        <v>2274</v>
      </c>
    </row>
    <row r="547" spans="1:45" s="474" customFormat="1" ht="12.75" customHeight="1">
      <c r="B547" s="475"/>
      <c r="C547" s="475"/>
      <c r="D547" s="475"/>
      <c r="E547" s="475"/>
      <c r="F547" s="475"/>
      <c r="G547" s="475"/>
      <c r="H547" s="475"/>
      <c r="I547" s="475"/>
      <c r="J547" s="475"/>
      <c r="K547" s="475"/>
      <c r="L547" s="475"/>
      <c r="M547" s="475"/>
      <c r="N547" s="475"/>
      <c r="O547" s="475"/>
      <c r="P547" s="475"/>
      <c r="Q547" s="475"/>
      <c r="R547" s="475"/>
      <c r="S547" s="475"/>
      <c r="T547" s="475"/>
      <c r="U547" s="475"/>
      <c r="V547" s="475"/>
      <c r="W547" s="475"/>
      <c r="X547" s="475"/>
      <c r="Y547" s="475"/>
      <c r="Z547" s="475"/>
      <c r="AA547" s="475"/>
      <c r="AB547" s="475"/>
      <c r="AC547" s="540"/>
      <c r="AD547" s="475"/>
      <c r="AI547" s="467"/>
      <c r="AJ547" s="467"/>
      <c r="AK547" s="519"/>
      <c r="AL547" s="519"/>
      <c r="AM547" s="519"/>
      <c r="AN547" s="521"/>
    </row>
    <row r="548" spans="1:45" s="474" customFormat="1" ht="12.75" customHeight="1">
      <c r="A548" s="552"/>
      <c r="B548" s="552"/>
      <c r="C548" s="552"/>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552"/>
      <c r="AA548" s="552"/>
      <c r="AB548" s="552"/>
      <c r="AC548" s="552"/>
      <c r="AD548" s="552"/>
      <c r="AE548" s="552"/>
      <c r="AF548" s="552"/>
      <c r="AG548" s="552"/>
      <c r="AH548" s="553"/>
      <c r="AI548" s="489"/>
      <c r="AJ548" s="489" t="s">
        <v>2275</v>
      </c>
      <c r="AK548" s="1903">
        <f>IFERROR(IF(AND(C530="N/A",C533="N/A"),0,IF(AF542=0,0,IF((AF542*100)&gt;12,12,(AF542*100)))),0)</f>
        <v>12</v>
      </c>
      <c r="AL548" s="1903"/>
      <c r="AM548" s="1904"/>
      <c r="AN548" s="521"/>
      <c r="AP548" s="1817">
        <f>AP545+(AP539*AP543)</f>
        <v>107920292</v>
      </c>
      <c r="AQ548" s="1818"/>
      <c r="AR548" s="1819"/>
    </row>
    <row r="549" spans="1:45" s="474" customFormat="1" ht="12.75" customHeight="1" thickBot="1">
      <c r="A549" s="683"/>
      <c r="B549" s="683"/>
      <c r="C549" s="683"/>
      <c r="D549" s="683"/>
      <c r="E549" s="683"/>
      <c r="F549" s="683"/>
      <c r="G549" s="683"/>
      <c r="H549" s="683"/>
      <c r="I549" s="683"/>
      <c r="J549" s="683"/>
      <c r="K549" s="683"/>
      <c r="L549" s="683"/>
      <c r="M549" s="683"/>
      <c r="N549" s="683"/>
      <c r="O549" s="683"/>
      <c r="P549" s="683"/>
      <c r="Q549" s="683"/>
      <c r="R549" s="683"/>
      <c r="S549" s="683"/>
      <c r="T549" s="683"/>
      <c r="U549" s="683"/>
      <c r="V549" s="683"/>
      <c r="W549" s="683"/>
      <c r="X549" s="683"/>
      <c r="Y549" s="683"/>
      <c r="Z549" s="683"/>
      <c r="AA549" s="683"/>
      <c r="AB549" s="683"/>
      <c r="AC549" s="683"/>
      <c r="AD549" s="683"/>
      <c r="AE549" s="683"/>
      <c r="AF549" s="683"/>
      <c r="AG549" s="683"/>
      <c r="AH549" s="683"/>
      <c r="AI549" s="683"/>
      <c r="AJ549" s="683"/>
      <c r="AK549" s="683"/>
      <c r="AL549" s="683"/>
      <c r="AM549" s="684"/>
      <c r="AN549" s="521"/>
    </row>
    <row r="550" spans="1:45" s="474" customFormat="1" ht="12.75" customHeight="1" thickTop="1">
      <c r="A550" s="590"/>
      <c r="B550" s="591"/>
      <c r="C550" s="590"/>
      <c r="D550" s="591"/>
      <c r="E550" s="591"/>
      <c r="F550" s="591"/>
      <c r="G550" s="591"/>
      <c r="H550" s="591"/>
      <c r="I550" s="591"/>
      <c r="J550" s="591"/>
      <c r="K550" s="591"/>
      <c r="L550" s="591"/>
      <c r="M550" s="591"/>
      <c r="N550" s="591"/>
      <c r="O550" s="591"/>
      <c r="P550" s="591"/>
      <c r="Q550" s="591"/>
      <c r="R550" s="591"/>
      <c r="S550" s="591"/>
      <c r="T550" s="591"/>
      <c r="U550" s="591"/>
      <c r="V550" s="591"/>
      <c r="W550" s="591"/>
      <c r="X550" s="591"/>
      <c r="Y550" s="591"/>
      <c r="Z550" s="591"/>
      <c r="AA550" s="591"/>
      <c r="AB550" s="591"/>
      <c r="AC550" s="592"/>
      <c r="AD550" s="592"/>
      <c r="AE550" s="592"/>
      <c r="AF550" s="591"/>
      <c r="AG550" s="591"/>
      <c r="AH550" s="591"/>
      <c r="AI550" s="591"/>
      <c r="AJ550" s="591"/>
      <c r="AK550" s="591"/>
      <c r="AL550" s="591"/>
      <c r="AM550" s="593"/>
      <c r="AN550" s="521"/>
    </row>
    <row r="551" spans="1:45" s="474" customFormat="1" ht="12.75" customHeight="1">
      <c r="A551" s="462" t="s">
        <v>2276</v>
      </c>
      <c r="C551" s="462"/>
      <c r="D551" s="527"/>
      <c r="E551" s="527"/>
      <c r="F551" s="527"/>
      <c r="G551" s="527"/>
      <c r="H551" s="527"/>
      <c r="I551" s="527"/>
      <c r="J551" s="527"/>
      <c r="K551" s="527"/>
      <c r="L551" s="527"/>
      <c r="M551" s="527"/>
      <c r="N551" s="527"/>
      <c r="O551" s="527"/>
      <c r="P551" s="527"/>
      <c r="Q551" s="527"/>
      <c r="R551" s="527"/>
      <c r="S551" s="527"/>
      <c r="T551" s="527"/>
      <c r="U551" s="527"/>
      <c r="V551" s="527"/>
      <c r="W551" s="527"/>
      <c r="X551" s="527"/>
      <c r="Y551" s="527"/>
      <c r="Z551" s="527"/>
      <c r="AA551" s="527"/>
      <c r="AB551" s="527"/>
      <c r="AC551" s="527"/>
      <c r="AD551" s="527"/>
      <c r="AE551" s="1847" t="s">
        <v>1975</v>
      </c>
      <c r="AF551" s="1847"/>
      <c r="AG551" s="1847"/>
      <c r="AH551" s="1847"/>
      <c r="AI551" s="1847"/>
      <c r="AJ551" s="1847"/>
      <c r="AK551" s="1847"/>
      <c r="AL551" s="515"/>
      <c r="AM551" s="527"/>
      <c r="AN551" s="521"/>
    </row>
    <row r="552" spans="1:45" s="474" customFormat="1" ht="12.75" customHeight="1">
      <c r="C552" s="527"/>
      <c r="D552" s="527"/>
      <c r="E552" s="527"/>
      <c r="F552" s="527"/>
      <c r="G552" s="527"/>
      <c r="H552" s="527"/>
      <c r="I552" s="527"/>
      <c r="J552" s="527"/>
      <c r="K552" s="527"/>
      <c r="L552" s="527"/>
      <c r="M552" s="527"/>
      <c r="N552" s="527"/>
      <c r="O552" s="527"/>
      <c r="P552" s="527"/>
      <c r="Q552" s="527"/>
      <c r="R552" s="527"/>
      <c r="S552" s="527"/>
      <c r="T552" s="527"/>
      <c r="U552" s="527"/>
      <c r="V552" s="527"/>
      <c r="W552" s="527"/>
      <c r="X552" s="527"/>
      <c r="Y552" s="527"/>
      <c r="Z552" s="527"/>
      <c r="AA552" s="527"/>
      <c r="AB552" s="527"/>
      <c r="AC552" s="527"/>
      <c r="AD552" s="527"/>
      <c r="AE552" s="527"/>
      <c r="AF552" s="527"/>
      <c r="AG552" s="527"/>
      <c r="AH552" s="527"/>
      <c r="AI552" s="527"/>
      <c r="AJ552" s="527"/>
      <c r="AK552" s="527"/>
      <c r="AL552" s="527"/>
      <c r="AM552" s="527"/>
      <c r="AN552" s="521"/>
    </row>
    <row r="553" spans="1:45" s="474" customFormat="1" ht="12.75" customHeight="1">
      <c r="A553" s="527"/>
      <c r="B553" s="1834" t="s">
        <v>2277</v>
      </c>
      <c r="C553" s="1834"/>
      <c r="D553" s="1834"/>
      <c r="E553" s="1834"/>
      <c r="F553" s="1834"/>
      <c r="G553" s="1834"/>
      <c r="H553" s="1834"/>
      <c r="I553" s="1834"/>
      <c r="J553" s="1834"/>
      <c r="K553" s="1834"/>
      <c r="L553" s="1834"/>
      <c r="M553" s="1834"/>
      <c r="N553" s="1834"/>
      <c r="O553" s="1834"/>
      <c r="P553" s="1834"/>
      <c r="Q553" s="1834"/>
      <c r="R553" s="1834"/>
      <c r="S553" s="1834"/>
      <c r="T553" s="1834"/>
      <c r="U553" s="1834"/>
      <c r="V553" s="1834"/>
      <c r="W553" s="1834"/>
      <c r="X553" s="1834"/>
      <c r="Y553" s="1834"/>
      <c r="Z553" s="1834"/>
      <c r="AA553" s="1834"/>
      <c r="AB553" s="1834"/>
      <c r="AC553" s="1834"/>
      <c r="AD553" s="1834"/>
      <c r="AE553" s="1834"/>
      <c r="AF553" s="1834"/>
      <c r="AG553" s="1834"/>
      <c r="AH553" s="1834"/>
      <c r="AI553" s="1834"/>
      <c r="AJ553" s="1834"/>
      <c r="AK553" s="566"/>
      <c r="AL553" s="497"/>
      <c r="AM553" s="527"/>
      <c r="AN553" s="521"/>
    </row>
    <row r="554" spans="1:45" s="474" customFormat="1" ht="12.75" customHeight="1">
      <c r="A554" s="527"/>
      <c r="B554" s="1834"/>
      <c r="C554" s="1834"/>
      <c r="D554" s="1834"/>
      <c r="E554" s="1834"/>
      <c r="F554" s="1834"/>
      <c r="G554" s="1834"/>
      <c r="H554" s="1834"/>
      <c r="I554" s="1834"/>
      <c r="J554" s="1834"/>
      <c r="K554" s="1834"/>
      <c r="L554" s="1834"/>
      <c r="M554" s="1834"/>
      <c r="N554" s="1834"/>
      <c r="O554" s="1834"/>
      <c r="P554" s="1834"/>
      <c r="Q554" s="1834"/>
      <c r="R554" s="1834"/>
      <c r="S554" s="1834"/>
      <c r="T554" s="1834"/>
      <c r="U554" s="1834"/>
      <c r="V554" s="1834"/>
      <c r="W554" s="1834"/>
      <c r="X554" s="1834"/>
      <c r="Y554" s="1834"/>
      <c r="Z554" s="1834"/>
      <c r="AA554" s="1834"/>
      <c r="AB554" s="1834"/>
      <c r="AC554" s="1834"/>
      <c r="AD554" s="1834"/>
      <c r="AE554" s="1834"/>
      <c r="AF554" s="1834"/>
      <c r="AG554" s="1834"/>
      <c r="AH554" s="1834"/>
      <c r="AI554" s="1834"/>
      <c r="AJ554" s="1834"/>
      <c r="AK554" s="566"/>
      <c r="AL554" s="497"/>
      <c r="AM554" s="527"/>
      <c r="AN554" s="521"/>
    </row>
    <row r="555" spans="1:45" s="474" customFormat="1" ht="12.75" customHeight="1">
      <c r="A555" s="527"/>
      <c r="B555" s="1834"/>
      <c r="C555" s="1834"/>
      <c r="D555" s="1834"/>
      <c r="E555" s="1834"/>
      <c r="F555" s="1834"/>
      <c r="G555" s="1834"/>
      <c r="H555" s="1834"/>
      <c r="I555" s="1834"/>
      <c r="J555" s="1834"/>
      <c r="K555" s="1834"/>
      <c r="L555" s="1834"/>
      <c r="M555" s="1834"/>
      <c r="N555" s="1834"/>
      <c r="O555" s="1834"/>
      <c r="P555" s="1834"/>
      <c r="Q555" s="1834"/>
      <c r="R555" s="1834"/>
      <c r="S555" s="1834"/>
      <c r="T555" s="1834"/>
      <c r="U555" s="1834"/>
      <c r="V555" s="1834"/>
      <c r="W555" s="1834"/>
      <c r="X555" s="1834"/>
      <c r="Y555" s="1834"/>
      <c r="Z555" s="1834"/>
      <c r="AA555" s="1834"/>
      <c r="AB555" s="1834"/>
      <c r="AC555" s="1834"/>
      <c r="AD555" s="1834"/>
      <c r="AE555" s="1834"/>
      <c r="AF555" s="1834"/>
      <c r="AG555" s="1834"/>
      <c r="AH555" s="1834"/>
      <c r="AI555" s="1834"/>
      <c r="AJ555" s="1834"/>
      <c r="AK555" s="566"/>
      <c r="AL555" s="497"/>
      <c r="AM555" s="527"/>
      <c r="AN555" s="521"/>
    </row>
    <row r="556" spans="1:45" s="474" customFormat="1" ht="12.75" customHeight="1">
      <c r="A556" s="527"/>
      <c r="B556" s="1834"/>
      <c r="C556" s="1834"/>
      <c r="D556" s="1834"/>
      <c r="E556" s="1834"/>
      <c r="F556" s="1834"/>
      <c r="G556" s="1834"/>
      <c r="H556" s="1834"/>
      <c r="I556" s="1834"/>
      <c r="J556" s="1834"/>
      <c r="K556" s="1834"/>
      <c r="L556" s="1834"/>
      <c r="M556" s="1834"/>
      <c r="N556" s="1834"/>
      <c r="O556" s="1834"/>
      <c r="P556" s="1834"/>
      <c r="Q556" s="1834"/>
      <c r="R556" s="1834"/>
      <c r="S556" s="1834"/>
      <c r="T556" s="1834"/>
      <c r="U556" s="1834"/>
      <c r="V556" s="1834"/>
      <c r="W556" s="1834"/>
      <c r="X556" s="1834"/>
      <c r="Y556" s="1834"/>
      <c r="Z556" s="1834"/>
      <c r="AA556" s="1834"/>
      <c r="AB556" s="1834"/>
      <c r="AC556" s="1834"/>
      <c r="AD556" s="1834"/>
      <c r="AE556" s="1834"/>
      <c r="AF556" s="1834"/>
      <c r="AG556" s="1834"/>
      <c r="AH556" s="1834"/>
      <c r="AI556" s="1834"/>
      <c r="AJ556" s="1834"/>
      <c r="AK556" s="566"/>
      <c r="AL556" s="497"/>
      <c r="AM556" s="527"/>
      <c r="AN556" s="521"/>
    </row>
    <row r="557" spans="1:45" s="474" customFormat="1" ht="12.75" customHeight="1">
      <c r="A557" s="527"/>
      <c r="B557" s="1834"/>
      <c r="C557" s="1834"/>
      <c r="D557" s="1834"/>
      <c r="E557" s="1834"/>
      <c r="F557" s="1834"/>
      <c r="G557" s="1834"/>
      <c r="H557" s="1834"/>
      <c r="I557" s="1834"/>
      <c r="J557" s="1834"/>
      <c r="K557" s="1834"/>
      <c r="L557" s="1834"/>
      <c r="M557" s="1834"/>
      <c r="N557" s="1834"/>
      <c r="O557" s="1834"/>
      <c r="P557" s="1834"/>
      <c r="Q557" s="1834"/>
      <c r="R557" s="1834"/>
      <c r="S557" s="1834"/>
      <c r="T557" s="1834"/>
      <c r="U557" s="1834"/>
      <c r="V557" s="1834"/>
      <c r="W557" s="1834"/>
      <c r="X557" s="1834"/>
      <c r="Y557" s="1834"/>
      <c r="Z557" s="1834"/>
      <c r="AA557" s="1834"/>
      <c r="AB557" s="1834"/>
      <c r="AC557" s="1834"/>
      <c r="AD557" s="1834"/>
      <c r="AE557" s="1834"/>
      <c r="AF557" s="1834"/>
      <c r="AG557" s="1834"/>
      <c r="AH557" s="1834"/>
      <c r="AI557" s="1834"/>
      <c r="AJ557" s="1834"/>
      <c r="AK557" s="566"/>
      <c r="AL557" s="497"/>
      <c r="AM557" s="527"/>
      <c r="AN557" s="521"/>
    </row>
    <row r="558" spans="1:45" s="474" customFormat="1" ht="12.75" customHeight="1">
      <c r="A558" s="527"/>
      <c r="B558" s="1834"/>
      <c r="C558" s="1834"/>
      <c r="D558" s="1834"/>
      <c r="E558" s="1834"/>
      <c r="F558" s="1834"/>
      <c r="G558" s="1834"/>
      <c r="H558" s="1834"/>
      <c r="I558" s="1834"/>
      <c r="J558" s="1834"/>
      <c r="K558" s="1834"/>
      <c r="L558" s="1834"/>
      <c r="M558" s="1834"/>
      <c r="N558" s="1834"/>
      <c r="O558" s="1834"/>
      <c r="P558" s="1834"/>
      <c r="Q558" s="1834"/>
      <c r="R558" s="1834"/>
      <c r="S558" s="1834"/>
      <c r="T558" s="1834"/>
      <c r="U558" s="1834"/>
      <c r="V558" s="1834"/>
      <c r="W558" s="1834"/>
      <c r="X558" s="1834"/>
      <c r="Y558" s="1834"/>
      <c r="Z558" s="1834"/>
      <c r="AA558" s="1834"/>
      <c r="AB558" s="1834"/>
      <c r="AC558" s="1834"/>
      <c r="AD558" s="1834"/>
      <c r="AE558" s="1834"/>
      <c r="AF558" s="1834"/>
      <c r="AG558" s="1834"/>
      <c r="AH558" s="1834"/>
      <c r="AI558" s="1834"/>
      <c r="AJ558" s="1834"/>
      <c r="AK558" s="566"/>
      <c r="AL558" s="497"/>
      <c r="AM558" s="527"/>
      <c r="AN558" s="521"/>
    </row>
    <row r="559" spans="1:45" s="474" customFormat="1" ht="12.75" customHeight="1">
      <c r="A559" s="527"/>
      <c r="B559" s="1834"/>
      <c r="C559" s="1834"/>
      <c r="D559" s="1834"/>
      <c r="E559" s="1834"/>
      <c r="F559" s="1834"/>
      <c r="G559" s="1834"/>
      <c r="H559" s="1834"/>
      <c r="I559" s="1834"/>
      <c r="J559" s="1834"/>
      <c r="K559" s="1834"/>
      <c r="L559" s="1834"/>
      <c r="M559" s="1834"/>
      <c r="N559" s="1834"/>
      <c r="O559" s="1834"/>
      <c r="P559" s="1834"/>
      <c r="Q559" s="1834"/>
      <c r="R559" s="1834"/>
      <c r="S559" s="1834"/>
      <c r="T559" s="1834"/>
      <c r="U559" s="1834"/>
      <c r="V559" s="1834"/>
      <c r="W559" s="1834"/>
      <c r="X559" s="1834"/>
      <c r="Y559" s="1834"/>
      <c r="Z559" s="1834"/>
      <c r="AA559" s="1834"/>
      <c r="AB559" s="1834"/>
      <c r="AC559" s="1834"/>
      <c r="AD559" s="1834"/>
      <c r="AE559" s="1834"/>
      <c r="AF559" s="1834"/>
      <c r="AG559" s="1834"/>
      <c r="AH559" s="1834"/>
      <c r="AI559" s="1834"/>
      <c r="AJ559" s="1834"/>
      <c r="AK559" s="566"/>
      <c r="AL559" s="497"/>
      <c r="AM559" s="527"/>
      <c r="AN559" s="521"/>
    </row>
    <row r="560" spans="1:45" ht="12.75" customHeight="1">
      <c r="A560" s="527"/>
      <c r="B560" s="1834"/>
      <c r="C560" s="1834"/>
      <c r="D560" s="1834"/>
      <c r="E560" s="1834"/>
      <c r="F560" s="1834"/>
      <c r="G560" s="1834"/>
      <c r="H560" s="1834"/>
      <c r="I560" s="1834"/>
      <c r="J560" s="1834"/>
      <c r="K560" s="1834"/>
      <c r="L560" s="1834"/>
      <c r="M560" s="1834"/>
      <c r="N560" s="1834"/>
      <c r="O560" s="1834"/>
      <c r="P560" s="1834"/>
      <c r="Q560" s="1834"/>
      <c r="R560" s="1834"/>
      <c r="S560" s="1834"/>
      <c r="T560" s="1834"/>
      <c r="U560" s="1834"/>
      <c r="V560" s="1834"/>
      <c r="W560" s="1834"/>
      <c r="X560" s="1834"/>
      <c r="Y560" s="1834"/>
      <c r="Z560" s="1834"/>
      <c r="AA560" s="1834"/>
      <c r="AB560" s="1834"/>
      <c r="AC560" s="1834"/>
      <c r="AD560" s="1834"/>
      <c r="AE560" s="1834"/>
      <c r="AF560" s="1834"/>
      <c r="AG560" s="1834"/>
      <c r="AH560" s="1834"/>
      <c r="AI560" s="1834"/>
      <c r="AJ560" s="1834"/>
      <c r="AK560" s="566"/>
      <c r="AL560" s="497"/>
      <c r="AM560" s="527"/>
    </row>
    <row r="561" spans="1:42" s="474" customFormat="1" ht="12.75" customHeight="1">
      <c r="B561" s="1834"/>
      <c r="C561" s="1834"/>
      <c r="D561" s="1834"/>
      <c r="E561" s="1834"/>
      <c r="F561" s="1834"/>
      <c r="G561" s="1834"/>
      <c r="H561" s="1834"/>
      <c r="I561" s="1834"/>
      <c r="J561" s="1834"/>
      <c r="K561" s="1834"/>
      <c r="L561" s="1834"/>
      <c r="M561" s="1834"/>
      <c r="N561" s="1834"/>
      <c r="O561" s="1834"/>
      <c r="P561" s="1834"/>
      <c r="Q561" s="1834"/>
      <c r="R561" s="1834"/>
      <c r="S561" s="1834"/>
      <c r="T561" s="1834"/>
      <c r="U561" s="1834"/>
      <c r="V561" s="1834"/>
      <c r="W561" s="1834"/>
      <c r="X561" s="1834"/>
      <c r="Y561" s="1834"/>
      <c r="Z561" s="1834"/>
      <c r="AA561" s="1834"/>
      <c r="AB561" s="1834"/>
      <c r="AC561" s="1834"/>
      <c r="AD561" s="1834"/>
      <c r="AE561" s="1834"/>
      <c r="AF561" s="1834"/>
      <c r="AG561" s="1834"/>
      <c r="AH561" s="1834"/>
      <c r="AI561" s="1834"/>
      <c r="AJ561" s="1834"/>
      <c r="AK561" s="566"/>
      <c r="AL561" s="497"/>
      <c r="AN561" s="521"/>
    </row>
    <row r="562" spans="1:42" s="474" customFormat="1" ht="12.75" customHeight="1">
      <c r="B562" s="566"/>
      <c r="C562" s="566"/>
      <c r="D562" s="566"/>
      <c r="E562" s="566"/>
      <c r="F562" s="566"/>
      <c r="G562" s="566"/>
      <c r="H562" s="566"/>
      <c r="I562" s="566"/>
      <c r="J562" s="566"/>
      <c r="K562" s="566"/>
      <c r="L562" s="566"/>
      <c r="M562" s="566"/>
      <c r="N562" s="566"/>
      <c r="O562" s="566"/>
      <c r="P562" s="566"/>
      <c r="Q562" s="566"/>
      <c r="R562" s="566"/>
      <c r="S562" s="566"/>
      <c r="T562" s="566"/>
      <c r="U562" s="566"/>
      <c r="V562" s="566"/>
      <c r="W562" s="566"/>
      <c r="X562" s="566"/>
      <c r="Y562" s="566"/>
      <c r="Z562" s="566"/>
      <c r="AA562" s="566"/>
      <c r="AB562" s="566"/>
      <c r="AC562" s="566"/>
      <c r="AD562" s="566"/>
      <c r="AE562" s="566"/>
      <c r="AF562" s="566"/>
      <c r="AG562" s="566"/>
      <c r="AH562" s="566"/>
      <c r="AI562" s="566"/>
      <c r="AJ562" s="566"/>
      <c r="AK562" s="566"/>
      <c r="AL562" s="497"/>
      <c r="AN562" s="521"/>
    </row>
    <row r="563" spans="1:42" s="474" customFormat="1" ht="12.75" customHeight="1">
      <c r="B563" s="587" t="s">
        <v>2278</v>
      </c>
      <c r="C563" s="595"/>
      <c r="D563" s="497"/>
      <c r="E563" s="497"/>
      <c r="F563" s="497"/>
      <c r="G563" s="497"/>
      <c r="H563" s="497"/>
      <c r="I563" s="497"/>
      <c r="J563" s="497"/>
      <c r="K563" s="497"/>
      <c r="L563" s="497"/>
      <c r="M563" s="497"/>
      <c r="N563" s="497"/>
      <c r="O563" s="497"/>
      <c r="P563" s="497"/>
      <c r="Q563" s="497"/>
      <c r="R563" s="497"/>
      <c r="S563" s="497"/>
      <c r="T563" s="497"/>
      <c r="U563" s="497"/>
      <c r="V563" s="497"/>
      <c r="W563" s="497"/>
      <c r="X563" s="497"/>
      <c r="Y563" s="497"/>
      <c r="Z563" s="497"/>
      <c r="AA563" s="497"/>
      <c r="AB563" s="497"/>
      <c r="AC563" s="497"/>
      <c r="AD563" s="497"/>
      <c r="AE563" s="497"/>
      <c r="AF563" s="497"/>
      <c r="AG563" s="497"/>
      <c r="AH563" s="497"/>
      <c r="AI563" s="497"/>
      <c r="AN563" s="521"/>
      <c r="AP563" s="474" t="s">
        <v>299</v>
      </c>
    </row>
    <row r="564" spans="1:42" s="474" customFormat="1" ht="12.75" customHeight="1">
      <c r="B564" s="460"/>
      <c r="C564" s="595"/>
      <c r="D564" s="497"/>
      <c r="E564" s="497"/>
      <c r="F564" s="497"/>
      <c r="G564" s="497"/>
      <c r="H564" s="497"/>
      <c r="I564" s="497"/>
      <c r="J564" s="497"/>
      <c r="K564" s="497"/>
      <c r="L564" s="497"/>
      <c r="M564" s="497"/>
      <c r="N564" s="497"/>
      <c r="O564" s="497"/>
      <c r="P564" s="497"/>
      <c r="Q564" s="497"/>
      <c r="R564" s="497"/>
      <c r="S564" s="497"/>
      <c r="T564" s="497"/>
      <c r="U564" s="497"/>
      <c r="V564" s="497"/>
      <c r="W564" s="497"/>
      <c r="X564" s="497"/>
      <c r="Y564" s="497"/>
      <c r="Z564" s="497"/>
      <c r="AA564" s="497"/>
      <c r="AB564" s="497"/>
      <c r="AC564" s="497"/>
      <c r="AD564" s="497"/>
      <c r="AE564" s="497"/>
      <c r="AF564" s="497"/>
      <c r="AG564" s="497"/>
      <c r="AH564" s="497"/>
      <c r="AI564" s="497"/>
      <c r="AN564" s="521"/>
      <c r="AP564" s="474" t="s">
        <v>836</v>
      </c>
    </row>
    <row r="565" spans="1:42" s="474" customFormat="1" ht="12.75" customHeight="1">
      <c r="C565" s="463" t="s">
        <v>2279</v>
      </c>
      <c r="D565" s="596"/>
      <c r="E565" s="497"/>
      <c r="F565" s="497"/>
      <c r="G565" s="497"/>
      <c r="H565" s="497"/>
      <c r="I565" s="497"/>
      <c r="J565" s="497"/>
      <c r="K565" s="497"/>
      <c r="L565" s="497"/>
      <c r="M565" s="497"/>
      <c r="N565" s="497"/>
      <c r="O565" s="497"/>
      <c r="P565" s="497"/>
      <c r="Q565" s="497"/>
      <c r="R565" s="497"/>
      <c r="S565" s="497"/>
      <c r="T565" s="497"/>
      <c r="U565" s="497"/>
      <c r="V565" s="497"/>
      <c r="W565" s="497"/>
      <c r="X565" s="497"/>
      <c r="Y565" s="497"/>
      <c r="Z565" s="497"/>
      <c r="AA565" s="497"/>
      <c r="AB565" s="497"/>
      <c r="AC565" s="497"/>
      <c r="AD565" s="497"/>
      <c r="AE565" s="497"/>
      <c r="AF565" s="497"/>
      <c r="AG565" s="497"/>
      <c r="AH565" s="497"/>
      <c r="AI565" s="497"/>
      <c r="AN565" s="521"/>
    </row>
    <row r="566" spans="1:42" s="474" customFormat="1" ht="12.75" customHeight="1">
      <c r="B566" s="460"/>
      <c r="C566" s="460"/>
      <c r="D566" s="564"/>
      <c r="E566" s="567"/>
      <c r="F566" s="567"/>
      <c r="G566" s="567"/>
      <c r="H566" s="567"/>
      <c r="I566" s="567"/>
      <c r="J566" s="567"/>
      <c r="K566" s="567"/>
      <c r="L566" s="567"/>
      <c r="M566" s="567"/>
      <c r="N566" s="567"/>
      <c r="O566" s="567"/>
      <c r="P566" s="567"/>
      <c r="Q566" s="567"/>
      <c r="R566" s="567"/>
      <c r="S566" s="567"/>
      <c r="T566" s="567"/>
      <c r="U566" s="567"/>
      <c r="V566" s="567"/>
      <c r="W566" s="567"/>
      <c r="X566" s="567"/>
      <c r="Y566" s="567"/>
      <c r="Z566" s="567"/>
      <c r="AA566" s="567"/>
      <c r="AB566" s="567"/>
      <c r="AC566" s="567"/>
      <c r="AD566" s="567"/>
      <c r="AE566" s="567"/>
      <c r="AF566" s="460"/>
      <c r="AG566" s="460"/>
      <c r="AH566" s="460"/>
      <c r="AI566" s="460"/>
      <c r="AJ566" s="460"/>
      <c r="AK566" s="460"/>
      <c r="AL566" s="460"/>
      <c r="AN566" s="521"/>
    </row>
    <row r="567" spans="1:42" s="474" customFormat="1" ht="12.75" customHeight="1">
      <c r="B567" s="460"/>
      <c r="C567" s="460"/>
      <c r="D567" s="587" t="s">
        <v>21</v>
      </c>
      <c r="E567" s="762" t="s">
        <v>2280</v>
      </c>
      <c r="F567" s="566"/>
      <c r="G567" s="566"/>
      <c r="H567" s="566"/>
      <c r="I567" s="566"/>
      <c r="J567" s="566"/>
      <c r="K567" s="566"/>
      <c r="L567" s="566"/>
      <c r="M567" s="566"/>
      <c r="N567" s="566"/>
      <c r="O567" s="566"/>
      <c r="P567" s="566"/>
      <c r="Q567" s="566"/>
      <c r="R567" s="566"/>
      <c r="S567" s="566"/>
      <c r="T567" s="566"/>
      <c r="U567" s="566"/>
      <c r="V567" s="566"/>
      <c r="W567" s="566"/>
      <c r="X567" s="566"/>
      <c r="Y567" s="566"/>
      <c r="Z567" s="566"/>
      <c r="AA567" s="566"/>
      <c r="AB567" s="566"/>
      <c r="AC567" s="460"/>
      <c r="AD567" s="460"/>
      <c r="AE567" s="460"/>
      <c r="AF567" s="1914" t="s">
        <v>2020</v>
      </c>
      <c r="AG567" s="1914"/>
      <c r="AH567" s="1914"/>
      <c r="AI567" s="1914"/>
      <c r="AJ567" s="1914"/>
      <c r="AK567" s="1914"/>
      <c r="AL567" s="1914"/>
      <c r="AN567" s="521"/>
    </row>
    <row r="568" spans="1:42" s="474" customFormat="1" ht="12.75" customHeight="1">
      <c r="B568" s="460"/>
      <c r="C568" s="540"/>
      <c r="D568" s="587"/>
      <c r="E568" s="762" t="s">
        <v>2281</v>
      </c>
      <c r="F568" s="566"/>
      <c r="G568" s="566"/>
      <c r="H568" s="566"/>
      <c r="I568" s="566"/>
      <c r="J568" s="566"/>
      <c r="K568" s="566"/>
      <c r="L568" s="566"/>
      <c r="M568" s="566"/>
      <c r="N568" s="566"/>
      <c r="O568" s="566"/>
      <c r="P568" s="566"/>
      <c r="Q568" s="566"/>
      <c r="R568" s="566"/>
      <c r="S568" s="566"/>
      <c r="T568" s="566"/>
      <c r="U568" s="566"/>
      <c r="V568" s="566"/>
      <c r="W568" s="566"/>
      <c r="X568" s="566"/>
      <c r="Y568" s="566"/>
      <c r="Z568" s="566"/>
      <c r="AA568" s="566"/>
      <c r="AB568" s="566"/>
      <c r="AC568" s="460"/>
      <c r="AD568" s="460"/>
      <c r="AE568" s="540"/>
      <c r="AF568" s="540"/>
      <c r="AG568" s="540"/>
      <c r="AH568" s="540"/>
      <c r="AI568" s="540"/>
      <c r="AJ568" s="540"/>
      <c r="AK568" s="540"/>
      <c r="AL568" s="540"/>
      <c r="AN568" s="521"/>
    </row>
    <row r="569" spans="1:42" s="474" customFormat="1" ht="12.75" customHeight="1">
      <c r="B569" s="460"/>
      <c r="C569" s="540"/>
      <c r="D569" s="587"/>
      <c r="E569" s="762" t="s">
        <v>2282</v>
      </c>
      <c r="F569" s="566"/>
      <c r="G569" s="566"/>
      <c r="H569" s="566"/>
      <c r="I569" s="566"/>
      <c r="J569" s="566"/>
      <c r="K569" s="566"/>
      <c r="L569" s="566"/>
      <c r="M569" s="566"/>
      <c r="N569" s="566"/>
      <c r="O569" s="566"/>
      <c r="P569" s="566"/>
      <c r="Q569" s="566"/>
      <c r="R569" s="566"/>
      <c r="S569" s="566"/>
      <c r="T569" s="566"/>
      <c r="U569" s="566"/>
      <c r="V569" s="566"/>
      <c r="W569" s="566"/>
      <c r="X569" s="566"/>
      <c r="Y569" s="566"/>
      <c r="Z569" s="566"/>
      <c r="AA569" s="566"/>
      <c r="AB569" s="566"/>
      <c r="AC569" s="460"/>
      <c r="AD569" s="460"/>
      <c r="AE569" s="540"/>
      <c r="AF569" s="540"/>
      <c r="AG569" s="540"/>
      <c r="AH569" s="540"/>
      <c r="AI569" s="540"/>
      <c r="AJ569" s="540"/>
      <c r="AK569" s="540"/>
      <c r="AL569" s="540"/>
      <c r="AN569" s="521"/>
    </row>
    <row r="570" spans="1:42" s="474" customFormat="1" ht="12.75" customHeight="1">
      <c r="B570" s="460"/>
      <c r="C570" s="540"/>
      <c r="D570" s="587"/>
      <c r="E570" s="762" t="s">
        <v>2283</v>
      </c>
      <c r="F570" s="566"/>
      <c r="G570" s="566"/>
      <c r="H570" s="566"/>
      <c r="I570" s="566"/>
      <c r="J570" s="566"/>
      <c r="K570" s="566"/>
      <c r="L570" s="566"/>
      <c r="M570" s="566"/>
      <c r="N570" s="566"/>
      <c r="O570" s="566"/>
      <c r="P570" s="566"/>
      <c r="Q570" s="566"/>
      <c r="R570" s="566"/>
      <c r="S570" s="566"/>
      <c r="T570" s="566"/>
      <c r="U570" s="566"/>
      <c r="V570" s="566"/>
      <c r="W570" s="566"/>
      <c r="X570" s="566"/>
      <c r="Y570" s="566"/>
      <c r="Z570" s="566"/>
      <c r="AA570" s="566"/>
      <c r="AB570" s="566"/>
      <c r="AC570" s="460"/>
      <c r="AD570" s="460"/>
      <c r="AE570" s="540"/>
      <c r="AF570" s="540"/>
      <c r="AG570" s="540"/>
      <c r="AH570" s="540"/>
      <c r="AI570" s="540"/>
      <c r="AJ570" s="540"/>
      <c r="AK570" s="540"/>
      <c r="AL570" s="540"/>
      <c r="AN570" s="521"/>
    </row>
    <row r="571" spans="1:42" s="474" customFormat="1" ht="12.75" customHeight="1">
      <c r="B571" s="460"/>
      <c r="C571" s="540"/>
      <c r="D571" s="587"/>
      <c r="E571" s="762" t="s">
        <v>2284</v>
      </c>
      <c r="F571" s="566"/>
      <c r="G571" s="566"/>
      <c r="H571" s="566"/>
      <c r="I571" s="566"/>
      <c r="J571" s="566"/>
      <c r="K571" s="566"/>
      <c r="L571" s="566"/>
      <c r="M571" s="566"/>
      <c r="N571" s="566"/>
      <c r="O571" s="566"/>
      <c r="P571" s="566"/>
      <c r="Q571" s="566"/>
      <c r="R571" s="566"/>
      <c r="S571" s="566"/>
      <c r="T571" s="566"/>
      <c r="U571" s="566"/>
      <c r="V571" s="566"/>
      <c r="W571" s="566"/>
      <c r="X571" s="566"/>
      <c r="Y571" s="566"/>
      <c r="Z571" s="566"/>
      <c r="AA571" s="566"/>
      <c r="AB571" s="566"/>
      <c r="AC571" s="460"/>
      <c r="AD571" s="460"/>
      <c r="AE571" s="540"/>
      <c r="AF571" s="540"/>
      <c r="AG571" s="540"/>
      <c r="AH571" s="540"/>
      <c r="AI571" s="540"/>
      <c r="AJ571" s="540"/>
      <c r="AK571" s="540"/>
      <c r="AL571" s="540"/>
      <c r="AN571" s="521"/>
      <c r="AO571" s="20" t="s">
        <v>2285</v>
      </c>
      <c r="AP571" s="474" t="b">
        <f>IF(Application!AF418&gt;=25,TRUE,FALSE)</f>
        <v>1</v>
      </c>
    </row>
    <row r="572" spans="1:42" s="474" customFormat="1" ht="12.75" customHeight="1">
      <c r="B572" s="460"/>
      <c r="C572" s="540"/>
      <c r="D572" s="587"/>
      <c r="E572" s="762" t="s">
        <v>2286</v>
      </c>
      <c r="F572" s="566"/>
      <c r="G572" s="566"/>
      <c r="H572" s="566"/>
      <c r="I572" s="566"/>
      <c r="J572" s="566"/>
      <c r="K572" s="566"/>
      <c r="L572" s="566"/>
      <c r="M572" s="566"/>
      <c r="N572" s="566"/>
      <c r="O572" s="566"/>
      <c r="P572" s="566"/>
      <c r="Q572" s="566"/>
      <c r="R572" s="566"/>
      <c r="S572" s="566"/>
      <c r="T572" s="566"/>
      <c r="U572" s="566"/>
      <c r="V572" s="566"/>
      <c r="W572" s="566"/>
      <c r="X572" s="566"/>
      <c r="Y572" s="566"/>
      <c r="Z572" s="566"/>
      <c r="AA572" s="566"/>
      <c r="AB572" s="566"/>
      <c r="AC572" s="460"/>
      <c r="AD572" s="460"/>
      <c r="AE572" s="540"/>
      <c r="AF572" s="540"/>
      <c r="AG572" s="540"/>
      <c r="AH572" s="540"/>
      <c r="AI572" s="540"/>
      <c r="AJ572" s="540"/>
      <c r="AK572" s="540"/>
      <c r="AL572" s="540"/>
      <c r="AN572" s="521"/>
      <c r="AO572" s="20" t="s">
        <v>2287</v>
      </c>
      <c r="AP572" s="474" t="b">
        <f>Application!Z199="Yes"</f>
        <v>0</v>
      </c>
    </row>
    <row r="573" spans="1:42" s="474" customFormat="1" ht="12.75" customHeight="1">
      <c r="B573" s="460"/>
      <c r="C573" s="540"/>
      <c r="D573" s="587"/>
      <c r="E573" s="762"/>
      <c r="F573" s="566"/>
      <c r="G573" s="566"/>
      <c r="H573" s="566"/>
      <c r="I573" s="566"/>
      <c r="J573" s="566"/>
      <c r="K573" s="566"/>
      <c r="L573" s="566"/>
      <c r="M573" s="566"/>
      <c r="N573" s="566"/>
      <c r="O573" s="566"/>
      <c r="P573" s="566"/>
      <c r="Q573" s="566"/>
      <c r="R573" s="566"/>
      <c r="S573" s="566"/>
      <c r="T573" s="566"/>
      <c r="U573" s="566"/>
      <c r="V573" s="566"/>
      <c r="W573" s="566"/>
      <c r="X573" s="566"/>
      <c r="Y573" s="566"/>
      <c r="Z573" s="566"/>
      <c r="AA573" s="566"/>
      <c r="AB573" s="566"/>
      <c r="AC573" s="460"/>
      <c r="AD573" s="460"/>
      <c r="AE573" s="540"/>
      <c r="AF573" s="460"/>
      <c r="AG573" s="460"/>
      <c r="AH573" s="460"/>
      <c r="AI573" s="460"/>
      <c r="AJ573" s="460"/>
      <c r="AK573" s="460"/>
      <c r="AL573" s="460"/>
      <c r="AN573" s="521"/>
    </row>
    <row r="574" spans="1:42" s="474" customFormat="1" ht="12.75" customHeight="1">
      <c r="A574" s="561"/>
      <c r="B574" s="460"/>
      <c r="C574" s="850"/>
      <c r="D574" s="587" t="s">
        <v>26</v>
      </c>
      <c r="E574" s="762" t="s">
        <v>2288</v>
      </c>
      <c r="F574" s="851"/>
      <c r="G574" s="851"/>
      <c r="H574" s="851"/>
      <c r="I574" s="851"/>
      <c r="J574" s="851"/>
      <c r="K574" s="851"/>
      <c r="L574" s="851"/>
      <c r="M574" s="851"/>
      <c r="N574" s="851"/>
      <c r="O574" s="851"/>
      <c r="P574" s="851"/>
      <c r="Q574" s="851"/>
      <c r="R574" s="851"/>
      <c r="S574" s="851"/>
      <c r="T574" s="851"/>
      <c r="U574" s="851"/>
      <c r="V574" s="851"/>
      <c r="W574" s="851"/>
      <c r="X574" s="851"/>
      <c r="Y574" s="851"/>
      <c r="Z574" s="851"/>
      <c r="AA574" s="851"/>
      <c r="AB574" s="851"/>
      <c r="AC574" s="460"/>
      <c r="AD574" s="460"/>
      <c r="AE574" s="460"/>
      <c r="AF574" s="1914" t="s">
        <v>2289</v>
      </c>
      <c r="AG574" s="1914"/>
      <c r="AH574" s="1914"/>
      <c r="AI574" s="1914"/>
      <c r="AJ574" s="1914"/>
      <c r="AK574" s="1914"/>
      <c r="AL574" s="1914"/>
      <c r="AN574" s="521"/>
    </row>
    <row r="575" spans="1:42" s="474" customFormat="1" ht="12.75" customHeight="1">
      <c r="B575" s="460"/>
      <c r="C575" s="852"/>
      <c r="D575" s="587"/>
      <c r="E575" s="762" t="s">
        <v>2290</v>
      </c>
      <c r="F575" s="851"/>
      <c r="G575" s="851"/>
      <c r="H575" s="851"/>
      <c r="I575" s="851"/>
      <c r="J575" s="851"/>
      <c r="K575" s="851"/>
      <c r="L575" s="851"/>
      <c r="M575" s="851"/>
      <c r="N575" s="851"/>
      <c r="O575" s="851"/>
      <c r="P575" s="851"/>
      <c r="Q575" s="851"/>
      <c r="R575" s="851"/>
      <c r="S575" s="851"/>
      <c r="T575" s="851"/>
      <c r="U575" s="851"/>
      <c r="V575" s="851"/>
      <c r="W575" s="851"/>
      <c r="X575" s="851"/>
      <c r="Y575" s="851"/>
      <c r="Z575" s="851"/>
      <c r="AA575" s="851"/>
      <c r="AB575" s="851"/>
      <c r="AC575" s="460"/>
      <c r="AD575" s="460"/>
      <c r="AE575" s="460"/>
      <c r="AF575" s="460"/>
      <c r="AG575" s="460"/>
      <c r="AH575" s="460"/>
      <c r="AI575" s="460"/>
      <c r="AJ575" s="460"/>
      <c r="AK575" s="460"/>
      <c r="AL575" s="460"/>
      <c r="AN575" s="521"/>
      <c r="AO575" s="474" t="s">
        <v>299</v>
      </c>
      <c r="AP575" s="597">
        <v>0</v>
      </c>
    </row>
    <row r="576" spans="1:42" s="474" customFormat="1" ht="12.75" customHeight="1">
      <c r="B576" s="534"/>
      <c r="C576" s="850"/>
      <c r="D576" s="587"/>
      <c r="E576" s="762" t="s">
        <v>2291</v>
      </c>
      <c r="F576" s="851"/>
      <c r="G576" s="851"/>
      <c r="H576" s="851"/>
      <c r="I576" s="851"/>
      <c r="J576" s="851"/>
      <c r="K576" s="851"/>
      <c r="L576" s="851"/>
      <c r="M576" s="851"/>
      <c r="N576" s="851"/>
      <c r="O576" s="851"/>
      <c r="P576" s="851"/>
      <c r="Q576" s="851"/>
      <c r="R576" s="851"/>
      <c r="S576" s="851"/>
      <c r="T576" s="851"/>
      <c r="U576" s="851"/>
      <c r="V576" s="851"/>
      <c r="W576" s="851"/>
      <c r="X576" s="851"/>
      <c r="Y576" s="851"/>
      <c r="Z576" s="851"/>
      <c r="AA576" s="851"/>
      <c r="AB576" s="851"/>
      <c r="AC576" s="460"/>
      <c r="AD576" s="460"/>
      <c r="AE576" s="460"/>
      <c r="AF576" s="460"/>
      <c r="AG576" s="460"/>
      <c r="AH576" s="460"/>
      <c r="AI576" s="460"/>
      <c r="AJ576" s="460"/>
      <c r="AK576" s="460"/>
      <c r="AL576" s="460"/>
      <c r="AN576" s="521"/>
      <c r="AO576" s="535" t="s">
        <v>21</v>
      </c>
      <c r="AP576" s="474">
        <f>7*AP571</f>
        <v>7</v>
      </c>
    </row>
    <row r="577" spans="1:53" s="474" customFormat="1" ht="12.75" customHeight="1">
      <c r="B577" s="534"/>
      <c r="C577" s="850"/>
      <c r="D577" s="587"/>
      <c r="E577" s="762" t="s">
        <v>2292</v>
      </c>
      <c r="F577" s="851"/>
      <c r="G577" s="851"/>
      <c r="H577" s="851"/>
      <c r="I577" s="851"/>
      <c r="J577" s="851"/>
      <c r="K577" s="851"/>
      <c r="L577" s="851"/>
      <c r="M577" s="851"/>
      <c r="N577" s="851"/>
      <c r="O577" s="851"/>
      <c r="P577" s="851"/>
      <c r="Q577" s="851"/>
      <c r="R577" s="851"/>
      <c r="S577" s="851"/>
      <c r="T577" s="851"/>
      <c r="U577" s="851"/>
      <c r="V577" s="851"/>
      <c r="W577" s="851"/>
      <c r="X577" s="851"/>
      <c r="Y577" s="851"/>
      <c r="Z577" s="851"/>
      <c r="AA577" s="851"/>
      <c r="AB577" s="851"/>
      <c r="AC577" s="460"/>
      <c r="AD577" s="460"/>
      <c r="AE577" s="460"/>
      <c r="AF577" s="460"/>
      <c r="AG577" s="460"/>
      <c r="AH577" s="460"/>
      <c r="AI577" s="460"/>
      <c r="AJ577" s="460"/>
      <c r="AK577" s="460"/>
      <c r="AL577" s="460"/>
      <c r="AN577" s="521"/>
      <c r="AO577" s="535" t="s">
        <v>26</v>
      </c>
      <c r="AP577" s="474">
        <v>6</v>
      </c>
    </row>
    <row r="578" spans="1:53" s="474" customFormat="1" ht="12.75" customHeight="1">
      <c r="B578" s="534"/>
      <c r="C578" s="850"/>
      <c r="D578" s="587"/>
      <c r="E578" s="762" t="s">
        <v>2293</v>
      </c>
      <c r="F578" s="851"/>
      <c r="G578" s="851"/>
      <c r="H578" s="851"/>
      <c r="I578" s="851"/>
      <c r="J578" s="851"/>
      <c r="K578" s="851"/>
      <c r="L578" s="851"/>
      <c r="M578" s="851"/>
      <c r="N578" s="851"/>
      <c r="O578" s="851"/>
      <c r="P578" s="851"/>
      <c r="Q578" s="851"/>
      <c r="R578" s="851"/>
      <c r="S578" s="851"/>
      <c r="T578" s="851"/>
      <c r="U578" s="851"/>
      <c r="V578" s="851"/>
      <c r="W578" s="851"/>
      <c r="X578" s="851"/>
      <c r="Y578" s="851"/>
      <c r="Z578" s="851"/>
      <c r="AA578" s="851"/>
      <c r="AB578" s="851"/>
      <c r="AC578" s="460"/>
      <c r="AD578" s="460"/>
      <c r="AE578" s="460"/>
      <c r="AF578" s="460"/>
      <c r="AG578" s="460"/>
      <c r="AH578" s="460"/>
      <c r="AI578" s="460"/>
      <c r="AJ578" s="460"/>
      <c r="AK578" s="460"/>
      <c r="AL578" s="460"/>
      <c r="AN578" s="521"/>
      <c r="AO578" s="535" t="s">
        <v>48</v>
      </c>
      <c r="AP578" s="474">
        <v>5</v>
      </c>
    </row>
    <row r="579" spans="1:53" s="474" customFormat="1" ht="12.75" customHeight="1">
      <c r="B579" s="534"/>
      <c r="C579" s="850"/>
      <c r="D579" s="587"/>
      <c r="E579" s="853"/>
      <c r="F579" s="854"/>
      <c r="G579" s="854"/>
      <c r="H579" s="854"/>
      <c r="I579" s="540"/>
      <c r="J579" s="540"/>
      <c r="K579" s="540"/>
      <c r="L579" s="540"/>
      <c r="M579" s="540"/>
      <c r="N579" s="540"/>
      <c r="O579" s="540"/>
      <c r="P579" s="540"/>
      <c r="Q579" s="540"/>
      <c r="R579" s="540"/>
      <c r="S579" s="540"/>
      <c r="T579" s="540"/>
      <c r="U579" s="540"/>
      <c r="V579" s="540"/>
      <c r="W579" s="540"/>
      <c r="X579" s="540"/>
      <c r="Y579" s="540"/>
      <c r="Z579" s="540"/>
      <c r="AA579" s="540"/>
      <c r="AB579" s="540"/>
      <c r="AC579" s="460"/>
      <c r="AD579" s="460"/>
      <c r="AE579" s="540"/>
      <c r="AF579" s="460"/>
      <c r="AG579" s="460"/>
      <c r="AH579" s="460"/>
      <c r="AI579" s="460"/>
      <c r="AJ579" s="460"/>
      <c r="AK579" s="460"/>
      <c r="AL579" s="460"/>
      <c r="AN579" s="521"/>
      <c r="AO579" s="535" t="s">
        <v>2294</v>
      </c>
      <c r="AP579" s="474">
        <v>4</v>
      </c>
    </row>
    <row r="580" spans="1:53" s="474" customFormat="1" ht="12.75" customHeight="1">
      <c r="B580" s="460"/>
      <c r="C580" s="850"/>
      <c r="D580" s="587" t="s">
        <v>48</v>
      </c>
      <c r="E580" s="762" t="s">
        <v>2295</v>
      </c>
      <c r="F580" s="851"/>
      <c r="G580" s="851"/>
      <c r="H580" s="851"/>
      <c r="I580" s="851"/>
      <c r="J580" s="851"/>
      <c r="K580" s="851"/>
      <c r="L580" s="851"/>
      <c r="M580" s="851"/>
      <c r="N580" s="851"/>
      <c r="O580" s="851"/>
      <c r="P580" s="851"/>
      <c r="Q580" s="851"/>
      <c r="R580" s="851"/>
      <c r="S580" s="851"/>
      <c r="T580" s="851"/>
      <c r="U580" s="851"/>
      <c r="V580" s="851"/>
      <c r="W580" s="851"/>
      <c r="X580" s="851"/>
      <c r="Y580" s="851"/>
      <c r="Z580" s="851"/>
      <c r="AA580" s="851"/>
      <c r="AB580" s="851"/>
      <c r="AC580" s="460"/>
      <c r="AD580" s="460"/>
      <c r="AE580" s="460"/>
      <c r="AF580" s="1914" t="s">
        <v>2296</v>
      </c>
      <c r="AG580" s="1914"/>
      <c r="AH580" s="1914"/>
      <c r="AI580" s="1914"/>
      <c r="AJ580" s="1914"/>
      <c r="AK580" s="1914"/>
      <c r="AL580" s="1914"/>
      <c r="AN580" s="521"/>
      <c r="AO580" s="535" t="s">
        <v>2297</v>
      </c>
      <c r="AP580" s="474">
        <v>3</v>
      </c>
    </row>
    <row r="581" spans="1:53" s="474" customFormat="1" ht="12.75" customHeight="1">
      <c r="B581" s="460"/>
      <c r="C581" s="852"/>
      <c r="D581" s="587"/>
      <c r="E581" s="762" t="s">
        <v>2290</v>
      </c>
      <c r="F581" s="851"/>
      <c r="G581" s="851"/>
      <c r="H581" s="851"/>
      <c r="I581" s="851"/>
      <c r="J581" s="851"/>
      <c r="K581" s="851"/>
      <c r="L581" s="851"/>
      <c r="M581" s="851"/>
      <c r="N581" s="851"/>
      <c r="O581" s="851"/>
      <c r="P581" s="851"/>
      <c r="Q581" s="851"/>
      <c r="R581" s="851"/>
      <c r="S581" s="851"/>
      <c r="T581" s="851"/>
      <c r="U581" s="851"/>
      <c r="V581" s="851"/>
      <c r="W581" s="851"/>
      <c r="X581" s="851"/>
      <c r="Y581" s="851"/>
      <c r="Z581" s="851"/>
      <c r="AA581" s="851"/>
      <c r="AB581" s="851"/>
      <c r="AC581" s="460"/>
      <c r="AD581" s="460"/>
      <c r="AE581" s="460"/>
      <c r="AF581" s="460"/>
      <c r="AG581" s="460"/>
      <c r="AH581" s="460"/>
      <c r="AI581" s="460"/>
      <c r="AJ581" s="460"/>
      <c r="AK581" s="460"/>
      <c r="AL581" s="460"/>
      <c r="AN581" s="521"/>
    </row>
    <row r="582" spans="1:53" s="474" customFormat="1" ht="12.75" customHeight="1">
      <c r="B582" s="460"/>
      <c r="C582" s="852"/>
      <c r="D582" s="587"/>
      <c r="E582" s="762" t="s">
        <v>2291</v>
      </c>
      <c r="F582" s="851"/>
      <c r="G582" s="851"/>
      <c r="H582" s="851"/>
      <c r="I582" s="851"/>
      <c r="J582" s="851"/>
      <c r="K582" s="851"/>
      <c r="L582" s="851"/>
      <c r="M582" s="851"/>
      <c r="N582" s="851"/>
      <c r="O582" s="851"/>
      <c r="P582" s="851"/>
      <c r="Q582" s="851"/>
      <c r="R582" s="851"/>
      <c r="S582" s="851"/>
      <c r="T582" s="851"/>
      <c r="U582" s="851"/>
      <c r="V582" s="851"/>
      <c r="W582" s="851"/>
      <c r="X582" s="851"/>
      <c r="Y582" s="851"/>
      <c r="Z582" s="851"/>
      <c r="AA582" s="851"/>
      <c r="AB582" s="851"/>
      <c r="AC582" s="460"/>
      <c r="AD582" s="460"/>
      <c r="AE582" s="460"/>
      <c r="AF582" s="460"/>
      <c r="AG582" s="460"/>
      <c r="AH582" s="460"/>
      <c r="AI582" s="460"/>
      <c r="AJ582" s="460"/>
      <c r="AK582" s="460"/>
      <c r="AL582" s="460"/>
      <c r="AN582" s="521"/>
      <c r="AO582" s="20" t="s">
        <v>2298</v>
      </c>
    </row>
    <row r="583" spans="1:53" s="474" customFormat="1" ht="12.75" customHeight="1">
      <c r="B583" s="460"/>
      <c r="C583" s="852"/>
      <c r="D583" s="587"/>
      <c r="E583" s="762" t="s">
        <v>2292</v>
      </c>
      <c r="F583" s="851"/>
      <c r="G583" s="851"/>
      <c r="H583" s="851"/>
      <c r="I583" s="851"/>
      <c r="J583" s="851"/>
      <c r="K583" s="851"/>
      <c r="L583" s="851"/>
      <c r="M583" s="851"/>
      <c r="N583" s="851"/>
      <c r="O583" s="851"/>
      <c r="P583" s="851"/>
      <c r="Q583" s="851"/>
      <c r="R583" s="851"/>
      <c r="S583" s="851"/>
      <c r="T583" s="851"/>
      <c r="U583" s="851"/>
      <c r="V583" s="851"/>
      <c r="W583" s="851"/>
      <c r="X583" s="851"/>
      <c r="Y583" s="851"/>
      <c r="Z583" s="851"/>
      <c r="AA583" s="851"/>
      <c r="AB583" s="851"/>
      <c r="AC583" s="460"/>
      <c r="AD583" s="460"/>
      <c r="AE583" s="460"/>
      <c r="AF583" s="460"/>
      <c r="AG583" s="460"/>
      <c r="AH583" s="460"/>
      <c r="AI583" s="460"/>
      <c r="AJ583" s="460"/>
      <c r="AK583" s="460"/>
      <c r="AL583" s="460"/>
      <c r="AN583" s="521"/>
      <c r="AO583" s="20" t="s">
        <v>2299</v>
      </c>
    </row>
    <row r="584" spans="1:53" s="474" customFormat="1" ht="12.75" customHeight="1">
      <c r="B584" s="460"/>
      <c r="C584" s="852"/>
      <c r="D584" s="587"/>
      <c r="E584" s="762" t="s">
        <v>2293</v>
      </c>
      <c r="F584" s="851"/>
      <c r="G584" s="851"/>
      <c r="H584" s="851"/>
      <c r="I584" s="851"/>
      <c r="J584" s="851"/>
      <c r="K584" s="851"/>
      <c r="L584" s="851"/>
      <c r="M584" s="851"/>
      <c r="N584" s="851"/>
      <c r="O584" s="851"/>
      <c r="P584" s="851"/>
      <c r="Q584" s="851"/>
      <c r="R584" s="851"/>
      <c r="S584" s="851"/>
      <c r="T584" s="851"/>
      <c r="U584" s="851"/>
      <c r="V584" s="851"/>
      <c r="W584" s="851"/>
      <c r="X584" s="851"/>
      <c r="Y584" s="851"/>
      <c r="Z584" s="851"/>
      <c r="AA584" s="851"/>
      <c r="AB584" s="851"/>
      <c r="AC584" s="460"/>
      <c r="AD584" s="460"/>
      <c r="AE584" s="460"/>
      <c r="AF584" s="460"/>
      <c r="AG584" s="460"/>
      <c r="AH584" s="460"/>
      <c r="AI584" s="460"/>
      <c r="AJ584" s="460"/>
      <c r="AK584" s="460"/>
      <c r="AL584" s="460"/>
      <c r="AN584" s="521"/>
      <c r="AO584" s="20" t="s">
        <v>2300</v>
      </c>
    </row>
    <row r="585" spans="1:53" s="474" customFormat="1" ht="12.75" customHeight="1">
      <c r="A585" s="14"/>
      <c r="B585" s="14"/>
      <c r="C585" s="14"/>
      <c r="D585" s="587"/>
      <c r="E585" s="59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0"/>
      <c r="AD585" s="460"/>
      <c r="AE585" s="14"/>
      <c r="AF585" s="460"/>
      <c r="AG585" s="460"/>
      <c r="AH585" s="460"/>
      <c r="AI585" s="460"/>
      <c r="AJ585" s="460"/>
      <c r="AK585" s="460"/>
      <c r="AL585" s="460"/>
      <c r="AM585" s="14"/>
      <c r="AN585" s="521"/>
    </row>
    <row r="586" spans="1:53" s="474" customFormat="1" ht="12.75" customHeight="1">
      <c r="B586" s="460"/>
      <c r="C586" s="850"/>
      <c r="D586" s="587" t="s">
        <v>2294</v>
      </c>
      <c r="E586" s="762" t="s">
        <v>2301</v>
      </c>
      <c r="F586" s="851"/>
      <c r="G586" s="851"/>
      <c r="H586" s="851"/>
      <c r="I586" s="851"/>
      <c r="J586" s="851"/>
      <c r="K586" s="851"/>
      <c r="L586" s="851"/>
      <c r="M586" s="851"/>
      <c r="N586" s="851"/>
      <c r="O586" s="851"/>
      <c r="P586" s="851"/>
      <c r="Q586" s="851"/>
      <c r="R586" s="851"/>
      <c r="S586" s="851"/>
      <c r="T586" s="851"/>
      <c r="U586" s="851"/>
      <c r="V586" s="851"/>
      <c r="W586" s="851"/>
      <c r="X586" s="851"/>
      <c r="Y586" s="851"/>
      <c r="Z586" s="851"/>
      <c r="AA586" s="851"/>
      <c r="AB586" s="851"/>
      <c r="AC586" s="460"/>
      <c r="AD586" s="460"/>
      <c r="AE586" s="460"/>
      <c r="AF586" s="1914" t="s">
        <v>2302</v>
      </c>
      <c r="AG586" s="1914"/>
      <c r="AH586" s="1914"/>
      <c r="AI586" s="1914"/>
      <c r="AJ586" s="1914"/>
      <c r="AK586" s="1914"/>
      <c r="AL586" s="1914"/>
      <c r="AN586" s="521"/>
      <c r="AO586" s="474" t="str">
        <f>X623</f>
        <v>N/A</v>
      </c>
    </row>
    <row r="587" spans="1:53" s="474" customFormat="1" ht="12.75" customHeight="1">
      <c r="B587" s="460"/>
      <c r="C587" s="852"/>
      <c r="D587" s="587"/>
      <c r="E587" s="762" t="s">
        <v>2303</v>
      </c>
      <c r="F587" s="851"/>
      <c r="G587" s="851"/>
      <c r="H587" s="851"/>
      <c r="I587" s="851"/>
      <c r="J587" s="851"/>
      <c r="K587" s="851"/>
      <c r="L587" s="851"/>
      <c r="M587" s="851"/>
      <c r="N587" s="851"/>
      <c r="O587" s="851"/>
      <c r="P587" s="851"/>
      <c r="Q587" s="851"/>
      <c r="R587" s="851"/>
      <c r="S587" s="851"/>
      <c r="T587" s="851"/>
      <c r="U587" s="851"/>
      <c r="V587" s="851"/>
      <c r="W587" s="851"/>
      <c r="X587" s="851"/>
      <c r="Y587" s="851"/>
      <c r="Z587" s="851"/>
      <c r="AA587" s="851"/>
      <c r="AB587" s="851"/>
      <c r="AC587" s="14"/>
      <c r="AD587" s="14"/>
      <c r="AE587" s="460"/>
      <c r="AF587" s="460"/>
      <c r="AG587" s="460"/>
      <c r="AH587" s="460"/>
      <c r="AI587" s="460"/>
      <c r="AJ587" s="460"/>
      <c r="AK587" s="460"/>
      <c r="AL587" s="460"/>
      <c r="AN587" s="521"/>
      <c r="AU587" s="518"/>
      <c r="AV587" s="518"/>
      <c r="AW587" s="518"/>
      <c r="AX587" s="518"/>
      <c r="AY587" s="518"/>
      <c r="AZ587" s="518"/>
      <c r="BA587" s="518"/>
    </row>
    <row r="588" spans="1:53" s="474" customFormat="1" ht="12.75" customHeight="1">
      <c r="B588" s="534"/>
      <c r="C588" s="850"/>
      <c r="D588" s="587"/>
      <c r="E588" s="762" t="s">
        <v>2304</v>
      </c>
      <c r="F588" s="851"/>
      <c r="G588" s="851"/>
      <c r="H588" s="851"/>
      <c r="I588" s="851"/>
      <c r="J588" s="851"/>
      <c r="K588" s="851"/>
      <c r="L588" s="851"/>
      <c r="M588" s="851"/>
      <c r="N588" s="851"/>
      <c r="O588" s="851"/>
      <c r="P588" s="851"/>
      <c r="Q588" s="851"/>
      <c r="R588" s="851"/>
      <c r="S588" s="851"/>
      <c r="T588" s="851"/>
      <c r="U588" s="851"/>
      <c r="V588" s="851"/>
      <c r="W588" s="851"/>
      <c r="X588" s="851"/>
      <c r="Y588" s="851"/>
      <c r="Z588" s="851"/>
      <c r="AA588" s="851"/>
      <c r="AB588" s="851"/>
      <c r="AC588" s="460"/>
      <c r="AD588" s="460"/>
      <c r="AE588" s="460"/>
      <c r="AF588" s="460"/>
      <c r="AG588" s="460"/>
      <c r="AH588" s="460"/>
      <c r="AI588" s="460"/>
      <c r="AJ588" s="460"/>
      <c r="AK588" s="460"/>
      <c r="AL588" s="460"/>
      <c r="AN588" s="521"/>
      <c r="AO588" s="20" t="s">
        <v>2305</v>
      </c>
    </row>
    <row r="589" spans="1:53" s="474" customFormat="1" ht="12.75" customHeight="1">
      <c r="B589" s="534"/>
      <c r="C589" s="850"/>
      <c r="D589" s="587"/>
      <c r="E589" s="762"/>
      <c r="F589" s="851"/>
      <c r="G589" s="851"/>
      <c r="H589" s="851"/>
      <c r="I589" s="851"/>
      <c r="J589" s="851"/>
      <c r="K589" s="851"/>
      <c r="L589" s="851"/>
      <c r="M589" s="851"/>
      <c r="N589" s="851"/>
      <c r="O589" s="851"/>
      <c r="P589" s="851"/>
      <c r="Q589" s="851"/>
      <c r="R589" s="851"/>
      <c r="S589" s="851"/>
      <c r="T589" s="851"/>
      <c r="U589" s="851"/>
      <c r="V589" s="851"/>
      <c r="W589" s="851"/>
      <c r="X589" s="851"/>
      <c r="Y589" s="851"/>
      <c r="Z589" s="851"/>
      <c r="AA589" s="851"/>
      <c r="AB589" s="851"/>
      <c r="AC589" s="460"/>
      <c r="AD589" s="460"/>
      <c r="AE589" s="460"/>
      <c r="AF589" s="460"/>
      <c r="AG589" s="460"/>
      <c r="AH589" s="460"/>
      <c r="AI589" s="460"/>
      <c r="AJ589" s="460"/>
      <c r="AK589" s="460"/>
      <c r="AL589" s="460"/>
      <c r="AN589" s="521"/>
      <c r="AO589" s="20" t="s">
        <v>2306</v>
      </c>
    </row>
    <row r="590" spans="1:53" s="474" customFormat="1" ht="12.75" customHeight="1">
      <c r="B590" s="534"/>
      <c r="C590" s="850"/>
      <c r="D590" s="587"/>
      <c r="E590" s="460" t="s">
        <v>2307</v>
      </c>
      <c r="O590" s="1953" t="s">
        <v>1075</v>
      </c>
      <c r="P590" s="1953"/>
      <c r="Q590" s="1953"/>
      <c r="R590" s="1953"/>
      <c r="S590" s="1953"/>
      <c r="T590" s="1953"/>
      <c r="U590" s="1953"/>
      <c r="V590" s="1953"/>
      <c r="W590" s="1953"/>
      <c r="X590" s="1953"/>
      <c r="Y590" s="1953"/>
      <c r="Z590" s="1953"/>
      <c r="AA590" s="1953"/>
      <c r="AB590" s="1953"/>
      <c r="AH590" s="460"/>
      <c r="AI590" s="460"/>
      <c r="AJ590" s="460"/>
      <c r="AK590" s="460"/>
      <c r="AL590" s="460"/>
      <c r="AN590" s="521"/>
    </row>
    <row r="591" spans="1:53" s="474" customFormat="1" ht="12.75" customHeight="1">
      <c r="B591" s="534"/>
      <c r="C591" s="850"/>
      <c r="D591" s="587"/>
      <c r="E591" s="762"/>
      <c r="F591" s="851"/>
      <c r="G591" s="851"/>
      <c r="H591" s="851"/>
      <c r="I591" s="851"/>
      <c r="J591" s="851"/>
      <c r="K591" s="851"/>
      <c r="L591" s="851"/>
      <c r="M591" s="851"/>
      <c r="N591" s="851"/>
      <c r="O591" s="851"/>
      <c r="P591" s="851"/>
      <c r="Q591" s="851"/>
      <c r="R591" s="851"/>
      <c r="S591" s="851"/>
      <c r="T591" s="851"/>
      <c r="U591" s="851"/>
      <c r="V591" s="851"/>
      <c r="W591" s="851"/>
      <c r="X591" s="851"/>
      <c r="Y591" s="851"/>
      <c r="Z591" s="851"/>
      <c r="AA591" s="851"/>
      <c r="AB591" s="851"/>
      <c r="AC591" s="460"/>
      <c r="AD591" s="460"/>
      <c r="AE591" s="460"/>
      <c r="AF591" s="460"/>
      <c r="AG591" s="460"/>
      <c r="AH591" s="460"/>
      <c r="AI591" s="460"/>
      <c r="AJ591" s="460"/>
      <c r="AK591" s="460"/>
      <c r="AL591" s="460"/>
      <c r="AN591" s="521"/>
    </row>
    <row r="592" spans="1:53" s="474" customFormat="1" ht="12.75" customHeight="1">
      <c r="B592" s="460"/>
      <c r="C592" s="850"/>
      <c r="D592" s="587" t="s">
        <v>2297</v>
      </c>
      <c r="E592" s="762" t="s">
        <v>2308</v>
      </c>
      <c r="F592" s="851"/>
      <c r="G592" s="851"/>
      <c r="H592" s="851"/>
      <c r="I592" s="851"/>
      <c r="J592" s="851"/>
      <c r="K592" s="851"/>
      <c r="L592" s="851"/>
      <c r="M592" s="851"/>
      <c r="N592" s="851"/>
      <c r="O592" s="851"/>
      <c r="P592" s="851"/>
      <c r="Q592" s="851"/>
      <c r="R592" s="851"/>
      <c r="S592" s="851"/>
      <c r="T592" s="851"/>
      <c r="U592" s="851"/>
      <c r="V592" s="851"/>
      <c r="W592" s="851"/>
      <c r="X592" s="851"/>
      <c r="Y592" s="851"/>
      <c r="Z592" s="851"/>
      <c r="AA592" s="851"/>
      <c r="AB592" s="851"/>
      <c r="AC592" s="460"/>
      <c r="AD592" s="460"/>
      <c r="AE592" s="460"/>
      <c r="AF592" s="1914" t="s">
        <v>2034</v>
      </c>
      <c r="AG592" s="1914"/>
      <c r="AH592" s="1914"/>
      <c r="AI592" s="1914"/>
      <c r="AJ592" s="1914"/>
      <c r="AK592" s="1914"/>
      <c r="AL592" s="1914"/>
      <c r="AN592" s="521"/>
    </row>
    <row r="593" spans="2:47" s="474" customFormat="1" ht="12.75" customHeight="1">
      <c r="B593" s="460"/>
      <c r="C593" s="850"/>
      <c r="D593" s="587"/>
      <c r="E593" s="762" t="s">
        <v>2309</v>
      </c>
      <c r="F593" s="851"/>
      <c r="G593" s="851"/>
      <c r="H593" s="851"/>
      <c r="I593" s="851"/>
      <c r="J593" s="851"/>
      <c r="K593" s="851"/>
      <c r="L593" s="851"/>
      <c r="M593" s="851"/>
      <c r="N593" s="851"/>
      <c r="O593" s="851"/>
      <c r="P593" s="851"/>
      <c r="Q593" s="851"/>
      <c r="R593" s="851"/>
      <c r="S593" s="851"/>
      <c r="T593" s="851"/>
      <c r="U593" s="851"/>
      <c r="V593" s="851"/>
      <c r="W593" s="851"/>
      <c r="X593" s="851"/>
      <c r="Y593" s="851"/>
      <c r="Z593" s="851"/>
      <c r="AA593" s="851"/>
      <c r="AB593" s="851"/>
      <c r="AC593" s="460"/>
      <c r="AD593" s="460"/>
      <c r="AE593" s="518"/>
      <c r="AF593" s="460"/>
      <c r="AG593" s="460"/>
      <c r="AH593" s="460"/>
      <c r="AI593" s="460"/>
      <c r="AJ593" s="460"/>
      <c r="AK593" s="460"/>
      <c r="AL593" s="460"/>
      <c r="AN593" s="521"/>
    </row>
    <row r="594" spans="2:47" s="474" customFormat="1" ht="12.75" customHeight="1">
      <c r="B594" s="460"/>
      <c r="C594" s="852"/>
      <c r="D594" s="460"/>
      <c r="E594" s="540"/>
      <c r="F594" s="855"/>
      <c r="G594" s="855"/>
      <c r="H594" s="855"/>
      <c r="I594" s="855"/>
      <c r="J594" s="855"/>
      <c r="K594" s="855"/>
      <c r="L594" s="855"/>
      <c r="M594" s="855"/>
      <c r="N594" s="855"/>
      <c r="O594" s="855"/>
      <c r="P594" s="855"/>
      <c r="Q594" s="855"/>
      <c r="R594" s="855"/>
      <c r="S594" s="855"/>
      <c r="T594" s="855"/>
      <c r="U594" s="855"/>
      <c r="V594" s="855"/>
      <c r="W594" s="855"/>
      <c r="X594" s="855"/>
      <c r="Y594" s="855"/>
      <c r="Z594" s="855"/>
      <c r="AA594" s="855"/>
      <c r="AB594" s="855"/>
      <c r="AC594" s="460"/>
      <c r="AD594" s="460"/>
      <c r="AE594" s="460"/>
      <c r="AF594" s="460"/>
      <c r="AG594" s="460"/>
      <c r="AH594" s="460"/>
      <c r="AI594" s="460"/>
      <c r="AJ594" s="460"/>
      <c r="AK594" s="460"/>
      <c r="AL594" s="460"/>
      <c r="AN594" s="521"/>
      <c r="AO594" s="474" t="s">
        <v>299</v>
      </c>
      <c r="AP594" s="597">
        <v>0</v>
      </c>
      <c r="AT594" s="474" t="s">
        <v>299</v>
      </c>
      <c r="AU594" s="597">
        <v>0</v>
      </c>
    </row>
    <row r="595" spans="2:47" s="474" customFormat="1" ht="12.75" customHeight="1">
      <c r="B595" s="460"/>
      <c r="C595" s="852"/>
      <c r="D595" s="460" t="s">
        <v>2310</v>
      </c>
      <c r="E595" s="855"/>
      <c r="F595" s="855"/>
      <c r="G595" s="855"/>
      <c r="H595" s="1858" t="s">
        <v>21</v>
      </c>
      <c r="I595" s="1858"/>
      <c r="J595" s="855"/>
      <c r="K595" s="855"/>
      <c r="L595" s="855"/>
      <c r="N595" s="20"/>
      <c r="O595" s="20"/>
      <c r="P595" s="20"/>
      <c r="Q595" s="1074" t="s">
        <v>2311</v>
      </c>
      <c r="R595" s="1954"/>
      <c r="S595" s="1954"/>
      <c r="T595" s="1954"/>
      <c r="U595" s="1954"/>
      <c r="V595" s="1954"/>
      <c r="W595" s="1954"/>
      <c r="X595" s="460"/>
      <c r="Y595" s="460"/>
      <c r="Z595" s="460"/>
      <c r="AA595" s="460"/>
      <c r="AB595" s="460"/>
      <c r="AC595" s="460"/>
      <c r="AD595" s="460"/>
      <c r="AE595" s="460"/>
      <c r="AF595" s="460"/>
      <c r="AG595" s="460"/>
      <c r="AH595" s="460"/>
      <c r="AI595" s="460"/>
      <c r="AJ595" s="460"/>
      <c r="AK595" s="460"/>
      <c r="AL595" s="460"/>
      <c r="AN595" s="521"/>
      <c r="AO595" s="535" t="s">
        <v>21</v>
      </c>
      <c r="AP595" s="474">
        <v>3</v>
      </c>
      <c r="AT595" s="535" t="s">
        <v>21</v>
      </c>
      <c r="AU595" s="474">
        <v>3</v>
      </c>
    </row>
    <row r="596" spans="2:47" s="474" customFormat="1" ht="12.75" customHeight="1">
      <c r="B596" s="460"/>
      <c r="C596" s="852"/>
      <c r="D596" s="460"/>
      <c r="E596" s="855"/>
      <c r="F596" s="855"/>
      <c r="G596" s="855"/>
      <c r="H596" s="855"/>
      <c r="I596" s="855"/>
      <c r="J596" s="855"/>
      <c r="K596" s="855"/>
      <c r="L596" s="855"/>
      <c r="M596" s="855"/>
      <c r="N596" s="460"/>
      <c r="O596" s="460"/>
      <c r="P596" s="460"/>
      <c r="Q596" s="460"/>
      <c r="R596" s="460"/>
      <c r="S596" s="460"/>
      <c r="T596" s="460"/>
      <c r="U596" s="460"/>
      <c r="V596" s="460"/>
      <c r="W596" s="460"/>
      <c r="X596" s="460"/>
      <c r="Y596" s="1955" t="str">
        <f>IF(AND(H595="(i)",NOT(AP571)),AO588,IF(AND(H595="(iv)",OR(R595=AO584,R595=AO583),NOT(AP572)),AO589,""))</f>
        <v/>
      </c>
      <c r="Z596" s="1955"/>
      <c r="AA596" s="1955"/>
      <c r="AB596" s="1955"/>
      <c r="AC596" s="1955"/>
      <c r="AD596" s="1955"/>
      <c r="AE596" s="1955"/>
      <c r="AF596" s="1955"/>
      <c r="AG596" s="1955"/>
      <c r="AH596" s="1955"/>
      <c r="AI596" s="1955"/>
      <c r="AJ596" s="1955"/>
      <c r="AK596" s="1955"/>
      <c r="AL596" s="1955"/>
      <c r="AM596" s="1956"/>
      <c r="AN596" s="521"/>
      <c r="AO596" s="535" t="s">
        <v>26</v>
      </c>
      <c r="AP596" s="474">
        <v>2</v>
      </c>
      <c r="AT596" s="535" t="s">
        <v>26</v>
      </c>
      <c r="AU596" s="474">
        <v>2</v>
      </c>
    </row>
    <row r="597" spans="2:47" s="474" customFormat="1" ht="12.75" customHeight="1">
      <c r="B597" s="460"/>
      <c r="C597" s="852"/>
      <c r="D597" s="460"/>
      <c r="E597" s="855"/>
      <c r="F597" s="855"/>
      <c r="G597" s="855"/>
      <c r="H597" s="855"/>
      <c r="I597" s="855"/>
      <c r="J597" s="855"/>
      <c r="K597" s="855"/>
      <c r="L597" s="855"/>
      <c r="M597" s="855"/>
      <c r="N597" s="460"/>
      <c r="O597" s="460"/>
      <c r="P597" s="460"/>
      <c r="Q597" s="460"/>
      <c r="X597" s="460"/>
      <c r="Y597" s="1955"/>
      <c r="Z597" s="1955"/>
      <c r="AA597" s="1955"/>
      <c r="AB597" s="1955"/>
      <c r="AC597" s="1955"/>
      <c r="AD597" s="1955"/>
      <c r="AE597" s="1955"/>
      <c r="AF597" s="1955"/>
      <c r="AG597" s="1955"/>
      <c r="AH597" s="1955"/>
      <c r="AI597" s="1955"/>
      <c r="AJ597" s="1955"/>
      <c r="AK597" s="1955"/>
      <c r="AL597" s="1955"/>
      <c r="AM597" s="1956"/>
      <c r="AN597" s="521"/>
      <c r="AO597" s="535"/>
      <c r="AT597" s="535"/>
    </row>
    <row r="598" spans="2:47" s="474" customFormat="1" ht="12.75" customHeight="1">
      <c r="B598" s="460"/>
      <c r="C598" s="852"/>
      <c r="D598" s="460" t="s">
        <v>2312</v>
      </c>
      <c r="E598" s="855"/>
      <c r="F598" s="855"/>
      <c r="G598" s="855"/>
      <c r="H598" s="855"/>
      <c r="I598" s="855"/>
      <c r="J598" s="855"/>
      <c r="K598" s="855"/>
      <c r="L598" s="855"/>
      <c r="M598" s="855"/>
      <c r="N598" s="460"/>
      <c r="O598" s="460"/>
      <c r="P598" s="460"/>
      <c r="Q598" s="460"/>
      <c r="R598" s="460"/>
      <c r="S598" s="460"/>
      <c r="T598" s="460"/>
      <c r="U598" s="460"/>
      <c r="V598" s="460"/>
      <c r="W598" s="460"/>
      <c r="X598" s="460"/>
      <c r="Y598" s="460"/>
      <c r="Z598" s="460"/>
      <c r="AA598" s="460"/>
      <c r="AB598" s="460"/>
      <c r="AC598" s="460"/>
      <c r="AD598" s="460"/>
      <c r="AE598" s="460"/>
      <c r="AF598" s="460"/>
      <c r="AG598" s="460"/>
      <c r="AH598" s="460"/>
      <c r="AI598" s="460"/>
      <c r="AJ598" s="460"/>
      <c r="AK598" s="460"/>
      <c r="AL598" s="460"/>
      <c r="AN598" s="521"/>
    </row>
    <row r="599" spans="2:47" s="474" customFormat="1" ht="12.75" customHeight="1">
      <c r="B599" s="460"/>
      <c r="C599" s="852"/>
      <c r="D599" s="460" t="s">
        <v>2313</v>
      </c>
      <c r="E599" s="855"/>
      <c r="F599" s="855"/>
      <c r="G599" s="855"/>
      <c r="H599" s="855"/>
      <c r="I599" s="855"/>
      <c r="J599" s="855"/>
      <c r="K599" s="855"/>
      <c r="L599" s="855"/>
      <c r="M599" s="855"/>
      <c r="N599" s="460"/>
      <c r="O599" s="460"/>
      <c r="P599" s="460"/>
      <c r="Q599" s="460"/>
      <c r="R599" s="460"/>
      <c r="S599" s="460"/>
      <c r="T599" s="460"/>
      <c r="U599" s="460"/>
      <c r="V599" s="460"/>
      <c r="W599" s="460"/>
      <c r="X599" s="460"/>
      <c r="Y599" s="460"/>
      <c r="Z599" s="460"/>
      <c r="AA599" s="460"/>
      <c r="AB599" s="460"/>
      <c r="AC599" s="460"/>
      <c r="AD599" s="460"/>
      <c r="AE599" s="460"/>
      <c r="AF599" s="460"/>
      <c r="AG599" s="460"/>
      <c r="AH599" s="460"/>
      <c r="AI599" s="460"/>
      <c r="AJ599" s="460"/>
      <c r="AK599" s="460"/>
      <c r="AL599" s="460"/>
      <c r="AN599" s="521"/>
    </row>
    <row r="600" spans="2:47" s="474" customFormat="1" ht="12.75" customHeight="1">
      <c r="B600" s="460"/>
      <c r="C600" s="852"/>
      <c r="D600" s="460" t="s">
        <v>2314</v>
      </c>
      <c r="E600" s="855"/>
      <c r="F600" s="855"/>
      <c r="G600" s="855"/>
      <c r="H600" s="855"/>
      <c r="I600" s="855"/>
      <c r="J600" s="855"/>
      <c r="K600" s="855"/>
      <c r="L600" s="855"/>
      <c r="M600" s="855"/>
      <c r="N600" s="460"/>
      <c r="O600" s="460"/>
      <c r="P600" s="460"/>
      <c r="Q600" s="460"/>
      <c r="R600" s="460"/>
      <c r="S600" s="460"/>
      <c r="T600" s="460"/>
      <c r="U600" s="460"/>
      <c r="V600" s="460"/>
      <c r="W600" s="460"/>
      <c r="X600" s="460"/>
      <c r="Y600" s="460"/>
      <c r="Z600" s="460"/>
      <c r="AA600" s="460"/>
      <c r="AB600" s="460"/>
      <c r="AC600" s="460"/>
      <c r="AD600" s="460"/>
      <c r="AE600" s="460"/>
      <c r="AF600" s="460"/>
      <c r="AG600" s="460"/>
      <c r="AH600" s="460"/>
      <c r="AI600" s="460"/>
      <c r="AJ600" s="460"/>
      <c r="AK600" s="460"/>
      <c r="AL600" s="460"/>
      <c r="AN600" s="521"/>
    </row>
    <row r="601" spans="2:47" s="474" customFormat="1" ht="12.75" customHeight="1">
      <c r="B601" s="460"/>
      <c r="C601" s="852"/>
      <c r="D601" s="529" t="s">
        <v>2315</v>
      </c>
      <c r="E601" s="855"/>
      <c r="F601" s="855"/>
      <c r="G601" s="855"/>
      <c r="H601" s="855"/>
      <c r="I601" s="855"/>
      <c r="J601" s="855"/>
      <c r="K601" s="855"/>
      <c r="L601" s="855"/>
      <c r="M601" s="855"/>
      <c r="N601" s="460"/>
      <c r="O601" s="460"/>
      <c r="P601" s="460"/>
      <c r="Q601" s="460"/>
      <c r="R601" s="460"/>
      <c r="S601" s="460"/>
      <c r="T601" s="460"/>
      <c r="U601" s="460"/>
      <c r="V601" s="460"/>
      <c r="W601" s="460"/>
      <c r="X601" s="460"/>
      <c r="Y601" s="460"/>
      <c r="Z601" s="460"/>
      <c r="AA601" s="460"/>
      <c r="AB601" s="460"/>
      <c r="AC601" s="460"/>
      <c r="AD601" s="460"/>
      <c r="AE601" s="460"/>
      <c r="AF601" s="460"/>
      <c r="AG601" s="460"/>
      <c r="AH601" s="460"/>
      <c r="AI601" s="460"/>
      <c r="AJ601" s="460"/>
      <c r="AK601" s="460"/>
      <c r="AL601" s="460"/>
      <c r="AN601" s="521"/>
    </row>
    <row r="602" spans="2:47" s="474" customFormat="1" ht="12.75" customHeight="1">
      <c r="B602" s="460"/>
      <c r="C602" s="852"/>
      <c r="D602" s="460"/>
      <c r="E602" s="460"/>
      <c r="F602" s="460"/>
      <c r="G602" s="460"/>
      <c r="H602" s="460"/>
      <c r="I602" s="460"/>
      <c r="J602" s="460"/>
      <c r="K602" s="460"/>
      <c r="L602" s="460"/>
      <c r="M602" s="460"/>
      <c r="N602" s="460"/>
      <c r="O602" s="460"/>
      <c r="P602" s="460"/>
      <c r="Q602" s="460"/>
      <c r="R602" s="460"/>
      <c r="S602" s="460"/>
      <c r="T602" s="460"/>
      <c r="U602" s="460"/>
      <c r="V602" s="460"/>
      <c r="W602" s="460"/>
      <c r="X602" s="460"/>
      <c r="Y602" s="460"/>
      <c r="Z602" s="460"/>
      <c r="AA602" s="460"/>
      <c r="AB602" s="460"/>
      <c r="AC602" s="460"/>
      <c r="AD602" s="460"/>
      <c r="AE602" s="460"/>
      <c r="AF602" s="460"/>
      <c r="AG602" s="460"/>
      <c r="AH602" s="460"/>
      <c r="AI602" s="460"/>
      <c r="AJ602" s="460"/>
      <c r="AK602" s="460"/>
      <c r="AL602" s="460"/>
      <c r="AN602" s="521"/>
      <c r="AO602" s="474" t="s">
        <v>299</v>
      </c>
      <c r="AP602" s="597">
        <v>0</v>
      </c>
    </row>
    <row r="603" spans="2:47" s="474" customFormat="1" ht="12.75" customHeight="1">
      <c r="B603" s="460"/>
      <c r="C603" s="852"/>
      <c r="D603" s="460"/>
      <c r="E603" s="460" t="s">
        <v>2310</v>
      </c>
      <c r="F603" s="855"/>
      <c r="G603" s="855"/>
      <c r="I603" s="1952" t="s">
        <v>299</v>
      </c>
      <c r="J603" s="1952"/>
      <c r="K603" s="1952"/>
      <c r="L603" s="1952"/>
      <c r="M603" s="1952"/>
      <c r="N603" s="1952"/>
      <c r="O603" s="1952"/>
      <c r="P603" s="1952"/>
      <c r="Q603" s="1952"/>
      <c r="R603" s="1952"/>
      <c r="S603" s="1952"/>
      <c r="T603" s="1952"/>
      <c r="U603" s="1952"/>
      <c r="V603" s="1952"/>
      <c r="W603" s="1952"/>
      <c r="X603" s="1952"/>
      <c r="Y603" s="1952"/>
      <c r="Z603" s="1952"/>
      <c r="AA603" s="1952"/>
      <c r="AB603" s="1952"/>
      <c r="AC603" s="1952"/>
      <c r="AD603" s="1952"/>
      <c r="AE603" s="1952"/>
      <c r="AF603" s="460"/>
      <c r="AG603" s="460"/>
      <c r="AH603" s="460"/>
      <c r="AI603" s="460"/>
      <c r="AJ603" s="460"/>
      <c r="AK603" s="460"/>
      <c r="AL603" s="460"/>
      <c r="AN603" s="521"/>
      <c r="AO603" s="474" t="s">
        <v>2316</v>
      </c>
      <c r="AP603" s="474">
        <v>3</v>
      </c>
    </row>
    <row r="604" spans="2:47" s="474" customFormat="1" ht="12.75" customHeight="1">
      <c r="B604" s="460"/>
      <c r="C604" s="460"/>
      <c r="D604" s="460"/>
      <c r="E604" s="460"/>
      <c r="F604" s="566"/>
      <c r="G604" s="566"/>
      <c r="H604" s="566"/>
      <c r="I604" s="566"/>
      <c r="J604" s="566"/>
      <c r="K604" s="566"/>
      <c r="L604" s="566"/>
      <c r="M604" s="566"/>
      <c r="N604" s="566"/>
      <c r="O604" s="566"/>
      <c r="P604" s="566"/>
      <c r="Q604" s="566"/>
      <c r="R604" s="566"/>
      <c r="S604" s="566"/>
      <c r="T604" s="566"/>
      <c r="U604" s="566"/>
      <c r="V604" s="566"/>
      <c r="W604" s="566"/>
      <c r="X604" s="566"/>
      <c r="Y604" s="566"/>
      <c r="Z604" s="566"/>
      <c r="AA604" s="566"/>
      <c r="AB604" s="566"/>
      <c r="AC604" s="566"/>
      <c r="AD604" s="566"/>
      <c r="AE604" s="566"/>
      <c r="AF604" s="566"/>
      <c r="AG604" s="566"/>
      <c r="AH604" s="566"/>
      <c r="AI604" s="566"/>
      <c r="AJ604" s="566"/>
      <c r="AK604" s="566"/>
      <c r="AL604" s="566"/>
      <c r="AN604" s="521"/>
      <c r="AO604" s="474" t="s">
        <v>2317</v>
      </c>
      <c r="AP604" s="474">
        <v>2</v>
      </c>
    </row>
    <row r="605" spans="2:47" s="474" customFormat="1" ht="12.75" customHeight="1">
      <c r="B605" s="1950" t="s">
        <v>299</v>
      </c>
      <c r="C605" s="1950"/>
      <c r="D605" s="566"/>
      <c r="E605" s="1834" t="s">
        <v>2318</v>
      </c>
      <c r="F605" s="1834"/>
      <c r="G605" s="1834"/>
      <c r="H605" s="1834"/>
      <c r="I605" s="1834"/>
      <c r="J605" s="1834"/>
      <c r="K605" s="1834"/>
      <c r="L605" s="1834"/>
      <c r="M605" s="1834"/>
      <c r="N605" s="1834"/>
      <c r="O605" s="1834"/>
      <c r="P605" s="1834"/>
      <c r="Q605" s="1834"/>
      <c r="R605" s="1834"/>
      <c r="S605" s="1834"/>
      <c r="T605" s="1834"/>
      <c r="U605" s="1834"/>
      <c r="V605" s="1834"/>
      <c r="W605" s="1834"/>
      <c r="X605" s="1834"/>
      <c r="Y605" s="1834"/>
      <c r="Z605" s="1834"/>
      <c r="AA605" s="1834"/>
      <c r="AB605" s="1834"/>
      <c r="AC605" s="1834"/>
      <c r="AD605" s="1834"/>
      <c r="AE605" s="1834"/>
      <c r="AF605" s="1834"/>
      <c r="AG605" s="1834"/>
      <c r="AH605" s="566"/>
      <c r="AI605" s="566"/>
      <c r="AJ605" s="566"/>
      <c r="AK605" s="566"/>
      <c r="AL605" s="566"/>
      <c r="AN605" s="521"/>
    </row>
    <row r="606" spans="2:47" s="474" customFormat="1" ht="12.75" customHeight="1">
      <c r="B606" s="460"/>
      <c r="C606" s="852"/>
      <c r="D606" s="566"/>
      <c r="E606" s="1834"/>
      <c r="F606" s="1834"/>
      <c r="G606" s="1834"/>
      <c r="H606" s="1834"/>
      <c r="I606" s="1834"/>
      <c r="J606" s="1834"/>
      <c r="K606" s="1834"/>
      <c r="L606" s="1834"/>
      <c r="M606" s="1834"/>
      <c r="N606" s="1834"/>
      <c r="O606" s="1834"/>
      <c r="P606" s="1834"/>
      <c r="Q606" s="1834"/>
      <c r="R606" s="1834"/>
      <c r="S606" s="1834"/>
      <c r="T606" s="1834"/>
      <c r="U606" s="1834"/>
      <c r="V606" s="1834"/>
      <c r="W606" s="1834"/>
      <c r="X606" s="1834"/>
      <c r="Y606" s="1834"/>
      <c r="Z606" s="1834"/>
      <c r="AA606" s="1834"/>
      <c r="AB606" s="1834"/>
      <c r="AC606" s="1834"/>
      <c r="AD606" s="1834"/>
      <c r="AE606" s="1834"/>
      <c r="AF606" s="1834"/>
      <c r="AG606" s="1834"/>
      <c r="AH606" s="566"/>
      <c r="AI606" s="566"/>
      <c r="AJ606" s="566"/>
      <c r="AK606" s="566"/>
      <c r="AL606" s="566"/>
      <c r="AN606" s="521"/>
    </row>
    <row r="607" spans="2:47" s="474" customFormat="1" ht="12.75" customHeight="1">
      <c r="B607" s="460"/>
      <c r="C607" s="852"/>
      <c r="D607" s="566"/>
      <c r="E607" s="1834"/>
      <c r="F607" s="1834"/>
      <c r="G607" s="1834"/>
      <c r="H607" s="1834"/>
      <c r="I607" s="1834"/>
      <c r="J607" s="1834"/>
      <c r="K607" s="1834"/>
      <c r="L607" s="1834"/>
      <c r="M607" s="1834"/>
      <c r="N607" s="1834"/>
      <c r="O607" s="1834"/>
      <c r="P607" s="1834"/>
      <c r="Q607" s="1834"/>
      <c r="R607" s="1834"/>
      <c r="S607" s="1834"/>
      <c r="T607" s="1834"/>
      <c r="U607" s="1834"/>
      <c r="V607" s="1834"/>
      <c r="W607" s="1834"/>
      <c r="X607" s="1834"/>
      <c r="Y607" s="1834"/>
      <c r="Z607" s="1834"/>
      <c r="AA607" s="1834"/>
      <c r="AB607" s="1834"/>
      <c r="AC607" s="1834"/>
      <c r="AD607" s="1834"/>
      <c r="AE607" s="1834"/>
      <c r="AF607" s="1834"/>
      <c r="AG607" s="1834"/>
      <c r="AH607" s="566"/>
      <c r="AI607" s="566"/>
      <c r="AJ607" s="566"/>
      <c r="AK607" s="566"/>
      <c r="AL607" s="566"/>
      <c r="AN607" s="521"/>
    </row>
    <row r="608" spans="2:47" s="474" customFormat="1" ht="12.75" customHeight="1">
      <c r="B608" s="460"/>
      <c r="C608" s="852"/>
      <c r="D608" s="566"/>
      <c r="E608" s="1834"/>
      <c r="F608" s="1834"/>
      <c r="G608" s="1834"/>
      <c r="H608" s="1834"/>
      <c r="I608" s="1834"/>
      <c r="J608" s="1834"/>
      <c r="K608" s="1834"/>
      <c r="L608" s="1834"/>
      <c r="M608" s="1834"/>
      <c r="N608" s="1834"/>
      <c r="O608" s="1834"/>
      <c r="P608" s="1834"/>
      <c r="Q608" s="1834"/>
      <c r="R608" s="1834"/>
      <c r="S608" s="1834"/>
      <c r="T608" s="1834"/>
      <c r="U608" s="1834"/>
      <c r="V608" s="1834"/>
      <c r="W608" s="1834"/>
      <c r="X608" s="1834"/>
      <c r="Y608" s="1834"/>
      <c r="Z608" s="1834"/>
      <c r="AA608" s="1834"/>
      <c r="AB608" s="1834"/>
      <c r="AC608" s="1834"/>
      <c r="AD608" s="1834"/>
      <c r="AE608" s="1834"/>
      <c r="AF608" s="1834"/>
      <c r="AG608" s="1834"/>
      <c r="AH608" s="566"/>
      <c r="AI608" s="566"/>
      <c r="AJ608" s="566"/>
      <c r="AK608" s="566"/>
      <c r="AL608" s="566"/>
      <c r="AN608" s="521"/>
    </row>
    <row r="609" spans="1:42" s="474" customFormat="1" ht="12.75" customHeight="1">
      <c r="B609" s="460"/>
      <c r="C609" s="852"/>
      <c r="D609" s="856"/>
      <c r="E609" s="876"/>
      <c r="F609" s="876"/>
      <c r="G609" s="876"/>
      <c r="H609" s="876"/>
      <c r="I609" s="876"/>
      <c r="J609" s="876"/>
      <c r="K609" s="876"/>
      <c r="L609" s="876"/>
      <c r="M609" s="876"/>
      <c r="N609" s="876"/>
      <c r="O609" s="876"/>
      <c r="P609" s="876"/>
      <c r="Q609" s="876"/>
      <c r="R609" s="876"/>
      <c r="S609" s="876"/>
      <c r="T609" s="876"/>
      <c r="U609" s="876"/>
      <c r="V609" s="876"/>
      <c r="W609" s="876"/>
      <c r="X609" s="876"/>
      <c r="Y609" s="876"/>
      <c r="Z609" s="876"/>
      <c r="AA609" s="876"/>
      <c r="AB609" s="876"/>
      <c r="AC609" s="876"/>
      <c r="AD609" s="876"/>
      <c r="AE609" s="876"/>
      <c r="AF609" s="876"/>
      <c r="AG609" s="876"/>
      <c r="AH609" s="856"/>
      <c r="AI609" s="856"/>
      <c r="AJ609" s="856"/>
      <c r="AK609" s="856"/>
      <c r="AL609" s="566"/>
      <c r="AN609" s="521"/>
    </row>
    <row r="610" spans="1:42" s="474" customFormat="1" ht="12.75" customHeight="1">
      <c r="A610" s="530"/>
      <c r="B610" s="525"/>
      <c r="C610" s="857"/>
      <c r="D610" s="525"/>
      <c r="E610" s="858"/>
      <c r="F610" s="858"/>
      <c r="G610" s="858"/>
      <c r="H610" s="858"/>
      <c r="I610" s="858"/>
      <c r="J610" s="858"/>
      <c r="K610" s="858"/>
      <c r="L610" s="858"/>
      <c r="M610" s="858"/>
      <c r="N610" s="858"/>
      <c r="O610" s="858"/>
      <c r="P610" s="858"/>
      <c r="Q610" s="858"/>
      <c r="R610" s="858"/>
      <c r="S610" s="858"/>
      <c r="T610" s="858"/>
      <c r="U610" s="858"/>
      <c r="V610" s="858"/>
      <c r="W610" s="858"/>
      <c r="X610" s="858"/>
      <c r="Y610" s="858"/>
      <c r="Z610" s="858"/>
      <c r="AA610" s="858"/>
      <c r="AB610" s="525"/>
      <c r="AC610" s="525"/>
      <c r="AD610" s="525"/>
      <c r="AE610" s="525"/>
      <c r="AF610" s="525"/>
      <c r="AG610" s="525"/>
      <c r="AH610" s="525"/>
      <c r="AI610" s="489" t="s">
        <v>2319</v>
      </c>
      <c r="AJ610" s="1841">
        <f>VLOOKUP($H$595,$AO$575:$AP$580,2,FALSE)+IF(R595=AO583,0,VLOOKUP($I$603,$AO$602:$AP$604,2,FALSE))</f>
        <v>7</v>
      </c>
      <c r="AK610" s="1843"/>
      <c r="AL610" s="519"/>
      <c r="AM610" s="599"/>
      <c r="AN610" s="521"/>
    </row>
    <row r="611" spans="1:42" s="474" customFormat="1" ht="12.75" customHeight="1">
      <c r="B611" s="460"/>
      <c r="C611" s="852"/>
      <c r="D611" s="460"/>
      <c r="E611" s="855"/>
      <c r="F611" s="855"/>
      <c r="G611" s="855"/>
      <c r="H611" s="855"/>
      <c r="I611" s="855"/>
      <c r="J611" s="855"/>
      <c r="K611" s="855"/>
      <c r="L611" s="855"/>
      <c r="M611" s="855"/>
      <c r="N611" s="855"/>
      <c r="O611" s="855"/>
      <c r="P611" s="855"/>
      <c r="Q611" s="855"/>
      <c r="R611" s="855"/>
      <c r="S611" s="855"/>
      <c r="T611" s="855"/>
      <c r="U611" s="855"/>
      <c r="V611" s="855"/>
      <c r="W611" s="855"/>
      <c r="X611" s="855"/>
      <c r="Y611" s="855"/>
      <c r="Z611" s="855"/>
      <c r="AA611" s="855"/>
      <c r="AB611" s="855"/>
      <c r="AC611" s="460"/>
      <c r="AD611" s="460"/>
      <c r="AE611" s="855"/>
      <c r="AF611" s="855"/>
      <c r="AG611" s="855"/>
      <c r="AH611" s="855"/>
      <c r="AI611" s="855"/>
      <c r="AJ611" s="855"/>
      <c r="AK611" s="855"/>
      <c r="AL611" s="855"/>
      <c r="AM611" s="599"/>
      <c r="AN611" s="521"/>
    </row>
    <row r="612" spans="1:42" s="474" customFormat="1" ht="12.75" customHeight="1">
      <c r="B612" s="460"/>
      <c r="C612" s="463" t="s">
        <v>2320</v>
      </c>
      <c r="D612" s="463"/>
      <c r="E612" s="855"/>
      <c r="F612" s="855"/>
      <c r="G612" s="855"/>
      <c r="H612" s="855"/>
      <c r="I612" s="855"/>
      <c r="J612" s="855"/>
      <c r="K612" s="855"/>
      <c r="L612" s="855"/>
      <c r="M612" s="855"/>
      <c r="N612" s="855"/>
      <c r="O612" s="855"/>
      <c r="P612" s="855"/>
      <c r="Q612" s="855"/>
      <c r="R612" s="855"/>
      <c r="S612" s="855"/>
      <c r="T612" s="855"/>
      <c r="U612" s="855"/>
      <c r="V612" s="855"/>
      <c r="W612" s="855"/>
      <c r="X612" s="855"/>
      <c r="Y612" s="855"/>
      <c r="Z612" s="855"/>
      <c r="AA612" s="855"/>
      <c r="AB612" s="855"/>
      <c r="AC612" s="460"/>
      <c r="AD612" s="460"/>
      <c r="AE612" s="460"/>
      <c r="AF612" s="460"/>
      <c r="AG612" s="460"/>
      <c r="AH612" s="460"/>
      <c r="AI612" s="460"/>
      <c r="AJ612" s="460"/>
      <c r="AK612" s="460"/>
      <c r="AL612" s="460"/>
      <c r="AN612" s="521"/>
    </row>
    <row r="613" spans="1:42" s="474" customFormat="1" ht="12.75" customHeight="1">
      <c r="B613" s="534"/>
      <c r="C613" s="460"/>
      <c r="D613" s="854"/>
      <c r="E613" s="855"/>
      <c r="F613" s="855"/>
      <c r="G613" s="855"/>
      <c r="H613" s="855"/>
      <c r="I613" s="855"/>
      <c r="J613" s="855"/>
      <c r="K613" s="855"/>
      <c r="L613" s="855"/>
      <c r="M613" s="855"/>
      <c r="N613" s="855"/>
      <c r="O613" s="855"/>
      <c r="P613" s="855"/>
      <c r="Q613" s="855"/>
      <c r="R613" s="855"/>
      <c r="S613" s="855"/>
      <c r="T613" s="855"/>
      <c r="U613" s="855"/>
      <c r="V613" s="855"/>
      <c r="W613" s="855"/>
      <c r="X613" s="855"/>
      <c r="Y613" s="855"/>
      <c r="Z613" s="855"/>
      <c r="AA613" s="855"/>
      <c r="AB613" s="855"/>
      <c r="AC613" s="460"/>
      <c r="AD613" s="460"/>
      <c r="AE613" s="460"/>
      <c r="AF613" s="460"/>
      <c r="AG613" s="460"/>
      <c r="AH613" s="460"/>
      <c r="AI613" s="460"/>
      <c r="AJ613" s="460"/>
      <c r="AK613" s="460"/>
      <c r="AL613" s="460"/>
      <c r="AN613" s="521"/>
    </row>
    <row r="614" spans="1:42" s="520" customFormat="1" ht="12.75" customHeight="1">
      <c r="A614" s="474"/>
      <c r="B614" s="460"/>
      <c r="C614" s="460"/>
      <c r="D614" s="587" t="s">
        <v>21</v>
      </c>
      <c r="E614" s="1951" t="s">
        <v>2321</v>
      </c>
      <c r="F614" s="1951"/>
      <c r="G614" s="1951"/>
      <c r="H614" s="1951"/>
      <c r="I614" s="1951"/>
      <c r="J614" s="1951"/>
      <c r="K614" s="1951"/>
      <c r="L614" s="1951"/>
      <c r="M614" s="1951"/>
      <c r="N614" s="1951"/>
      <c r="O614" s="1951"/>
      <c r="P614" s="1951"/>
      <c r="Q614" s="1951"/>
      <c r="R614" s="1951"/>
      <c r="S614" s="1951"/>
      <c r="T614" s="1951"/>
      <c r="U614" s="1951"/>
      <c r="V614" s="1951"/>
      <c r="W614" s="1951"/>
      <c r="X614" s="1951"/>
      <c r="Y614" s="1951"/>
      <c r="Z614" s="1951"/>
      <c r="AA614" s="1951"/>
      <c r="AB614" s="1951"/>
      <c r="AC614" s="1951"/>
      <c r="AD614" s="1951"/>
      <c r="AE614" s="463"/>
      <c r="AF614" s="1914" t="s">
        <v>2034</v>
      </c>
      <c r="AG614" s="1914"/>
      <c r="AH614" s="1914"/>
      <c r="AI614" s="1914"/>
      <c r="AJ614" s="1914"/>
      <c r="AK614" s="1914"/>
      <c r="AL614" s="1914"/>
      <c r="AM614" s="474"/>
      <c r="AN614" s="602"/>
    </row>
    <row r="615" spans="1:42" s="474" customFormat="1" ht="12.75" customHeight="1">
      <c r="A615" s="603"/>
      <c r="B615" s="460"/>
      <c r="C615" s="852"/>
      <c r="D615" s="587"/>
      <c r="E615" s="1951"/>
      <c r="F615" s="1951"/>
      <c r="G615" s="1951"/>
      <c r="H615" s="1951"/>
      <c r="I615" s="1951"/>
      <c r="J615" s="1951"/>
      <c r="K615" s="1951"/>
      <c r="L615" s="1951"/>
      <c r="M615" s="1951"/>
      <c r="N615" s="1951"/>
      <c r="O615" s="1951"/>
      <c r="P615" s="1951"/>
      <c r="Q615" s="1951"/>
      <c r="R615" s="1951"/>
      <c r="S615" s="1951"/>
      <c r="T615" s="1951"/>
      <c r="U615" s="1951"/>
      <c r="V615" s="1951"/>
      <c r="W615" s="1951"/>
      <c r="X615" s="1951"/>
      <c r="Y615" s="1951"/>
      <c r="Z615" s="1951"/>
      <c r="AA615" s="1951"/>
      <c r="AB615" s="1951"/>
      <c r="AC615" s="1951"/>
      <c r="AD615" s="1951"/>
      <c r="AE615" s="460"/>
      <c r="AF615" s="460"/>
      <c r="AG615" s="460"/>
      <c r="AH615" s="460"/>
      <c r="AI615" s="460"/>
      <c r="AJ615" s="460"/>
      <c r="AK615" s="460"/>
      <c r="AL615" s="460"/>
      <c r="AN615" s="521"/>
    </row>
    <row r="616" spans="1:42" s="474" customFormat="1" ht="12.75" customHeight="1">
      <c r="B616" s="460"/>
      <c r="C616" s="850"/>
      <c r="D616" s="587"/>
      <c r="E616" s="1951"/>
      <c r="F616" s="1951"/>
      <c r="G616" s="1951"/>
      <c r="H616" s="1951"/>
      <c r="I616" s="1951"/>
      <c r="J616" s="1951"/>
      <c r="K616" s="1951"/>
      <c r="L616" s="1951"/>
      <c r="M616" s="1951"/>
      <c r="N616" s="1951"/>
      <c r="O616" s="1951"/>
      <c r="P616" s="1951"/>
      <c r="Q616" s="1951"/>
      <c r="R616" s="1951"/>
      <c r="S616" s="1951"/>
      <c r="T616" s="1951"/>
      <c r="U616" s="1951"/>
      <c r="V616" s="1951"/>
      <c r="W616" s="1951"/>
      <c r="X616" s="1951"/>
      <c r="Y616" s="1951"/>
      <c r="Z616" s="1951"/>
      <c r="AA616" s="1951"/>
      <c r="AB616" s="1951"/>
      <c r="AC616" s="1951"/>
      <c r="AD616" s="1951"/>
      <c r="AE616" s="460"/>
      <c r="AF616" s="460"/>
      <c r="AG616" s="460"/>
      <c r="AH616" s="460"/>
      <c r="AI616" s="460"/>
      <c r="AJ616" s="460"/>
      <c r="AK616" s="460"/>
      <c r="AL616" s="460"/>
      <c r="AN616" s="521"/>
    </row>
    <row r="617" spans="1:42" s="474" customFormat="1" ht="12.75" customHeight="1">
      <c r="B617" s="460"/>
      <c r="C617" s="850"/>
      <c r="D617" s="587"/>
      <c r="E617" s="1951"/>
      <c r="F617" s="1951"/>
      <c r="G617" s="1951"/>
      <c r="H617" s="1951"/>
      <c r="I617" s="1951"/>
      <c r="J617" s="1951"/>
      <c r="K617" s="1951"/>
      <c r="L617" s="1951"/>
      <c r="M617" s="1951"/>
      <c r="N617" s="1951"/>
      <c r="O617" s="1951"/>
      <c r="P617" s="1951"/>
      <c r="Q617" s="1951"/>
      <c r="R617" s="1951"/>
      <c r="S617" s="1951"/>
      <c r="T617" s="1951"/>
      <c r="U617" s="1951"/>
      <c r="V617" s="1951"/>
      <c r="W617" s="1951"/>
      <c r="X617" s="1951"/>
      <c r="Y617" s="1951"/>
      <c r="Z617" s="1951"/>
      <c r="AA617" s="1951"/>
      <c r="AB617" s="1951"/>
      <c r="AC617" s="1951"/>
      <c r="AD617" s="1951"/>
      <c r="AE617" s="460"/>
      <c r="AF617" s="460"/>
      <c r="AG617" s="460"/>
      <c r="AH617" s="460"/>
      <c r="AI617" s="460"/>
      <c r="AJ617" s="460"/>
      <c r="AK617" s="460"/>
      <c r="AL617" s="460"/>
      <c r="AN617" s="521"/>
    </row>
    <row r="618" spans="1:42" s="474" customFormat="1" ht="12.75" customHeight="1">
      <c r="B618" s="460"/>
      <c r="C618" s="850"/>
      <c r="D618" s="587"/>
      <c r="E618" s="1951"/>
      <c r="F618" s="1951"/>
      <c r="G618" s="1951"/>
      <c r="H618" s="1951"/>
      <c r="I618" s="1951"/>
      <c r="J618" s="1951"/>
      <c r="K618" s="1951"/>
      <c r="L618" s="1951"/>
      <c r="M618" s="1951"/>
      <c r="N618" s="1951"/>
      <c r="O618" s="1951"/>
      <c r="P618" s="1951"/>
      <c r="Q618" s="1951"/>
      <c r="R618" s="1951"/>
      <c r="S618" s="1951"/>
      <c r="T618" s="1951"/>
      <c r="U618" s="1951"/>
      <c r="V618" s="1951"/>
      <c r="W618" s="1951"/>
      <c r="X618" s="1951"/>
      <c r="Y618" s="1951"/>
      <c r="Z618" s="1951"/>
      <c r="AA618" s="1951"/>
      <c r="AB618" s="1951"/>
      <c r="AC618" s="1951"/>
      <c r="AD618" s="1951"/>
      <c r="AE618" s="460"/>
      <c r="AF618" s="460"/>
      <c r="AG618" s="460"/>
      <c r="AH618" s="460"/>
      <c r="AI618" s="460"/>
      <c r="AJ618" s="460"/>
      <c r="AK618" s="460"/>
      <c r="AL618" s="460"/>
      <c r="AN618" s="521"/>
    </row>
    <row r="619" spans="1:42" s="474" customFormat="1" ht="12.75" customHeight="1">
      <c r="B619" s="460"/>
      <c r="C619" s="850"/>
      <c r="D619" s="587"/>
      <c r="E619" s="1951"/>
      <c r="F619" s="1951"/>
      <c r="G619" s="1951"/>
      <c r="H619" s="1951"/>
      <c r="I619" s="1951"/>
      <c r="J619" s="1951"/>
      <c r="K619" s="1951"/>
      <c r="L619" s="1951"/>
      <c r="M619" s="1951"/>
      <c r="N619" s="1951"/>
      <c r="O619" s="1951"/>
      <c r="P619" s="1951"/>
      <c r="Q619" s="1951"/>
      <c r="R619" s="1951"/>
      <c r="S619" s="1951"/>
      <c r="T619" s="1951"/>
      <c r="U619" s="1951"/>
      <c r="V619" s="1951"/>
      <c r="W619" s="1951"/>
      <c r="X619" s="1951"/>
      <c r="Y619" s="1951"/>
      <c r="Z619" s="1951"/>
      <c r="AA619" s="1951"/>
      <c r="AB619" s="1951"/>
      <c r="AC619" s="1951"/>
      <c r="AD619" s="1951"/>
      <c r="AE619" s="460"/>
      <c r="AF619" s="460"/>
      <c r="AG619" s="460"/>
      <c r="AH619" s="460"/>
      <c r="AI619" s="460"/>
      <c r="AJ619" s="460"/>
      <c r="AK619" s="460"/>
      <c r="AL619" s="460"/>
      <c r="AN619" s="521"/>
    </row>
    <row r="620" spans="1:42" s="474" customFormat="1" ht="12.75" customHeight="1">
      <c r="A620" s="561"/>
      <c r="B620" s="540"/>
      <c r="C620" s="859"/>
      <c r="D620" s="587"/>
      <c r="E620" s="1951"/>
      <c r="F620" s="1951"/>
      <c r="G620" s="1951"/>
      <c r="H620" s="1951"/>
      <c r="I620" s="1951"/>
      <c r="J620" s="1951"/>
      <c r="K620" s="1951"/>
      <c r="L620" s="1951"/>
      <c r="M620" s="1951"/>
      <c r="N620" s="1951"/>
      <c r="O620" s="1951"/>
      <c r="P620" s="1951"/>
      <c r="Q620" s="1951"/>
      <c r="R620" s="1951"/>
      <c r="S620" s="1951"/>
      <c r="T620" s="1951"/>
      <c r="U620" s="1951"/>
      <c r="V620" s="1951"/>
      <c r="W620" s="1951"/>
      <c r="X620" s="1951"/>
      <c r="Y620" s="1951"/>
      <c r="Z620" s="1951"/>
      <c r="AA620" s="1951"/>
      <c r="AB620" s="1951"/>
      <c r="AC620" s="1951"/>
      <c r="AD620" s="1951"/>
      <c r="AE620" s="540"/>
      <c r="AF620" s="540"/>
      <c r="AG620" s="540"/>
      <c r="AH620" s="540"/>
      <c r="AI620" s="540"/>
      <c r="AJ620" s="540"/>
      <c r="AK620" s="460"/>
      <c r="AL620" s="460"/>
      <c r="AN620" s="521"/>
    </row>
    <row r="621" spans="1:42" s="474" customFormat="1" ht="12.75" customHeight="1">
      <c r="B621" s="540"/>
      <c r="C621" s="859"/>
      <c r="D621" s="587"/>
      <c r="E621" s="1951"/>
      <c r="F621" s="1951"/>
      <c r="G621" s="1951"/>
      <c r="H621" s="1951"/>
      <c r="I621" s="1951"/>
      <c r="J621" s="1951"/>
      <c r="K621" s="1951"/>
      <c r="L621" s="1951"/>
      <c r="M621" s="1951"/>
      <c r="N621" s="1951"/>
      <c r="O621" s="1951"/>
      <c r="P621" s="1951"/>
      <c r="Q621" s="1951"/>
      <c r="R621" s="1951"/>
      <c r="S621" s="1951"/>
      <c r="T621" s="1951"/>
      <c r="U621" s="1951"/>
      <c r="V621" s="1951"/>
      <c r="W621" s="1951"/>
      <c r="X621" s="1951"/>
      <c r="Y621" s="1951"/>
      <c r="Z621" s="1951"/>
      <c r="AA621" s="1951"/>
      <c r="AB621" s="1951"/>
      <c r="AC621" s="1951"/>
      <c r="AD621" s="1951"/>
      <c r="AE621" s="540"/>
      <c r="AF621" s="540"/>
      <c r="AG621" s="540"/>
      <c r="AH621" s="540"/>
      <c r="AI621" s="540"/>
      <c r="AJ621" s="540"/>
      <c r="AK621" s="460"/>
      <c r="AL621" s="460"/>
      <c r="AN621" s="521"/>
    </row>
    <row r="622" spans="1:42" s="474" customFormat="1" ht="12" customHeight="1">
      <c r="B622" s="540"/>
      <c r="C622" s="859"/>
      <c r="D622" s="587"/>
      <c r="E622" s="875"/>
      <c r="F622" s="875"/>
      <c r="G622" s="875"/>
      <c r="H622" s="875"/>
      <c r="I622" s="875"/>
      <c r="J622" s="875"/>
      <c r="K622" s="875"/>
      <c r="L622" s="875"/>
      <c r="M622" s="875"/>
      <c r="N622" s="875"/>
      <c r="O622" s="875"/>
      <c r="P622" s="875"/>
      <c r="Q622" s="875"/>
      <c r="R622" s="875"/>
      <c r="S622" s="875"/>
      <c r="T622" s="875"/>
      <c r="U622" s="875"/>
      <c r="V622" s="875"/>
      <c r="W622" s="875"/>
      <c r="X622" s="875"/>
      <c r="Y622" s="875"/>
      <c r="Z622" s="875"/>
      <c r="AA622" s="875"/>
      <c r="AB622" s="875"/>
      <c r="AC622" s="875"/>
      <c r="AD622" s="875"/>
      <c r="AE622" s="540"/>
      <c r="AF622" s="540"/>
      <c r="AG622" s="540"/>
      <c r="AH622" s="540"/>
      <c r="AI622" s="540"/>
      <c r="AJ622" s="540"/>
      <c r="AK622" s="460"/>
      <c r="AL622" s="460"/>
      <c r="AN622" s="521"/>
      <c r="AO622" s="474" t="s">
        <v>299</v>
      </c>
      <c r="AP622" s="597">
        <v>0</v>
      </c>
    </row>
    <row r="623" spans="1:42" s="474" customFormat="1" ht="12.75" customHeight="1">
      <c r="B623" s="540"/>
      <c r="C623" s="850"/>
      <c r="D623" s="587"/>
      <c r="E623" s="540" t="s">
        <v>2322</v>
      </c>
      <c r="F623" s="860"/>
      <c r="G623" s="860"/>
      <c r="H623" s="860"/>
      <c r="I623" s="860"/>
      <c r="J623" s="860"/>
      <c r="K623" s="860"/>
      <c r="L623" s="860"/>
      <c r="M623" s="860"/>
      <c r="N623" s="860"/>
      <c r="O623" s="860"/>
      <c r="P623" s="860"/>
      <c r="Q623" s="860"/>
      <c r="R623" s="860"/>
      <c r="U623" s="860"/>
      <c r="V623" s="860"/>
      <c r="W623" s="860"/>
      <c r="X623" s="1950" t="s">
        <v>299</v>
      </c>
      <c r="Y623" s="1950"/>
      <c r="Z623" s="860"/>
      <c r="AA623" s="860"/>
      <c r="AB623" s="860"/>
      <c r="AC623" s="860"/>
      <c r="AD623" s="860"/>
      <c r="AE623" s="460"/>
      <c r="AF623" s="540"/>
      <c r="AG623" s="540"/>
      <c r="AH623" s="540"/>
      <c r="AI623" s="540"/>
      <c r="AJ623" s="540"/>
      <c r="AK623" s="460"/>
      <c r="AL623" s="460"/>
      <c r="AN623" s="521"/>
      <c r="AO623" s="535" t="s">
        <v>21</v>
      </c>
      <c r="AP623" s="474">
        <v>5</v>
      </c>
    </row>
    <row r="624" spans="1:42" s="474" customFormat="1" ht="12.75" customHeight="1">
      <c r="B624" s="540"/>
      <c r="C624" s="859"/>
      <c r="D624" s="460"/>
      <c r="E624" s="460"/>
      <c r="F624" s="460"/>
      <c r="G624" s="460"/>
      <c r="H624" s="460"/>
      <c r="I624" s="460"/>
      <c r="J624" s="460"/>
      <c r="K624" s="460"/>
      <c r="L624" s="460"/>
      <c r="M624" s="460"/>
      <c r="N624" s="460"/>
      <c r="O624" s="460"/>
      <c r="P624" s="460"/>
      <c r="Q624" s="460"/>
      <c r="R624" s="460"/>
      <c r="S624" s="460"/>
      <c r="T624" s="460"/>
      <c r="U624" s="460"/>
      <c r="V624" s="460"/>
      <c r="W624" s="540"/>
      <c r="X624" s="540"/>
      <c r="Y624" s="540"/>
      <c r="Z624" s="540"/>
      <c r="AA624" s="540"/>
      <c r="AB624" s="540"/>
      <c r="AC624" s="460"/>
      <c r="AD624" s="460"/>
      <c r="AE624" s="460"/>
      <c r="AF624" s="460"/>
      <c r="AG624" s="460"/>
      <c r="AH624" s="460"/>
      <c r="AI624" s="460"/>
      <c r="AJ624" s="460"/>
      <c r="AK624" s="460"/>
      <c r="AL624" s="460"/>
      <c r="AN624" s="521"/>
      <c r="AO624" s="535" t="s">
        <v>26</v>
      </c>
      <c r="AP624" s="604">
        <v>4</v>
      </c>
    </row>
    <row r="625" spans="1:42" s="474" customFormat="1" ht="12.75" customHeight="1">
      <c r="B625" s="460"/>
      <c r="C625" s="850"/>
      <c r="D625" s="587" t="s">
        <v>26</v>
      </c>
      <c r="E625" s="479" t="s">
        <v>2323</v>
      </c>
      <c r="F625" s="861"/>
      <c r="G625" s="861"/>
      <c r="H625" s="861"/>
      <c r="I625" s="861"/>
      <c r="J625" s="861"/>
      <c r="K625" s="861"/>
      <c r="L625" s="861"/>
      <c r="M625" s="861"/>
      <c r="N625" s="861"/>
      <c r="O625" s="861"/>
      <c r="P625" s="861"/>
      <c r="Q625" s="861"/>
      <c r="R625" s="861"/>
      <c r="S625" s="861"/>
      <c r="T625" s="861"/>
      <c r="U625" s="460"/>
      <c r="V625" s="460"/>
      <c r="W625" s="861"/>
      <c r="X625" s="861"/>
      <c r="Y625" s="861"/>
      <c r="Z625" s="861"/>
      <c r="AA625" s="861"/>
      <c r="AB625" s="861"/>
      <c r="AC625" s="460"/>
      <c r="AD625" s="460"/>
      <c r="AE625" s="460"/>
      <c r="AF625" s="1914" t="s">
        <v>2324</v>
      </c>
      <c r="AG625" s="1914"/>
      <c r="AH625" s="1914"/>
      <c r="AI625" s="1914"/>
      <c r="AJ625" s="1914"/>
      <c r="AK625" s="1914"/>
      <c r="AL625" s="1914"/>
      <c r="AN625" s="521"/>
      <c r="AO625" s="535" t="s">
        <v>48</v>
      </c>
      <c r="AP625" s="474">
        <v>3</v>
      </c>
    </row>
    <row r="626" spans="1:42" s="474" customFormat="1" ht="12.75" customHeight="1">
      <c r="B626" s="460"/>
      <c r="C626" s="850"/>
      <c r="D626" s="460"/>
      <c r="E626" s="460"/>
      <c r="F626" s="861"/>
      <c r="G626" s="861"/>
      <c r="H626" s="861"/>
      <c r="I626" s="861"/>
      <c r="J626" s="861"/>
      <c r="K626" s="861"/>
      <c r="L626" s="861"/>
      <c r="M626" s="861"/>
      <c r="N626" s="861"/>
      <c r="O626" s="861"/>
      <c r="P626" s="861"/>
      <c r="Q626" s="861"/>
      <c r="R626" s="861"/>
      <c r="S626" s="861"/>
      <c r="T626" s="861"/>
      <c r="U626" s="460"/>
      <c r="V626" s="460"/>
      <c r="W626" s="460"/>
      <c r="X626" s="861"/>
      <c r="Y626" s="861"/>
      <c r="Z626" s="861"/>
      <c r="AA626" s="861"/>
      <c r="AB626" s="861"/>
      <c r="AC626" s="460"/>
      <c r="AD626" s="460"/>
      <c r="AE626" s="460"/>
      <c r="AF626" s="460"/>
      <c r="AG626" s="460"/>
      <c r="AH626" s="460"/>
      <c r="AI626" s="460"/>
      <c r="AJ626" s="460"/>
      <c r="AK626" s="460"/>
      <c r="AL626" s="460"/>
      <c r="AN626" s="521"/>
      <c r="AO626" s="535" t="s">
        <v>2294</v>
      </c>
      <c r="AP626" s="604">
        <v>4</v>
      </c>
    </row>
    <row r="627" spans="1:42" s="474" customFormat="1" ht="12.75" customHeight="1">
      <c r="B627" s="460"/>
      <c r="C627" s="850"/>
      <c r="D627" s="460" t="s">
        <v>2310</v>
      </c>
      <c r="E627" s="855"/>
      <c r="F627" s="855"/>
      <c r="G627" s="855"/>
      <c r="H627" s="1858" t="s">
        <v>21</v>
      </c>
      <c r="I627" s="1858"/>
      <c r="J627" s="861"/>
      <c r="K627" s="861"/>
      <c r="L627" s="861"/>
      <c r="M627" s="861"/>
      <c r="N627" s="861"/>
      <c r="O627" s="861"/>
      <c r="P627" s="861"/>
      <c r="Q627" s="861"/>
      <c r="R627" s="861"/>
      <c r="S627" s="861"/>
      <c r="T627" s="861"/>
      <c r="U627" s="855"/>
      <c r="V627" s="855"/>
      <c r="W627" s="855"/>
      <c r="X627" s="460"/>
      <c r="Y627" s="460"/>
      <c r="Z627" s="460"/>
      <c r="AA627" s="460"/>
      <c r="AB627" s="460"/>
      <c r="AC627" s="460"/>
      <c r="AD627" s="460"/>
      <c r="AE627" s="460"/>
      <c r="AF627" s="460"/>
      <c r="AG627" s="460"/>
      <c r="AH627" s="460"/>
      <c r="AI627" s="460"/>
      <c r="AJ627" s="460"/>
      <c r="AK627" s="460"/>
      <c r="AL627" s="460"/>
      <c r="AN627" s="521"/>
      <c r="AO627" s="535" t="s">
        <v>2297</v>
      </c>
      <c r="AP627" s="474">
        <v>3</v>
      </c>
    </row>
    <row r="628" spans="1:42" s="474" customFormat="1" ht="12.75" customHeight="1">
      <c r="B628" s="460"/>
      <c r="C628" s="850"/>
      <c r="D628" s="460"/>
      <c r="E628" s="855"/>
      <c r="F628" s="861"/>
      <c r="G628" s="861"/>
      <c r="H628" s="861"/>
      <c r="I628" s="862"/>
      <c r="J628" s="861"/>
      <c r="K628" s="861"/>
      <c r="L628" s="861"/>
      <c r="M628" s="861"/>
      <c r="N628" s="861"/>
      <c r="O628" s="861"/>
      <c r="P628" s="861"/>
      <c r="Q628" s="861"/>
      <c r="R628" s="460"/>
      <c r="S628" s="460"/>
      <c r="T628" s="861"/>
      <c r="U628" s="855"/>
      <c r="V628" s="855"/>
      <c r="W628" s="855"/>
      <c r="X628" s="855"/>
      <c r="Y628" s="855"/>
      <c r="Z628" s="855"/>
      <c r="AA628" s="855"/>
      <c r="AB628" s="855"/>
      <c r="AC628" s="460"/>
      <c r="AD628" s="460"/>
      <c r="AE628" s="460"/>
      <c r="AF628" s="460"/>
      <c r="AG628" s="460"/>
      <c r="AH628" s="460"/>
      <c r="AI628" s="861"/>
      <c r="AJ628" s="861"/>
      <c r="AK628" s="861"/>
      <c r="AL628" s="861"/>
      <c r="AM628" s="605"/>
      <c r="AN628" s="521"/>
      <c r="AO628" s="535" t="s">
        <v>2325</v>
      </c>
      <c r="AP628" s="474">
        <v>2</v>
      </c>
    </row>
    <row r="629" spans="1:42" s="474" customFormat="1" ht="12.75" customHeight="1">
      <c r="A629" s="530"/>
      <c r="B629" s="525"/>
      <c r="C629" s="863"/>
      <c r="D629" s="525"/>
      <c r="E629" s="858"/>
      <c r="F629" s="858"/>
      <c r="G629" s="864"/>
      <c r="H629" s="864"/>
      <c r="I629" s="864"/>
      <c r="J629" s="864"/>
      <c r="K629" s="864"/>
      <c r="L629" s="864"/>
      <c r="M629" s="864"/>
      <c r="N629" s="864"/>
      <c r="O629" s="864"/>
      <c r="P629" s="864"/>
      <c r="Q629" s="864"/>
      <c r="R629" s="864"/>
      <c r="S629" s="864"/>
      <c r="T629" s="858"/>
      <c r="U629" s="858"/>
      <c r="V629" s="858"/>
      <c r="W629" s="858"/>
      <c r="X629" s="858"/>
      <c r="Y629" s="858"/>
      <c r="Z629" s="858"/>
      <c r="AA629" s="858"/>
      <c r="AB629" s="525"/>
      <c r="AC629" s="525"/>
      <c r="AD629" s="525"/>
      <c r="AE629" s="525"/>
      <c r="AF629" s="525"/>
      <c r="AG629" s="525"/>
      <c r="AH629" s="525"/>
      <c r="AI629" s="489" t="s">
        <v>2326</v>
      </c>
      <c r="AJ629" s="1841">
        <f>VLOOKUP($H$627,$AO$594:$AP$596,2,FALSE)</f>
        <v>3</v>
      </c>
      <c r="AK629" s="1843"/>
      <c r="AL629" s="519"/>
      <c r="AN629" s="521"/>
      <c r="AO629" s="535" t="s">
        <v>2327</v>
      </c>
      <c r="AP629" s="474">
        <v>1</v>
      </c>
    </row>
    <row r="630" spans="1:42" s="474" customFormat="1" ht="12.75" customHeight="1">
      <c r="B630" s="460"/>
      <c r="C630" s="850"/>
      <c r="D630" s="460"/>
      <c r="E630" s="855"/>
      <c r="F630" s="855"/>
      <c r="G630" s="855"/>
      <c r="H630" s="460"/>
      <c r="I630" s="460"/>
      <c r="J630" s="861"/>
      <c r="K630" s="861"/>
      <c r="L630" s="861"/>
      <c r="M630" s="861"/>
      <c r="N630" s="861"/>
      <c r="O630" s="861"/>
      <c r="P630" s="861"/>
      <c r="Q630" s="861"/>
      <c r="R630" s="861"/>
      <c r="S630" s="861"/>
      <c r="T630" s="861"/>
      <c r="U630" s="855"/>
      <c r="V630" s="855"/>
      <c r="W630" s="855"/>
      <c r="X630" s="855"/>
      <c r="Y630" s="855"/>
      <c r="Z630" s="855"/>
      <c r="AA630" s="855"/>
      <c r="AB630" s="855"/>
      <c r="AC630" s="460"/>
      <c r="AD630" s="460"/>
      <c r="AE630" s="460"/>
      <c r="AF630" s="460"/>
      <c r="AG630" s="460"/>
      <c r="AH630" s="460"/>
      <c r="AI630" s="460"/>
      <c r="AJ630" s="467"/>
      <c r="AK630" s="460"/>
      <c r="AL630" s="460"/>
      <c r="AN630" s="521"/>
    </row>
    <row r="631" spans="1:42" s="474" customFormat="1" ht="12.75" customHeight="1">
      <c r="B631" s="460"/>
      <c r="C631" s="463" t="s">
        <v>2328</v>
      </c>
      <c r="D631" s="460"/>
      <c r="E631" s="855"/>
      <c r="F631" s="861"/>
      <c r="G631" s="861"/>
      <c r="H631" s="861"/>
      <c r="I631" s="861"/>
      <c r="J631" s="861"/>
      <c r="K631" s="861"/>
      <c r="L631" s="861"/>
      <c r="M631" s="861"/>
      <c r="N631" s="861"/>
      <c r="O631" s="861"/>
      <c r="P631" s="861"/>
      <c r="Q631" s="861"/>
      <c r="R631" s="861"/>
      <c r="S631" s="861"/>
      <c r="T631" s="861"/>
      <c r="U631" s="460"/>
      <c r="V631" s="460"/>
      <c r="W631" s="861"/>
      <c r="X631" s="861"/>
      <c r="Y631" s="861"/>
      <c r="Z631" s="861"/>
      <c r="AA631" s="861"/>
      <c r="AB631" s="861"/>
      <c r="AC631" s="518"/>
      <c r="AD631" s="518"/>
      <c r="AE631" s="518"/>
      <c r="AF631" s="518"/>
      <c r="AG631" s="518"/>
      <c r="AH631" s="518"/>
      <c r="AI631" s="518"/>
      <c r="AJ631" s="460"/>
      <c r="AK631" s="460"/>
      <c r="AL631" s="460"/>
      <c r="AN631" s="521"/>
    </row>
    <row r="632" spans="1:42" s="474" customFormat="1" ht="12.75" customHeight="1">
      <c r="A632" s="561"/>
      <c r="B632" s="460"/>
      <c r="C632" s="852"/>
      <c r="D632" s="460"/>
      <c r="E632" s="861"/>
      <c r="F632" s="861"/>
      <c r="G632" s="861"/>
      <c r="H632" s="861"/>
      <c r="I632" s="861"/>
      <c r="J632" s="861"/>
      <c r="K632" s="861"/>
      <c r="L632" s="861"/>
      <c r="M632" s="861"/>
      <c r="N632" s="861"/>
      <c r="O632" s="861"/>
      <c r="P632" s="861"/>
      <c r="Q632" s="861"/>
      <c r="R632" s="861"/>
      <c r="S632" s="861"/>
      <c r="T632" s="861"/>
      <c r="U632" s="861"/>
      <c r="V632" s="861"/>
      <c r="W632" s="861"/>
      <c r="X632" s="861"/>
      <c r="Y632" s="861"/>
      <c r="Z632" s="861"/>
      <c r="AA632" s="861"/>
      <c r="AB632" s="861"/>
      <c r="AC632" s="460"/>
      <c r="AD632" s="460"/>
      <c r="AE632" s="460"/>
      <c r="AF632" s="460"/>
      <c r="AG632" s="460"/>
      <c r="AH632" s="460"/>
      <c r="AI632" s="460"/>
      <c r="AJ632" s="460"/>
      <c r="AK632" s="460"/>
      <c r="AL632" s="460"/>
      <c r="AN632" s="521"/>
    </row>
    <row r="633" spans="1:42" s="474" customFormat="1" ht="12.75" customHeight="1">
      <c r="B633" s="460"/>
      <c r="C633" s="460"/>
      <c r="D633" s="587" t="s">
        <v>21</v>
      </c>
      <c r="E633" s="1834" t="s">
        <v>2329</v>
      </c>
      <c r="F633" s="1834"/>
      <c r="G633" s="1834"/>
      <c r="H633" s="1834"/>
      <c r="I633" s="1834"/>
      <c r="J633" s="1834"/>
      <c r="K633" s="1834"/>
      <c r="L633" s="1834"/>
      <c r="M633" s="1834"/>
      <c r="N633" s="1834"/>
      <c r="O633" s="1834"/>
      <c r="P633" s="1834"/>
      <c r="Q633" s="1834"/>
      <c r="R633" s="1834"/>
      <c r="S633" s="1834"/>
      <c r="T633" s="1834"/>
      <c r="U633" s="1834"/>
      <c r="V633" s="1834"/>
      <c r="W633" s="1834"/>
      <c r="X633" s="1834"/>
      <c r="Y633" s="1834"/>
      <c r="Z633" s="1834"/>
      <c r="AA633" s="1834"/>
      <c r="AB633" s="1834"/>
      <c r="AC633" s="1834"/>
      <c r="AD633" s="1834"/>
      <c r="AE633" s="460"/>
      <c r="AF633" s="1914" t="s">
        <v>2034</v>
      </c>
      <c r="AG633" s="1914"/>
      <c r="AH633" s="1914"/>
      <c r="AI633" s="1914"/>
      <c r="AJ633" s="1914"/>
      <c r="AK633" s="1914"/>
      <c r="AL633" s="1914"/>
      <c r="AN633" s="521"/>
    </row>
    <row r="634" spans="1:42" s="474" customFormat="1" ht="12.75" customHeight="1">
      <c r="B634" s="460"/>
      <c r="C634" s="460"/>
      <c r="D634" s="587"/>
      <c r="E634" s="1834"/>
      <c r="F634" s="1834"/>
      <c r="G634" s="1834"/>
      <c r="H634" s="1834"/>
      <c r="I634" s="1834"/>
      <c r="J634" s="1834"/>
      <c r="K634" s="1834"/>
      <c r="L634" s="1834"/>
      <c r="M634" s="1834"/>
      <c r="N634" s="1834"/>
      <c r="O634" s="1834"/>
      <c r="P634" s="1834"/>
      <c r="Q634" s="1834"/>
      <c r="R634" s="1834"/>
      <c r="S634" s="1834"/>
      <c r="T634" s="1834"/>
      <c r="U634" s="1834"/>
      <c r="V634" s="1834"/>
      <c r="W634" s="1834"/>
      <c r="X634" s="1834"/>
      <c r="Y634" s="1834"/>
      <c r="Z634" s="1834"/>
      <c r="AA634" s="1834"/>
      <c r="AB634" s="1834"/>
      <c r="AC634" s="1834"/>
      <c r="AD634" s="1834"/>
      <c r="AE634" s="518"/>
      <c r="AF634" s="518"/>
      <c r="AG634" s="518"/>
      <c r="AH634" s="518"/>
      <c r="AI634" s="518"/>
      <c r="AJ634" s="518"/>
      <c r="AK634" s="518"/>
      <c r="AL634" s="518"/>
      <c r="AN634" s="521"/>
    </row>
    <row r="635" spans="1:42" s="474" customFormat="1" ht="12.75" customHeight="1">
      <c r="B635" s="540"/>
      <c r="C635" s="859"/>
      <c r="D635" s="587"/>
      <c r="E635" s="540"/>
      <c r="F635" s="540"/>
      <c r="G635" s="540"/>
      <c r="H635" s="540"/>
      <c r="I635" s="540"/>
      <c r="J635" s="540"/>
      <c r="K635" s="540"/>
      <c r="L635" s="540"/>
      <c r="M635" s="540"/>
      <c r="N635" s="540"/>
      <c r="O635" s="540"/>
      <c r="P635" s="540"/>
      <c r="Q635" s="540"/>
      <c r="R635" s="540"/>
      <c r="S635" s="540"/>
      <c r="T635" s="540"/>
      <c r="U635" s="540"/>
      <c r="V635" s="540"/>
      <c r="W635" s="540"/>
      <c r="X635" s="540"/>
      <c r="Y635" s="540"/>
      <c r="Z635" s="540"/>
      <c r="AA635" s="540"/>
      <c r="AB635" s="540"/>
      <c r="AC635" s="460"/>
      <c r="AD635" s="460"/>
      <c r="AE635" s="540"/>
      <c r="AF635" s="460"/>
      <c r="AG635" s="460"/>
      <c r="AH635" s="460"/>
      <c r="AI635" s="460"/>
      <c r="AJ635" s="460"/>
      <c r="AK635" s="460"/>
      <c r="AL635" s="460"/>
      <c r="AN635" s="521"/>
    </row>
    <row r="636" spans="1:42" s="474" customFormat="1" ht="12.75" customHeight="1">
      <c r="B636" s="460"/>
      <c r="C636" s="850"/>
      <c r="D636" s="587" t="s">
        <v>26</v>
      </c>
      <c r="E636" s="540" t="s">
        <v>2330</v>
      </c>
      <c r="F636" s="540"/>
      <c r="G636" s="540"/>
      <c r="H636" s="540"/>
      <c r="I636" s="540"/>
      <c r="J636" s="540"/>
      <c r="K636" s="540"/>
      <c r="L636" s="540"/>
      <c r="M636" s="540"/>
      <c r="N636" s="540"/>
      <c r="O636" s="540"/>
      <c r="P636" s="540"/>
      <c r="Q636" s="540"/>
      <c r="R636" s="540"/>
      <c r="S636" s="540"/>
      <c r="T636" s="540"/>
      <c r="U636" s="540"/>
      <c r="V636" s="540"/>
      <c r="W636" s="540"/>
      <c r="X636" s="540"/>
      <c r="Y636" s="540"/>
      <c r="Z636" s="540"/>
      <c r="AA636" s="540"/>
      <c r="AB636" s="540"/>
      <c r="AC636" s="460"/>
      <c r="AD636" s="460"/>
      <c r="AE636" s="460"/>
      <c r="AF636" s="1914" t="s">
        <v>2324</v>
      </c>
      <c r="AG636" s="1914"/>
      <c r="AH636" s="1914"/>
      <c r="AI636" s="1914"/>
      <c r="AJ636" s="1914"/>
      <c r="AK636" s="1914"/>
      <c r="AL636" s="1914"/>
      <c r="AN636" s="521"/>
    </row>
    <row r="637" spans="1:42" s="474" customFormat="1" ht="12.75" customHeight="1">
      <c r="B637" s="460"/>
      <c r="C637" s="850"/>
      <c r="D637" s="587"/>
      <c r="E637" s="540" t="s">
        <v>2331</v>
      </c>
      <c r="F637" s="540"/>
      <c r="G637" s="540"/>
      <c r="H637" s="540"/>
      <c r="I637" s="540"/>
      <c r="J637" s="540"/>
      <c r="K637" s="540"/>
      <c r="L637" s="540"/>
      <c r="M637" s="540"/>
      <c r="N637" s="540"/>
      <c r="O637" s="540"/>
      <c r="P637" s="540"/>
      <c r="Q637" s="540"/>
      <c r="R637" s="540"/>
      <c r="S637" s="540"/>
      <c r="T637" s="540"/>
      <c r="U637" s="540"/>
      <c r="V637" s="540"/>
      <c r="W637" s="540"/>
      <c r="X637" s="540"/>
      <c r="Y637" s="540"/>
      <c r="Z637" s="540"/>
      <c r="AA637" s="540"/>
      <c r="AB637" s="540"/>
      <c r="AC637" s="460"/>
      <c r="AD637" s="460"/>
      <c r="AE637" s="518"/>
      <c r="AF637" s="518"/>
      <c r="AG637" s="518"/>
      <c r="AH637" s="518"/>
      <c r="AI637" s="518"/>
      <c r="AJ637" s="518"/>
      <c r="AK637" s="518"/>
      <c r="AL637" s="518"/>
      <c r="AN637" s="521"/>
    </row>
    <row r="638" spans="1:42" s="474" customFormat="1" ht="12.75" customHeight="1">
      <c r="B638" s="460"/>
      <c r="C638" s="850"/>
      <c r="D638" s="460"/>
      <c r="E638" s="540"/>
      <c r="F638" s="540"/>
      <c r="G638" s="540"/>
      <c r="H638" s="540"/>
      <c r="I638" s="540"/>
      <c r="J638" s="540"/>
      <c r="K638" s="540"/>
      <c r="L638" s="540"/>
      <c r="M638" s="540"/>
      <c r="N638" s="540"/>
      <c r="O638" s="540"/>
      <c r="P638" s="540"/>
      <c r="Q638" s="540"/>
      <c r="R638" s="540"/>
      <c r="S638" s="540"/>
      <c r="T638" s="540"/>
      <c r="U638" s="540"/>
      <c r="V638" s="540"/>
      <c r="W638" s="540"/>
      <c r="X638" s="540"/>
      <c r="Y638" s="540"/>
      <c r="Z638" s="540"/>
      <c r="AA638" s="540"/>
      <c r="AB638" s="540"/>
      <c r="AC638" s="460"/>
      <c r="AD638" s="460"/>
      <c r="AE638" s="460"/>
      <c r="AF638" s="460"/>
      <c r="AG638" s="460"/>
      <c r="AH638" s="460"/>
      <c r="AI638" s="460"/>
      <c r="AJ638" s="460"/>
      <c r="AK638" s="460"/>
      <c r="AL638" s="460"/>
      <c r="AN638" s="521"/>
      <c r="AP638" s="604"/>
    </row>
    <row r="639" spans="1:42" s="474" customFormat="1" ht="12.75" customHeight="1">
      <c r="B639" s="460"/>
      <c r="C639" s="850"/>
      <c r="D639" s="460" t="s">
        <v>2310</v>
      </c>
      <c r="E639" s="855"/>
      <c r="F639" s="855"/>
      <c r="G639" s="855"/>
      <c r="H639" s="1858" t="s">
        <v>26</v>
      </c>
      <c r="I639" s="1858"/>
      <c r="J639" s="540"/>
      <c r="K639" s="540"/>
      <c r="L639" s="540"/>
      <c r="M639" s="540"/>
      <c r="N639" s="540"/>
      <c r="O639" s="540"/>
      <c r="P639" s="540"/>
      <c r="Q639" s="540"/>
      <c r="R639" s="540"/>
      <c r="S639" s="540"/>
      <c r="T639" s="540"/>
      <c r="U639" s="540"/>
      <c r="V639" s="540"/>
      <c r="W639" s="460"/>
      <c r="X639" s="460"/>
      <c r="Y639" s="460"/>
      <c r="Z639" s="460"/>
      <c r="AA639" s="460"/>
      <c r="AB639" s="460"/>
      <c r="AC639" s="460"/>
      <c r="AD639" s="460"/>
      <c r="AE639" s="460"/>
      <c r="AF639" s="460"/>
      <c r="AG639" s="460"/>
      <c r="AH639" s="460"/>
      <c r="AI639" s="460"/>
      <c r="AJ639" s="460"/>
      <c r="AK639" s="460"/>
      <c r="AL639" s="460"/>
      <c r="AN639" s="521"/>
    </row>
    <row r="640" spans="1:42" s="474" customFormat="1" ht="12.75" customHeight="1">
      <c r="B640" s="460"/>
      <c r="C640" s="850"/>
      <c r="D640" s="460"/>
      <c r="E640" s="855"/>
      <c r="F640" s="855"/>
      <c r="G640" s="540"/>
      <c r="H640" s="540"/>
      <c r="I640" s="540"/>
      <c r="J640" s="540"/>
      <c r="K640" s="540"/>
      <c r="L640" s="540"/>
      <c r="M640" s="540"/>
      <c r="N640" s="540"/>
      <c r="O640" s="540"/>
      <c r="P640" s="540"/>
      <c r="Q640" s="540"/>
      <c r="R640" s="540"/>
      <c r="S640" s="540"/>
      <c r="T640" s="540"/>
      <c r="U640" s="540"/>
      <c r="V640" s="540"/>
      <c r="W640" s="540"/>
      <c r="X640" s="540"/>
      <c r="Y640" s="540"/>
      <c r="Z640" s="855"/>
      <c r="AA640" s="855"/>
      <c r="AB640" s="855"/>
      <c r="AC640" s="460"/>
      <c r="AD640" s="460"/>
      <c r="AE640" s="460"/>
      <c r="AF640" s="460"/>
      <c r="AG640" s="460"/>
      <c r="AH640" s="460"/>
      <c r="AI640" s="460"/>
      <c r="AJ640" s="540"/>
      <c r="AK640" s="540"/>
      <c r="AL640" s="540"/>
      <c r="AM640" s="475"/>
      <c r="AN640" s="521"/>
    </row>
    <row r="641" spans="1:42" s="474" customFormat="1" ht="12.75" customHeight="1">
      <c r="A641" s="530"/>
      <c r="B641" s="525"/>
      <c r="C641" s="863"/>
      <c r="D641" s="525"/>
      <c r="E641" s="858"/>
      <c r="F641" s="858"/>
      <c r="G641" s="589"/>
      <c r="H641" s="589"/>
      <c r="I641" s="589"/>
      <c r="J641" s="589"/>
      <c r="K641" s="589"/>
      <c r="L641" s="589"/>
      <c r="M641" s="589"/>
      <c r="N641" s="589"/>
      <c r="O641" s="589"/>
      <c r="P641" s="589"/>
      <c r="Q641" s="589"/>
      <c r="R641" s="589"/>
      <c r="S641" s="589"/>
      <c r="T641" s="589"/>
      <c r="U641" s="589"/>
      <c r="V641" s="589"/>
      <c r="W641" s="589"/>
      <c r="X641" s="589"/>
      <c r="Y641" s="858"/>
      <c r="Z641" s="858"/>
      <c r="AA641" s="858"/>
      <c r="AB641" s="525"/>
      <c r="AC641" s="525"/>
      <c r="AD641" s="525"/>
      <c r="AE641" s="525"/>
      <c r="AF641" s="525"/>
      <c r="AG641" s="525"/>
      <c r="AH641" s="525"/>
      <c r="AI641" s="489" t="s">
        <v>2332</v>
      </c>
      <c r="AJ641" s="1841">
        <f>VLOOKUP(H639,AT594:AU596,2,FALSE)</f>
        <v>2</v>
      </c>
      <c r="AK641" s="1843"/>
      <c r="AL641" s="519"/>
      <c r="AN641" s="521"/>
    </row>
    <row r="642" spans="1:42" s="474" customFormat="1" ht="12.75" customHeight="1">
      <c r="B642" s="460"/>
      <c r="C642" s="850"/>
      <c r="D642" s="460"/>
      <c r="E642" s="460"/>
      <c r="F642" s="460"/>
      <c r="G642" s="460"/>
      <c r="H642" s="460"/>
      <c r="I642" s="460"/>
      <c r="J642" s="460"/>
      <c r="K642" s="460"/>
      <c r="L642" s="460"/>
      <c r="M642" s="460"/>
      <c r="N642" s="460"/>
      <c r="O642" s="460"/>
      <c r="P642" s="460"/>
      <c r="Q642" s="460"/>
      <c r="R642" s="460"/>
      <c r="S642" s="460"/>
      <c r="T642" s="460"/>
      <c r="U642" s="460"/>
      <c r="V642" s="460"/>
      <c r="W642" s="460"/>
      <c r="X642" s="460"/>
      <c r="Y642" s="460"/>
      <c r="Z642" s="460"/>
      <c r="AA642" s="460"/>
      <c r="AB642" s="460"/>
      <c r="AC642" s="460"/>
      <c r="AD642" s="460"/>
      <c r="AE642" s="460"/>
      <c r="AF642" s="460"/>
      <c r="AG642" s="460"/>
      <c r="AH642" s="460"/>
      <c r="AI642" s="460"/>
      <c r="AJ642" s="460"/>
      <c r="AK642" s="460"/>
      <c r="AL642" s="460"/>
      <c r="AN642" s="521"/>
    </row>
    <row r="643" spans="1:42" s="474" customFormat="1" ht="12.75" customHeight="1">
      <c r="B643" s="460"/>
      <c r="C643" s="463" t="s">
        <v>2333</v>
      </c>
      <c r="D643" s="460"/>
      <c r="E643" s="460"/>
      <c r="F643" s="460"/>
      <c r="G643" s="460"/>
      <c r="H643" s="460"/>
      <c r="I643" s="460"/>
      <c r="J643" s="460"/>
      <c r="K643" s="460"/>
      <c r="L643" s="460"/>
      <c r="M643" s="460"/>
      <c r="N643" s="460"/>
      <c r="O643" s="460"/>
      <c r="P643" s="460"/>
      <c r="Q643" s="460"/>
      <c r="R643" s="460"/>
      <c r="S643" s="460"/>
      <c r="T643" s="460"/>
      <c r="U643" s="460"/>
      <c r="V643" s="460"/>
      <c r="W643" s="460"/>
      <c r="X643" s="460"/>
      <c r="Y643" s="460"/>
      <c r="Z643" s="460"/>
      <c r="AA643" s="460"/>
      <c r="AB643" s="460"/>
      <c r="AC643" s="460"/>
      <c r="AD643" s="460"/>
      <c r="AE643" s="460"/>
      <c r="AF643" s="460"/>
      <c r="AG643" s="460"/>
      <c r="AH643" s="460"/>
      <c r="AI643" s="460"/>
      <c r="AJ643" s="460"/>
      <c r="AK643" s="460"/>
      <c r="AL643" s="460"/>
      <c r="AN643" s="521"/>
    </row>
    <row r="644" spans="1:42" s="474" customFormat="1" ht="12.75" customHeight="1">
      <c r="B644" s="460"/>
      <c r="C644" s="463"/>
      <c r="D644" s="606" t="s">
        <v>2334</v>
      </c>
      <c r="E644" s="460"/>
      <c r="F644" s="460"/>
      <c r="G644" s="460"/>
      <c r="H644" s="460"/>
      <c r="I644" s="460"/>
      <c r="J644" s="460"/>
      <c r="K644" s="460"/>
      <c r="L644" s="460"/>
      <c r="M644" s="460"/>
      <c r="N644" s="460"/>
      <c r="O644" s="460"/>
      <c r="P644" s="460"/>
      <c r="Q644" s="460"/>
      <c r="R644" s="460"/>
      <c r="S644" s="460"/>
      <c r="T644" s="460"/>
      <c r="U644" s="460"/>
      <c r="V644" s="460"/>
      <c r="W644" s="460"/>
      <c r="X644" s="460"/>
      <c r="Y644" s="460"/>
      <c r="Z644" s="460"/>
      <c r="AA644" s="460"/>
      <c r="AB644" s="460"/>
      <c r="AC644" s="460"/>
      <c r="AD644" s="460"/>
      <c r="AE644" s="460"/>
      <c r="AF644" s="460"/>
      <c r="AG644" s="460"/>
      <c r="AH644" s="460"/>
      <c r="AI644" s="460"/>
      <c r="AJ644" s="460"/>
      <c r="AK644" s="460"/>
      <c r="AL644" s="460"/>
      <c r="AN644" s="521"/>
    </row>
    <row r="645" spans="1:42" s="474" customFormat="1" ht="12.75" customHeight="1">
      <c r="B645" s="460"/>
      <c r="C645" s="463"/>
      <c r="D645" s="460"/>
      <c r="E645" s="460"/>
      <c r="F645" s="460"/>
      <c r="G645" s="460"/>
      <c r="H645" s="460"/>
      <c r="I645" s="460"/>
      <c r="J645" s="460"/>
      <c r="K645" s="460"/>
      <c r="L645" s="460"/>
      <c r="M645" s="460"/>
      <c r="N645" s="460"/>
      <c r="O645" s="460"/>
      <c r="P645" s="460"/>
      <c r="Q645" s="460"/>
      <c r="R645" s="460"/>
      <c r="S645" s="460"/>
      <c r="T645" s="460"/>
      <c r="U645" s="460"/>
      <c r="V645" s="460"/>
      <c r="W645" s="460"/>
      <c r="X645" s="460"/>
      <c r="Y645" s="460"/>
      <c r="Z645" s="460"/>
      <c r="AA645" s="460"/>
      <c r="AB645" s="460"/>
      <c r="AC645" s="460"/>
      <c r="AD645" s="460"/>
      <c r="AE645" s="460"/>
      <c r="AF645" s="460"/>
      <c r="AG645" s="460"/>
      <c r="AH645" s="460"/>
      <c r="AI645" s="460"/>
      <c r="AJ645" s="460"/>
      <c r="AK645" s="460"/>
      <c r="AL645" s="460"/>
      <c r="AN645" s="521"/>
    </row>
    <row r="646" spans="1:42" s="474" customFormat="1" ht="12.75" customHeight="1">
      <c r="B646" s="460"/>
      <c r="C646" s="463"/>
      <c r="D646" s="587" t="s">
        <v>21</v>
      </c>
      <c r="E646" s="1834" t="s">
        <v>2335</v>
      </c>
      <c r="F646" s="1834"/>
      <c r="G646" s="1834"/>
      <c r="H646" s="1834"/>
      <c r="I646" s="1834"/>
      <c r="J646" s="1834"/>
      <c r="K646" s="1834"/>
      <c r="L646" s="1834"/>
      <c r="M646" s="1834"/>
      <c r="N646" s="1834"/>
      <c r="O646" s="1834"/>
      <c r="P646" s="1834"/>
      <c r="Q646" s="1834"/>
      <c r="R646" s="1834"/>
      <c r="S646" s="1834"/>
      <c r="T646" s="1834"/>
      <c r="U646" s="1834"/>
      <c r="V646" s="1834"/>
      <c r="W646" s="1834"/>
      <c r="X646" s="1834"/>
      <c r="Y646" s="1834"/>
      <c r="Z646" s="1834"/>
      <c r="AA646" s="1834"/>
      <c r="AB646" s="1834"/>
      <c r="AC646" s="1834"/>
      <c r="AD646" s="460"/>
      <c r="AE646" s="460"/>
      <c r="AF646" s="1914" t="s">
        <v>2296</v>
      </c>
      <c r="AG646" s="1914"/>
      <c r="AH646" s="1914"/>
      <c r="AI646" s="1914"/>
      <c r="AJ646" s="1914"/>
      <c r="AK646" s="1914"/>
      <c r="AL646" s="1914"/>
      <c r="AN646" s="521"/>
    </row>
    <row r="647" spans="1:42" s="474" customFormat="1" ht="12.75" customHeight="1">
      <c r="B647" s="460"/>
      <c r="C647" s="463"/>
      <c r="D647" s="460"/>
      <c r="E647" s="1834"/>
      <c r="F647" s="1834"/>
      <c r="G647" s="1834"/>
      <c r="H647" s="1834"/>
      <c r="I647" s="1834"/>
      <c r="J647" s="1834"/>
      <c r="K647" s="1834"/>
      <c r="L647" s="1834"/>
      <c r="M647" s="1834"/>
      <c r="N647" s="1834"/>
      <c r="O647" s="1834"/>
      <c r="P647" s="1834"/>
      <c r="Q647" s="1834"/>
      <c r="R647" s="1834"/>
      <c r="S647" s="1834"/>
      <c r="T647" s="1834"/>
      <c r="U647" s="1834"/>
      <c r="V647" s="1834"/>
      <c r="W647" s="1834"/>
      <c r="X647" s="1834"/>
      <c r="Y647" s="1834"/>
      <c r="Z647" s="1834"/>
      <c r="AA647" s="1834"/>
      <c r="AB647" s="1834"/>
      <c r="AC647" s="1834"/>
      <c r="AD647" s="460"/>
      <c r="AE647" s="460"/>
      <c r="AF647" s="460"/>
      <c r="AG647" s="460"/>
      <c r="AH647" s="460"/>
      <c r="AI647" s="460"/>
      <c r="AJ647" s="460"/>
      <c r="AK647" s="460"/>
      <c r="AL647" s="460"/>
      <c r="AN647" s="521"/>
    </row>
    <row r="648" spans="1:42" s="474" customFormat="1" ht="12.75" customHeight="1">
      <c r="B648" s="460"/>
      <c r="C648" s="463"/>
      <c r="D648" s="587"/>
      <c r="E648" s="1834"/>
      <c r="F648" s="1834"/>
      <c r="G648" s="1834"/>
      <c r="H648" s="1834"/>
      <c r="I648" s="1834"/>
      <c r="J648" s="1834"/>
      <c r="K648" s="1834"/>
      <c r="L648" s="1834"/>
      <c r="M648" s="1834"/>
      <c r="N648" s="1834"/>
      <c r="O648" s="1834"/>
      <c r="P648" s="1834"/>
      <c r="Q648" s="1834"/>
      <c r="R648" s="1834"/>
      <c r="S648" s="1834"/>
      <c r="T648" s="1834"/>
      <c r="U648" s="1834"/>
      <c r="V648" s="1834"/>
      <c r="W648" s="1834"/>
      <c r="X648" s="1834"/>
      <c r="Y648" s="1834"/>
      <c r="Z648" s="1834"/>
      <c r="AA648" s="1834"/>
      <c r="AB648" s="1834"/>
      <c r="AC648" s="1834"/>
      <c r="AD648" s="460"/>
      <c r="AE648" s="460"/>
      <c r="AF648" s="460"/>
      <c r="AG648" s="460"/>
      <c r="AH648" s="460"/>
      <c r="AI648" s="460"/>
      <c r="AJ648" s="460"/>
      <c r="AK648" s="460"/>
      <c r="AL648" s="460"/>
      <c r="AN648" s="521"/>
    </row>
    <row r="649" spans="1:42" s="474" customFormat="1" ht="15" customHeight="1">
      <c r="B649" s="460"/>
      <c r="C649" s="463"/>
      <c r="D649" s="460"/>
      <c r="E649" s="865"/>
      <c r="F649" s="865"/>
      <c r="G649" s="865"/>
      <c r="H649" s="865"/>
      <c r="I649" s="865"/>
      <c r="J649" s="865"/>
      <c r="K649" s="865"/>
      <c r="L649" s="865"/>
      <c r="M649" s="865"/>
      <c r="N649" s="865"/>
      <c r="O649" s="865"/>
      <c r="P649" s="865"/>
      <c r="Q649" s="865"/>
      <c r="R649" s="865"/>
      <c r="S649" s="865"/>
      <c r="T649" s="865"/>
      <c r="U649" s="865"/>
      <c r="V649" s="865"/>
      <c r="W649" s="865"/>
      <c r="X649" s="865"/>
      <c r="Y649" s="865"/>
      <c r="Z649" s="865"/>
      <c r="AA649" s="865"/>
      <c r="AB649" s="865"/>
      <c r="AC649" s="460"/>
      <c r="AD649" s="460"/>
      <c r="AE649" s="460"/>
      <c r="AF649" s="460"/>
      <c r="AG649" s="460"/>
      <c r="AH649" s="460"/>
      <c r="AI649" s="460"/>
      <c r="AJ649" s="460"/>
      <c r="AK649" s="460"/>
      <c r="AL649" s="460"/>
      <c r="AN649" s="521"/>
    </row>
    <row r="650" spans="1:42" s="474" customFormat="1" ht="12.75" customHeight="1">
      <c r="B650" s="460"/>
      <c r="C650" s="463"/>
      <c r="D650" s="587" t="s">
        <v>26</v>
      </c>
      <c r="E650" s="1834" t="s">
        <v>2336</v>
      </c>
      <c r="F650" s="1834"/>
      <c r="G650" s="1834"/>
      <c r="H650" s="1834"/>
      <c r="I650" s="1834"/>
      <c r="J650" s="1834"/>
      <c r="K650" s="1834"/>
      <c r="L650" s="1834"/>
      <c r="M650" s="1834"/>
      <c r="N650" s="1834"/>
      <c r="O650" s="1834"/>
      <c r="P650" s="1834"/>
      <c r="Q650" s="1834"/>
      <c r="R650" s="1834"/>
      <c r="S650" s="1834"/>
      <c r="T650" s="1834"/>
      <c r="U650" s="1834"/>
      <c r="V650" s="1834"/>
      <c r="W650" s="1834"/>
      <c r="X650" s="1834"/>
      <c r="Y650" s="1834"/>
      <c r="Z650" s="1834"/>
      <c r="AA650" s="1834"/>
      <c r="AB650" s="1834"/>
      <c r="AC650" s="1834"/>
      <c r="AD650" s="460"/>
      <c r="AE650" s="460"/>
      <c r="AF650" s="1914" t="s">
        <v>2302</v>
      </c>
      <c r="AG650" s="1914"/>
      <c r="AH650" s="1914"/>
      <c r="AI650" s="1914"/>
      <c r="AJ650" s="1914"/>
      <c r="AK650" s="1914"/>
      <c r="AL650" s="1914"/>
      <c r="AN650" s="521"/>
    </row>
    <row r="651" spans="1:42" s="474" customFormat="1" ht="12.75" customHeight="1">
      <c r="B651" s="460"/>
      <c r="C651" s="463"/>
      <c r="D651" s="460"/>
      <c r="E651" s="1834"/>
      <c r="F651" s="1834"/>
      <c r="G651" s="1834"/>
      <c r="H651" s="1834"/>
      <c r="I651" s="1834"/>
      <c r="J651" s="1834"/>
      <c r="K651" s="1834"/>
      <c r="L651" s="1834"/>
      <c r="M651" s="1834"/>
      <c r="N651" s="1834"/>
      <c r="O651" s="1834"/>
      <c r="P651" s="1834"/>
      <c r="Q651" s="1834"/>
      <c r="R651" s="1834"/>
      <c r="S651" s="1834"/>
      <c r="T651" s="1834"/>
      <c r="U651" s="1834"/>
      <c r="V651" s="1834"/>
      <c r="W651" s="1834"/>
      <c r="X651" s="1834"/>
      <c r="Y651" s="1834"/>
      <c r="Z651" s="1834"/>
      <c r="AA651" s="1834"/>
      <c r="AB651" s="1834"/>
      <c r="AC651" s="1834"/>
      <c r="AD651" s="460"/>
      <c r="AE651" s="460"/>
      <c r="AF651" s="460"/>
      <c r="AG651" s="460"/>
      <c r="AH651" s="460"/>
      <c r="AI651" s="460"/>
      <c r="AJ651" s="460"/>
      <c r="AK651" s="460"/>
      <c r="AL651" s="460"/>
      <c r="AN651" s="521"/>
    </row>
    <row r="652" spans="1:42" s="474" customFormat="1" ht="15" customHeight="1">
      <c r="B652" s="460"/>
      <c r="C652" s="463"/>
      <c r="D652" s="587"/>
      <c r="E652" s="1834"/>
      <c r="F652" s="1834"/>
      <c r="G652" s="1834"/>
      <c r="H652" s="1834"/>
      <c r="I652" s="1834"/>
      <c r="J652" s="1834"/>
      <c r="K652" s="1834"/>
      <c r="L652" s="1834"/>
      <c r="M652" s="1834"/>
      <c r="N652" s="1834"/>
      <c r="O652" s="1834"/>
      <c r="P652" s="1834"/>
      <c r="Q652" s="1834"/>
      <c r="R652" s="1834"/>
      <c r="S652" s="1834"/>
      <c r="T652" s="1834"/>
      <c r="U652" s="1834"/>
      <c r="V652" s="1834"/>
      <c r="W652" s="1834"/>
      <c r="X652" s="1834"/>
      <c r="Y652" s="1834"/>
      <c r="Z652" s="1834"/>
      <c r="AA652" s="1834"/>
      <c r="AB652" s="1834"/>
      <c r="AC652" s="1834"/>
      <c r="AD652" s="460"/>
      <c r="AE652" s="460"/>
      <c r="AF652" s="460"/>
      <c r="AG652" s="460"/>
      <c r="AH652" s="460"/>
      <c r="AI652" s="460"/>
      <c r="AJ652" s="460"/>
      <c r="AK652" s="460"/>
      <c r="AL652" s="460"/>
      <c r="AN652" s="521"/>
    </row>
    <row r="653" spans="1:42" s="474" customFormat="1" ht="12.75" customHeight="1">
      <c r="B653" s="460"/>
      <c r="C653" s="463"/>
      <c r="D653" s="460"/>
      <c r="E653" s="865"/>
      <c r="F653" s="865"/>
      <c r="G653" s="865"/>
      <c r="H653" s="865"/>
      <c r="I653" s="865"/>
      <c r="J653" s="865"/>
      <c r="K653" s="865"/>
      <c r="L653" s="865"/>
      <c r="M653" s="865"/>
      <c r="N653" s="865"/>
      <c r="O653" s="865"/>
      <c r="P653" s="865"/>
      <c r="Q653" s="865"/>
      <c r="R653" s="865"/>
      <c r="S653" s="865"/>
      <c r="T653" s="865"/>
      <c r="U653" s="865"/>
      <c r="V653" s="865"/>
      <c r="W653" s="865"/>
      <c r="X653" s="865"/>
      <c r="Y653" s="865"/>
      <c r="Z653" s="865"/>
      <c r="AA653" s="865"/>
      <c r="AB653" s="865"/>
      <c r="AC653" s="460"/>
      <c r="AD653" s="460"/>
      <c r="AE653" s="460"/>
      <c r="AF653" s="460"/>
      <c r="AG653" s="460"/>
      <c r="AH653" s="460"/>
      <c r="AI653" s="460"/>
      <c r="AJ653" s="460"/>
      <c r="AK653" s="460"/>
      <c r="AL653" s="460"/>
      <c r="AN653" s="521"/>
    </row>
    <row r="654" spans="1:42" s="474" customFormat="1" ht="12.75" customHeight="1">
      <c r="B654" s="460"/>
      <c r="C654" s="463"/>
      <c r="D654" s="587" t="s">
        <v>48</v>
      </c>
      <c r="E654" s="1834" t="s">
        <v>2337</v>
      </c>
      <c r="F654" s="1834"/>
      <c r="G654" s="1834"/>
      <c r="H654" s="1834"/>
      <c r="I654" s="1834"/>
      <c r="J654" s="1834"/>
      <c r="K654" s="1834"/>
      <c r="L654" s="1834"/>
      <c r="M654" s="1834"/>
      <c r="N654" s="1834"/>
      <c r="O654" s="1834"/>
      <c r="P654" s="1834"/>
      <c r="Q654" s="1834"/>
      <c r="R654" s="1834"/>
      <c r="S654" s="1834"/>
      <c r="T654" s="1834"/>
      <c r="U654" s="1834"/>
      <c r="V654" s="1834"/>
      <c r="W654" s="1834"/>
      <c r="X654" s="1834"/>
      <c r="Y654" s="1834"/>
      <c r="Z654" s="1834"/>
      <c r="AA654" s="1834"/>
      <c r="AB654" s="1834"/>
      <c r="AC654" s="1834"/>
      <c r="AD654" s="460"/>
      <c r="AE654" s="460"/>
      <c r="AF654" s="1914" t="s">
        <v>2034</v>
      </c>
      <c r="AG654" s="1914"/>
      <c r="AH654" s="1914"/>
      <c r="AI654" s="1914"/>
      <c r="AJ654" s="1914"/>
      <c r="AK654" s="1914"/>
      <c r="AL654" s="1914"/>
      <c r="AN654" s="521"/>
    </row>
    <row r="655" spans="1:42" s="474" customFormat="1" ht="12.75" customHeight="1">
      <c r="B655" s="460"/>
      <c r="C655" s="850"/>
      <c r="D655" s="460"/>
      <c r="E655" s="1834"/>
      <c r="F655" s="1834"/>
      <c r="G655" s="1834"/>
      <c r="H655" s="1834"/>
      <c r="I655" s="1834"/>
      <c r="J655" s="1834"/>
      <c r="K655" s="1834"/>
      <c r="L655" s="1834"/>
      <c r="M655" s="1834"/>
      <c r="N655" s="1834"/>
      <c r="O655" s="1834"/>
      <c r="P655" s="1834"/>
      <c r="Q655" s="1834"/>
      <c r="R655" s="1834"/>
      <c r="S655" s="1834"/>
      <c r="T655" s="1834"/>
      <c r="U655" s="1834"/>
      <c r="V655" s="1834"/>
      <c r="W655" s="1834"/>
      <c r="X655" s="1834"/>
      <c r="Y655" s="1834"/>
      <c r="Z655" s="1834"/>
      <c r="AA655" s="1834"/>
      <c r="AB655" s="1834"/>
      <c r="AC655" s="1834"/>
      <c r="AD655" s="460"/>
      <c r="AE655" s="1914"/>
      <c r="AF655" s="1914"/>
      <c r="AG655" s="1914"/>
      <c r="AH655" s="1914"/>
      <c r="AI655" s="1914"/>
      <c r="AJ655" s="1914"/>
      <c r="AK655" s="1914"/>
      <c r="AL655" s="518"/>
      <c r="AN655" s="521"/>
      <c r="AO655" s="474" t="s">
        <v>299</v>
      </c>
      <c r="AP655" s="597">
        <v>0</v>
      </c>
    </row>
    <row r="656" spans="1:42" s="474" customFormat="1" ht="12.75" customHeight="1">
      <c r="A656" s="603"/>
      <c r="B656" s="460"/>
      <c r="C656" s="460"/>
      <c r="D656" s="587"/>
      <c r="E656" s="1834"/>
      <c r="F656" s="1834"/>
      <c r="G656" s="1834"/>
      <c r="H656" s="1834"/>
      <c r="I656" s="1834"/>
      <c r="J656" s="1834"/>
      <c r="K656" s="1834"/>
      <c r="L656" s="1834"/>
      <c r="M656" s="1834"/>
      <c r="N656" s="1834"/>
      <c r="O656" s="1834"/>
      <c r="P656" s="1834"/>
      <c r="Q656" s="1834"/>
      <c r="R656" s="1834"/>
      <c r="S656" s="1834"/>
      <c r="T656" s="1834"/>
      <c r="U656" s="1834"/>
      <c r="V656" s="1834"/>
      <c r="W656" s="1834"/>
      <c r="X656" s="1834"/>
      <c r="Y656" s="1834"/>
      <c r="Z656" s="1834"/>
      <c r="AA656" s="1834"/>
      <c r="AB656" s="1834"/>
      <c r="AC656" s="1834"/>
      <c r="AD656" s="460"/>
      <c r="AE656" s="460"/>
      <c r="AF656" s="460"/>
      <c r="AG656" s="460"/>
      <c r="AH656" s="460"/>
      <c r="AI656" s="460"/>
      <c r="AJ656" s="460"/>
      <c r="AK656" s="460"/>
      <c r="AL656" s="460"/>
      <c r="AN656" s="521"/>
      <c r="AO656" s="535" t="s">
        <v>21</v>
      </c>
      <c r="AP656" s="474">
        <v>3</v>
      </c>
    </row>
    <row r="657" spans="1:42" s="474" customFormat="1" ht="12.75" customHeight="1">
      <c r="B657" s="460"/>
      <c r="C657" s="850"/>
      <c r="D657" s="587"/>
      <c r="E657" s="499"/>
      <c r="F657" s="499"/>
      <c r="G657" s="499"/>
      <c r="H657" s="499"/>
      <c r="I657" s="499"/>
      <c r="J657" s="499"/>
      <c r="K657" s="499"/>
      <c r="L657" s="499"/>
      <c r="M657" s="499"/>
      <c r="N657" s="499"/>
      <c r="O657" s="499"/>
      <c r="P657" s="499"/>
      <c r="Q657" s="499"/>
      <c r="R657" s="499"/>
      <c r="S657" s="499"/>
      <c r="T657" s="499"/>
      <c r="U657" s="499"/>
      <c r="V657" s="499"/>
      <c r="W657" s="499"/>
      <c r="X657" s="499"/>
      <c r="Y657" s="499"/>
      <c r="Z657" s="499"/>
      <c r="AA657" s="499"/>
      <c r="AB657" s="499"/>
      <c r="AC657" s="460"/>
      <c r="AD657" s="460"/>
      <c r="AE657" s="460"/>
      <c r="AF657" s="460"/>
      <c r="AG657" s="460"/>
      <c r="AH657" s="460"/>
      <c r="AI657" s="460"/>
      <c r="AJ657" s="460"/>
      <c r="AK657" s="460"/>
      <c r="AL657" s="460"/>
      <c r="AN657" s="521"/>
      <c r="AO657" s="535" t="s">
        <v>26</v>
      </c>
      <c r="AP657" s="474">
        <v>2</v>
      </c>
    </row>
    <row r="658" spans="1:42" s="474" customFormat="1" ht="12.75" customHeight="1">
      <c r="A658" s="594"/>
      <c r="B658" s="460"/>
      <c r="C658" s="866"/>
      <c r="D658" s="587" t="s">
        <v>2294</v>
      </c>
      <c r="E658" s="1834" t="s">
        <v>2338</v>
      </c>
      <c r="F658" s="1834"/>
      <c r="G658" s="1834"/>
      <c r="H658" s="1834"/>
      <c r="I658" s="1834"/>
      <c r="J658" s="1834"/>
      <c r="K658" s="1834"/>
      <c r="L658" s="1834"/>
      <c r="M658" s="1834"/>
      <c r="N658" s="1834"/>
      <c r="O658" s="1834"/>
      <c r="P658" s="1834"/>
      <c r="Q658" s="1834"/>
      <c r="R658" s="1834"/>
      <c r="S658" s="1834"/>
      <c r="T658" s="1834"/>
      <c r="U658" s="1834"/>
      <c r="V658" s="1834"/>
      <c r="W658" s="1834"/>
      <c r="X658" s="1834"/>
      <c r="Y658" s="1834"/>
      <c r="Z658" s="1834"/>
      <c r="AA658" s="1834"/>
      <c r="AB658" s="1834"/>
      <c r="AC658" s="1834"/>
      <c r="AD658" s="460"/>
      <c r="AE658" s="460"/>
      <c r="AF658" s="1914" t="s">
        <v>2302</v>
      </c>
      <c r="AG658" s="1914"/>
      <c r="AH658" s="1914"/>
      <c r="AI658" s="1914"/>
      <c r="AJ658" s="1914"/>
      <c r="AK658" s="1914"/>
      <c r="AL658" s="1914"/>
      <c r="AN658" s="521"/>
    </row>
    <row r="659" spans="1:42" s="474" customFormat="1" ht="12.75" customHeight="1">
      <c r="A659" s="594"/>
      <c r="B659" s="460"/>
      <c r="C659" s="866"/>
      <c r="D659" s="587"/>
      <c r="E659" s="1834"/>
      <c r="F659" s="1834"/>
      <c r="G659" s="1834"/>
      <c r="H659" s="1834"/>
      <c r="I659" s="1834"/>
      <c r="J659" s="1834"/>
      <c r="K659" s="1834"/>
      <c r="L659" s="1834"/>
      <c r="M659" s="1834"/>
      <c r="N659" s="1834"/>
      <c r="O659" s="1834"/>
      <c r="P659" s="1834"/>
      <c r="Q659" s="1834"/>
      <c r="R659" s="1834"/>
      <c r="S659" s="1834"/>
      <c r="T659" s="1834"/>
      <c r="U659" s="1834"/>
      <c r="V659" s="1834"/>
      <c r="W659" s="1834"/>
      <c r="X659" s="1834"/>
      <c r="Y659" s="1834"/>
      <c r="Z659" s="1834"/>
      <c r="AA659" s="1834"/>
      <c r="AB659" s="1834"/>
      <c r="AC659" s="1834"/>
      <c r="AD659" s="460"/>
      <c r="AE659" s="518"/>
      <c r="AF659" s="518"/>
      <c r="AG659" s="518"/>
      <c r="AH659" s="518"/>
      <c r="AI659" s="518"/>
      <c r="AJ659" s="518"/>
      <c r="AK659" s="518"/>
      <c r="AL659" s="518"/>
      <c r="AM659" s="520"/>
      <c r="AN659" s="521"/>
    </row>
    <row r="660" spans="1:42" s="474" customFormat="1" ht="12.75" customHeight="1">
      <c r="A660" s="594"/>
      <c r="B660" s="460"/>
      <c r="C660" s="866"/>
      <c r="D660" s="587"/>
      <c r="E660" s="1834"/>
      <c r="F660" s="1834"/>
      <c r="G660" s="1834"/>
      <c r="H660" s="1834"/>
      <c r="I660" s="1834"/>
      <c r="J660" s="1834"/>
      <c r="K660" s="1834"/>
      <c r="L660" s="1834"/>
      <c r="M660" s="1834"/>
      <c r="N660" s="1834"/>
      <c r="O660" s="1834"/>
      <c r="P660" s="1834"/>
      <c r="Q660" s="1834"/>
      <c r="R660" s="1834"/>
      <c r="S660" s="1834"/>
      <c r="T660" s="1834"/>
      <c r="U660" s="1834"/>
      <c r="V660" s="1834"/>
      <c r="W660" s="1834"/>
      <c r="X660" s="1834"/>
      <c r="Y660" s="1834"/>
      <c r="Z660" s="1834"/>
      <c r="AA660" s="1834"/>
      <c r="AB660" s="1834"/>
      <c r="AC660" s="1834"/>
      <c r="AD660" s="460"/>
      <c r="AE660" s="518"/>
      <c r="AF660" s="518"/>
      <c r="AG660" s="518"/>
      <c r="AH660" s="518"/>
      <c r="AI660" s="518"/>
      <c r="AJ660" s="518"/>
      <c r="AK660" s="518"/>
      <c r="AL660" s="518"/>
      <c r="AM660" s="520"/>
      <c r="AN660" s="521"/>
    </row>
    <row r="661" spans="1:42" s="474" customFormat="1" ht="12.75" customHeight="1">
      <c r="B661" s="460"/>
      <c r="C661" s="850"/>
      <c r="D661" s="587"/>
      <c r="E661" s="566"/>
      <c r="F661" s="566"/>
      <c r="G661" s="566"/>
      <c r="H661" s="566"/>
      <c r="I661" s="566"/>
      <c r="J661" s="566"/>
      <c r="K661" s="566"/>
      <c r="L661" s="566"/>
      <c r="M661" s="566"/>
      <c r="N661" s="566"/>
      <c r="O661" s="566"/>
      <c r="P661" s="566"/>
      <c r="Q661" s="566"/>
      <c r="R661" s="566"/>
      <c r="S661" s="566"/>
      <c r="T661" s="566"/>
      <c r="U661" s="566"/>
      <c r="V661" s="566"/>
      <c r="W661" s="566"/>
      <c r="X661" s="566"/>
      <c r="Y661" s="566"/>
      <c r="Z661" s="566"/>
      <c r="AA661" s="566"/>
      <c r="AB661" s="566"/>
      <c r="AC661" s="463"/>
      <c r="AD661" s="463"/>
      <c r="AE661" s="460"/>
      <c r="AF661" s="460"/>
      <c r="AG661" s="460"/>
      <c r="AH661" s="460"/>
      <c r="AI661" s="460"/>
      <c r="AJ661" s="460"/>
      <c r="AK661" s="460"/>
      <c r="AL661" s="518"/>
      <c r="AM661" s="520"/>
      <c r="AN661" s="521"/>
    </row>
    <row r="662" spans="1:42" s="474" customFormat="1" ht="12.75" customHeight="1">
      <c r="B662" s="460"/>
      <c r="C662" s="850"/>
      <c r="D662" s="587" t="s">
        <v>2297</v>
      </c>
      <c r="E662" s="1834" t="s">
        <v>2339</v>
      </c>
      <c r="F662" s="1834"/>
      <c r="G662" s="1834"/>
      <c r="H662" s="1834"/>
      <c r="I662" s="1834"/>
      <c r="J662" s="1834"/>
      <c r="K662" s="1834"/>
      <c r="L662" s="1834"/>
      <c r="M662" s="1834"/>
      <c r="N662" s="1834"/>
      <c r="O662" s="1834"/>
      <c r="P662" s="1834"/>
      <c r="Q662" s="1834"/>
      <c r="R662" s="1834"/>
      <c r="S662" s="1834"/>
      <c r="T662" s="1834"/>
      <c r="U662" s="1834"/>
      <c r="V662" s="1834"/>
      <c r="W662" s="1834"/>
      <c r="X662" s="1834"/>
      <c r="Y662" s="1834"/>
      <c r="Z662" s="1834"/>
      <c r="AA662" s="1834"/>
      <c r="AB662" s="1834"/>
      <c r="AC662" s="1834"/>
      <c r="AD662" s="460"/>
      <c r="AE662" s="460"/>
      <c r="AF662" s="1914" t="s">
        <v>2034</v>
      </c>
      <c r="AG662" s="1914"/>
      <c r="AH662" s="1914"/>
      <c r="AI662" s="1914"/>
      <c r="AJ662" s="1914"/>
      <c r="AK662" s="1914"/>
      <c r="AL662" s="1914"/>
      <c r="AM662" s="520"/>
      <c r="AN662" s="521"/>
    </row>
    <row r="663" spans="1:42" s="474" customFormat="1" ht="12.75" customHeight="1">
      <c r="B663" s="460"/>
      <c r="C663" s="850"/>
      <c r="D663" s="587"/>
      <c r="E663" s="1834"/>
      <c r="F663" s="1834"/>
      <c r="G663" s="1834"/>
      <c r="H663" s="1834"/>
      <c r="I663" s="1834"/>
      <c r="J663" s="1834"/>
      <c r="K663" s="1834"/>
      <c r="L663" s="1834"/>
      <c r="M663" s="1834"/>
      <c r="N663" s="1834"/>
      <c r="O663" s="1834"/>
      <c r="P663" s="1834"/>
      <c r="Q663" s="1834"/>
      <c r="R663" s="1834"/>
      <c r="S663" s="1834"/>
      <c r="T663" s="1834"/>
      <c r="U663" s="1834"/>
      <c r="V663" s="1834"/>
      <c r="W663" s="1834"/>
      <c r="X663" s="1834"/>
      <c r="Y663" s="1834"/>
      <c r="Z663" s="1834"/>
      <c r="AA663" s="1834"/>
      <c r="AB663" s="1834"/>
      <c r="AC663" s="1834"/>
      <c r="AD663" s="460"/>
      <c r="AE663" s="460"/>
      <c r="AF663" s="460"/>
      <c r="AG663" s="460"/>
      <c r="AH663" s="460"/>
      <c r="AI663" s="460"/>
      <c r="AJ663" s="460"/>
      <c r="AK663" s="460"/>
      <c r="AL663" s="460"/>
      <c r="AM663" s="520"/>
      <c r="AN663" s="521"/>
    </row>
    <row r="664" spans="1:42" s="474" customFormat="1" ht="12.75" customHeight="1">
      <c r="B664" s="460"/>
      <c r="C664" s="850"/>
      <c r="D664" s="587"/>
      <c r="E664" s="1834"/>
      <c r="F664" s="1834"/>
      <c r="G664" s="1834"/>
      <c r="H664" s="1834"/>
      <c r="I664" s="1834"/>
      <c r="J664" s="1834"/>
      <c r="K664" s="1834"/>
      <c r="L664" s="1834"/>
      <c r="M664" s="1834"/>
      <c r="N664" s="1834"/>
      <c r="O664" s="1834"/>
      <c r="P664" s="1834"/>
      <c r="Q664" s="1834"/>
      <c r="R664" s="1834"/>
      <c r="S664" s="1834"/>
      <c r="T664" s="1834"/>
      <c r="U664" s="1834"/>
      <c r="V664" s="1834"/>
      <c r="W664" s="1834"/>
      <c r="X664" s="1834"/>
      <c r="Y664" s="1834"/>
      <c r="Z664" s="1834"/>
      <c r="AA664" s="1834"/>
      <c r="AB664" s="1834"/>
      <c r="AC664" s="1834"/>
      <c r="AD664" s="460"/>
      <c r="AE664" s="460"/>
      <c r="AF664" s="460"/>
      <c r="AG664" s="460"/>
      <c r="AH664" s="460"/>
      <c r="AI664" s="460"/>
      <c r="AJ664" s="460"/>
      <c r="AK664" s="460"/>
      <c r="AL664" s="460"/>
      <c r="AM664" s="520"/>
      <c r="AN664" s="521"/>
    </row>
    <row r="665" spans="1:42" s="474" customFormat="1" ht="12.75" customHeight="1">
      <c r="B665" s="460"/>
      <c r="C665" s="850"/>
      <c r="D665" s="587"/>
      <c r="E665" s="460"/>
      <c r="F665" s="460"/>
      <c r="G665" s="460"/>
      <c r="H665" s="460"/>
      <c r="I665" s="460"/>
      <c r="J665" s="460"/>
      <c r="K665" s="460"/>
      <c r="L665" s="460"/>
      <c r="M665" s="460"/>
      <c r="N665" s="460"/>
      <c r="O665" s="460"/>
      <c r="P665" s="460"/>
      <c r="Q665" s="460"/>
      <c r="R665" s="460"/>
      <c r="S665" s="460"/>
      <c r="T665" s="460"/>
      <c r="U665" s="460"/>
      <c r="V665" s="460"/>
      <c r="W665" s="460"/>
      <c r="X665" s="460"/>
      <c r="Y665" s="460"/>
      <c r="Z665" s="460"/>
      <c r="AA665" s="460"/>
      <c r="AB665" s="460"/>
      <c r="AC665" s="460"/>
      <c r="AD665" s="460"/>
      <c r="AE665" s="460"/>
      <c r="AF665" s="460"/>
      <c r="AG665" s="460"/>
      <c r="AH665" s="460"/>
      <c r="AI665" s="460"/>
      <c r="AJ665" s="460"/>
      <c r="AK665" s="460"/>
      <c r="AL665" s="460"/>
      <c r="AM665" s="520"/>
      <c r="AN665" s="521"/>
    </row>
    <row r="666" spans="1:42" s="474" customFormat="1" ht="12.75" customHeight="1">
      <c r="A666" s="603"/>
      <c r="B666" s="460"/>
      <c r="C666" s="850"/>
      <c r="D666" s="587" t="s">
        <v>2325</v>
      </c>
      <c r="E666" s="1834" t="s">
        <v>2340</v>
      </c>
      <c r="F666" s="1834"/>
      <c r="G666" s="1834"/>
      <c r="H666" s="1834"/>
      <c r="I666" s="1834"/>
      <c r="J666" s="1834"/>
      <c r="K666" s="1834"/>
      <c r="L666" s="1834"/>
      <c r="M666" s="1834"/>
      <c r="N666" s="1834"/>
      <c r="O666" s="1834"/>
      <c r="P666" s="1834"/>
      <c r="Q666" s="1834"/>
      <c r="R666" s="1834"/>
      <c r="S666" s="1834"/>
      <c r="T666" s="1834"/>
      <c r="U666" s="1834"/>
      <c r="V666" s="1834"/>
      <c r="W666" s="1834"/>
      <c r="X666" s="1834"/>
      <c r="Y666" s="1834"/>
      <c r="Z666" s="1834"/>
      <c r="AA666" s="1834"/>
      <c r="AB666" s="1834"/>
      <c r="AC666" s="1834"/>
      <c r="AD666" s="460"/>
      <c r="AE666" s="460"/>
      <c r="AF666" s="1914" t="s">
        <v>2324</v>
      </c>
      <c r="AG666" s="1914"/>
      <c r="AH666" s="1914"/>
      <c r="AI666" s="1914"/>
      <c r="AJ666" s="1914"/>
      <c r="AK666" s="1914"/>
      <c r="AL666" s="1914"/>
      <c r="AM666" s="520"/>
      <c r="AN666" s="521"/>
    </row>
    <row r="667" spans="1:42" s="474" customFormat="1" ht="12.75" customHeight="1">
      <c r="A667" s="603"/>
      <c r="B667" s="460"/>
      <c r="C667" s="850"/>
      <c r="D667" s="587"/>
      <c r="E667" s="1834"/>
      <c r="F667" s="1834"/>
      <c r="G667" s="1834"/>
      <c r="H667" s="1834"/>
      <c r="I667" s="1834"/>
      <c r="J667" s="1834"/>
      <c r="K667" s="1834"/>
      <c r="L667" s="1834"/>
      <c r="M667" s="1834"/>
      <c r="N667" s="1834"/>
      <c r="O667" s="1834"/>
      <c r="P667" s="1834"/>
      <c r="Q667" s="1834"/>
      <c r="R667" s="1834"/>
      <c r="S667" s="1834"/>
      <c r="T667" s="1834"/>
      <c r="U667" s="1834"/>
      <c r="V667" s="1834"/>
      <c r="W667" s="1834"/>
      <c r="X667" s="1834"/>
      <c r="Y667" s="1834"/>
      <c r="Z667" s="1834"/>
      <c r="AA667" s="1834"/>
      <c r="AB667" s="1834"/>
      <c r="AC667" s="1834"/>
      <c r="AD667" s="460"/>
      <c r="AE667" s="460"/>
      <c r="AF667" s="518"/>
      <c r="AG667" s="518"/>
      <c r="AH667" s="518"/>
      <c r="AI667" s="518"/>
      <c r="AJ667" s="518"/>
      <c r="AK667" s="518"/>
      <c r="AL667" s="518"/>
      <c r="AM667" s="520"/>
      <c r="AN667" s="521"/>
    </row>
    <row r="668" spans="1:42" s="474" customFormat="1" ht="12.75" customHeight="1">
      <c r="A668" s="603"/>
      <c r="B668" s="460"/>
      <c r="C668" s="850"/>
      <c r="D668" s="587"/>
      <c r="E668" s="1834"/>
      <c r="F668" s="1834"/>
      <c r="G668" s="1834"/>
      <c r="H668" s="1834"/>
      <c r="I668" s="1834"/>
      <c r="J668" s="1834"/>
      <c r="K668" s="1834"/>
      <c r="L668" s="1834"/>
      <c r="M668" s="1834"/>
      <c r="N668" s="1834"/>
      <c r="O668" s="1834"/>
      <c r="P668" s="1834"/>
      <c r="Q668" s="1834"/>
      <c r="R668" s="1834"/>
      <c r="S668" s="1834"/>
      <c r="T668" s="1834"/>
      <c r="U668" s="1834"/>
      <c r="V668" s="1834"/>
      <c r="W668" s="1834"/>
      <c r="X668" s="1834"/>
      <c r="Y668" s="1834"/>
      <c r="Z668" s="1834"/>
      <c r="AA668" s="1834"/>
      <c r="AB668" s="1834"/>
      <c r="AC668" s="1834"/>
      <c r="AD668" s="460"/>
      <c r="AE668" s="518"/>
      <c r="AF668" s="518"/>
      <c r="AG668" s="518"/>
      <c r="AH668" s="518"/>
      <c r="AI668" s="518"/>
      <c r="AJ668" s="518"/>
      <c r="AK668" s="518"/>
      <c r="AL668" s="518"/>
      <c r="AM668" s="520"/>
      <c r="AN668" s="521"/>
    </row>
    <row r="669" spans="1:42" s="474" customFormat="1" ht="12.75" customHeight="1">
      <c r="A669" s="603"/>
      <c r="B669" s="460"/>
      <c r="C669" s="850"/>
      <c r="D669" s="587"/>
      <c r="E669" s="566"/>
      <c r="F669" s="566"/>
      <c r="G669" s="566"/>
      <c r="H669" s="566"/>
      <c r="I669" s="566"/>
      <c r="J669" s="566"/>
      <c r="K669" s="566"/>
      <c r="L669" s="566"/>
      <c r="M669" s="566"/>
      <c r="N669" s="566"/>
      <c r="O669" s="566"/>
      <c r="P669" s="566"/>
      <c r="Q669" s="566"/>
      <c r="R669" s="566"/>
      <c r="S669" s="566"/>
      <c r="T669" s="566"/>
      <c r="U669" s="566"/>
      <c r="V669" s="566"/>
      <c r="W669" s="566"/>
      <c r="X669" s="566"/>
      <c r="Y669" s="566"/>
      <c r="Z669" s="566"/>
      <c r="AA669" s="566"/>
      <c r="AB669" s="566"/>
      <c r="AC669" s="566"/>
      <c r="AD669" s="460"/>
      <c r="AE669" s="518"/>
      <c r="AF669" s="460"/>
      <c r="AG669" s="460"/>
      <c r="AH669" s="460"/>
      <c r="AI669" s="460"/>
      <c r="AJ669" s="460"/>
      <c r="AK669" s="460"/>
      <c r="AL669" s="460"/>
      <c r="AM669" s="520"/>
      <c r="AN669" s="521"/>
      <c r="AO669" s="474" t="s">
        <v>299</v>
      </c>
      <c r="AP669" s="561">
        <v>0</v>
      </c>
    </row>
    <row r="670" spans="1:42" s="474" customFormat="1" ht="12.75" customHeight="1">
      <c r="A670" s="603"/>
      <c r="B670" s="460"/>
      <c r="C670" s="850"/>
      <c r="D670" s="587" t="s">
        <v>2327</v>
      </c>
      <c r="E670" s="1834" t="s">
        <v>2341</v>
      </c>
      <c r="F670" s="1834"/>
      <c r="G670" s="1834"/>
      <c r="H670" s="1834"/>
      <c r="I670" s="1834"/>
      <c r="J670" s="1834"/>
      <c r="K670" s="1834"/>
      <c r="L670" s="1834"/>
      <c r="M670" s="1834"/>
      <c r="N670" s="1834"/>
      <c r="O670" s="1834"/>
      <c r="P670" s="1834"/>
      <c r="Q670" s="1834"/>
      <c r="R670" s="1834"/>
      <c r="S670" s="1834"/>
      <c r="T670" s="1834"/>
      <c r="U670" s="1834"/>
      <c r="V670" s="1834"/>
      <c r="W670" s="1834"/>
      <c r="X670" s="1834"/>
      <c r="Y670" s="1834"/>
      <c r="Z670" s="1834"/>
      <c r="AA670" s="1834"/>
      <c r="AB670" s="1834"/>
      <c r="AC670" s="1834"/>
      <c r="AD670" s="460"/>
      <c r="AE670" s="460"/>
      <c r="AF670" s="1914" t="s">
        <v>2342</v>
      </c>
      <c r="AG670" s="1914"/>
      <c r="AH670" s="1914"/>
      <c r="AI670" s="1914"/>
      <c r="AJ670" s="1914"/>
      <c r="AK670" s="1914"/>
      <c r="AL670" s="1914"/>
      <c r="AM670" s="520"/>
      <c r="AN670" s="521"/>
      <c r="AO670" s="535" t="s">
        <v>21</v>
      </c>
      <c r="AP670" s="474">
        <v>3</v>
      </c>
    </row>
    <row r="671" spans="1:42" s="474" customFormat="1" ht="12.75" customHeight="1">
      <c r="A671" s="603"/>
      <c r="B671" s="460"/>
      <c r="C671" s="850"/>
      <c r="D671" s="587"/>
      <c r="E671" s="1834"/>
      <c r="F671" s="1834"/>
      <c r="G671" s="1834"/>
      <c r="H671" s="1834"/>
      <c r="I671" s="1834"/>
      <c r="J671" s="1834"/>
      <c r="K671" s="1834"/>
      <c r="L671" s="1834"/>
      <c r="M671" s="1834"/>
      <c r="N671" s="1834"/>
      <c r="O671" s="1834"/>
      <c r="P671" s="1834"/>
      <c r="Q671" s="1834"/>
      <c r="R671" s="1834"/>
      <c r="S671" s="1834"/>
      <c r="T671" s="1834"/>
      <c r="U671" s="1834"/>
      <c r="V671" s="1834"/>
      <c r="W671" s="1834"/>
      <c r="X671" s="1834"/>
      <c r="Y671" s="1834"/>
      <c r="Z671" s="1834"/>
      <c r="AA671" s="1834"/>
      <c r="AB671" s="1834"/>
      <c r="AC671" s="1834"/>
      <c r="AD671" s="460"/>
      <c r="AE671" s="460"/>
      <c r="AF671" s="518"/>
      <c r="AG671" s="518"/>
      <c r="AH671" s="518"/>
      <c r="AI671" s="518"/>
      <c r="AJ671" s="518"/>
      <c r="AK671" s="518"/>
      <c r="AL671" s="518"/>
      <c r="AM671" s="520"/>
      <c r="AN671" s="521"/>
      <c r="AO671" s="535" t="s">
        <v>26</v>
      </c>
      <c r="AP671" s="474">
        <v>2</v>
      </c>
    </row>
    <row r="672" spans="1:42" s="474" customFormat="1" ht="12.75" customHeight="1">
      <c r="A672" s="603"/>
      <c r="B672" s="460"/>
      <c r="C672" s="850"/>
      <c r="D672" s="587"/>
      <c r="E672" s="1834"/>
      <c r="F672" s="1834"/>
      <c r="G672" s="1834"/>
      <c r="H672" s="1834"/>
      <c r="I672" s="1834"/>
      <c r="J672" s="1834"/>
      <c r="K672" s="1834"/>
      <c r="L672" s="1834"/>
      <c r="M672" s="1834"/>
      <c r="N672" s="1834"/>
      <c r="O672" s="1834"/>
      <c r="P672" s="1834"/>
      <c r="Q672" s="1834"/>
      <c r="R672" s="1834"/>
      <c r="S672" s="1834"/>
      <c r="T672" s="1834"/>
      <c r="U672" s="1834"/>
      <c r="V672" s="1834"/>
      <c r="W672" s="1834"/>
      <c r="X672" s="1834"/>
      <c r="Y672" s="1834"/>
      <c r="Z672" s="1834"/>
      <c r="AA672" s="1834"/>
      <c r="AB672" s="1834"/>
      <c r="AC672" s="1834"/>
      <c r="AD672" s="460"/>
      <c r="AE672" s="518"/>
      <c r="AF672" s="518"/>
      <c r="AG672" s="518"/>
      <c r="AH672" s="518"/>
      <c r="AI672" s="518"/>
      <c r="AJ672" s="518"/>
      <c r="AK672" s="518"/>
      <c r="AL672" s="518"/>
      <c r="AM672" s="520"/>
      <c r="AN672" s="521"/>
    </row>
    <row r="673" spans="1:51" s="474" customFormat="1" ht="12.75" customHeight="1">
      <c r="A673" s="594"/>
      <c r="B673" s="460"/>
      <c r="C673" s="866"/>
      <c r="D673" s="587"/>
      <c r="E673" s="567"/>
      <c r="F673" s="567"/>
      <c r="G673" s="567"/>
      <c r="H673" s="567"/>
      <c r="I673" s="567"/>
      <c r="J673" s="567"/>
      <c r="K673" s="567"/>
      <c r="L673" s="567"/>
      <c r="M673" s="567"/>
      <c r="N673" s="567"/>
      <c r="O673" s="567"/>
      <c r="P673" s="567"/>
      <c r="Q673" s="567"/>
      <c r="R673" s="567"/>
      <c r="S673" s="567"/>
      <c r="T673" s="567"/>
      <c r="U673" s="567"/>
      <c r="V673" s="567"/>
      <c r="W673" s="567"/>
      <c r="X673" s="567"/>
      <c r="Y673" s="567"/>
      <c r="Z673" s="567"/>
      <c r="AA673" s="567"/>
      <c r="AB673" s="567"/>
      <c r="AC673" s="567"/>
      <c r="AD673" s="460"/>
      <c r="AE673" s="518"/>
      <c r="AF673" s="518"/>
      <c r="AG673" s="518"/>
      <c r="AH673" s="518"/>
      <c r="AI673" s="518"/>
      <c r="AJ673" s="518"/>
      <c r="AK673" s="518"/>
      <c r="AL673" s="518"/>
      <c r="AM673" s="520"/>
      <c r="AN673" s="521"/>
    </row>
    <row r="674" spans="1:51" s="474" customFormat="1" ht="12.75" customHeight="1">
      <c r="A674" s="603"/>
      <c r="B674" s="460"/>
      <c r="C674" s="850"/>
      <c r="D674" s="460" t="s">
        <v>2310</v>
      </c>
      <c r="E674" s="855"/>
      <c r="F674" s="855"/>
      <c r="G674" s="855"/>
      <c r="H674" s="1858" t="s">
        <v>2294</v>
      </c>
      <c r="I674" s="1858"/>
      <c r="J674" s="540"/>
      <c r="K674" s="540"/>
      <c r="L674" s="460"/>
      <c r="M674" s="460"/>
      <c r="N674" s="460"/>
      <c r="O674" s="460"/>
      <c r="P674" s="460"/>
      <c r="Q674" s="460"/>
      <c r="R674" s="460"/>
      <c r="S674" s="460"/>
      <c r="T674" s="460"/>
      <c r="U674" s="460"/>
      <c r="V674" s="460"/>
      <c r="W674" s="460"/>
      <c r="X674" s="460"/>
      <c r="Y674" s="460"/>
      <c r="Z674" s="460"/>
      <c r="AA674" s="460"/>
      <c r="AB674" s="460"/>
      <c r="AC674" s="460"/>
      <c r="AD674" s="460"/>
      <c r="AE674" s="460"/>
      <c r="AF674" s="460"/>
      <c r="AG674" s="460"/>
      <c r="AH674" s="460"/>
      <c r="AI674" s="460"/>
      <c r="AJ674" s="460"/>
      <c r="AK674" s="460"/>
      <c r="AL674" s="460"/>
      <c r="AN674" s="521"/>
    </row>
    <row r="675" spans="1:51" s="474" customFormat="1" ht="12.75" customHeight="1">
      <c r="A675" s="603"/>
      <c r="B675" s="460"/>
      <c r="C675" s="850"/>
      <c r="D675" s="460"/>
      <c r="E675" s="855"/>
      <c r="F675" s="855"/>
      <c r="G675" s="540"/>
      <c r="H675" s="540"/>
      <c r="I675" s="540"/>
      <c r="J675" s="540"/>
      <c r="K675" s="540"/>
      <c r="L675" s="540"/>
      <c r="M675" s="540"/>
      <c r="N675" s="540"/>
      <c r="O675" s="540"/>
      <c r="P675" s="540"/>
      <c r="Q675" s="540"/>
      <c r="R675" s="540"/>
      <c r="S675" s="540"/>
      <c r="T675" s="540"/>
      <c r="U675" s="540"/>
      <c r="V675" s="540"/>
      <c r="W675" s="540"/>
      <c r="X675" s="540"/>
      <c r="Y675" s="540"/>
      <c r="Z675" s="855"/>
      <c r="AA675" s="855"/>
      <c r="AB675" s="855"/>
      <c r="AC675" s="460"/>
      <c r="AD675" s="460"/>
      <c r="AE675" s="460"/>
      <c r="AF675" s="460"/>
      <c r="AG675" s="540"/>
      <c r="AH675" s="540"/>
      <c r="AI675" s="540"/>
      <c r="AJ675" s="540"/>
      <c r="AK675" s="540"/>
      <c r="AL675" s="540"/>
      <c r="AM675" s="475"/>
      <c r="AN675" s="521"/>
    </row>
    <row r="676" spans="1:51" s="474" customFormat="1" ht="12.75" customHeight="1">
      <c r="A676" s="607"/>
      <c r="B676" s="525"/>
      <c r="C676" s="863"/>
      <c r="D676" s="525"/>
      <c r="E676" s="858"/>
      <c r="F676" s="589"/>
      <c r="G676" s="589"/>
      <c r="H676" s="589"/>
      <c r="I676" s="589"/>
      <c r="J676" s="589"/>
      <c r="K676" s="589"/>
      <c r="L676" s="589"/>
      <c r="M676" s="589"/>
      <c r="N676" s="589"/>
      <c r="O676" s="589"/>
      <c r="P676" s="589"/>
      <c r="Q676" s="589"/>
      <c r="R676" s="589"/>
      <c r="S676" s="589"/>
      <c r="T676" s="589"/>
      <c r="U676" s="589"/>
      <c r="V676" s="589"/>
      <c r="W676" s="589"/>
      <c r="X676" s="589"/>
      <c r="Y676" s="858"/>
      <c r="Z676" s="858"/>
      <c r="AA676" s="858"/>
      <c r="AB676" s="525"/>
      <c r="AC676" s="525"/>
      <c r="AD676" s="525"/>
      <c r="AE676" s="525"/>
      <c r="AF676" s="525"/>
      <c r="AG676" s="525"/>
      <c r="AH676" s="525"/>
      <c r="AI676" s="489" t="s">
        <v>2343</v>
      </c>
      <c r="AJ676" s="1841">
        <f>VLOOKUP($H$674,$AO$622:$AP$629,2,FALSE)</f>
        <v>4</v>
      </c>
      <c r="AK676" s="1843"/>
      <c r="AL676" s="519"/>
      <c r="AN676" s="521"/>
    </row>
    <row r="677" spans="1:51" s="474" customFormat="1" ht="12.75" customHeight="1">
      <c r="A677" s="603"/>
      <c r="B677" s="460"/>
      <c r="C677" s="850"/>
      <c r="D677" s="460"/>
      <c r="E677" s="540"/>
      <c r="F677" s="540"/>
      <c r="G677" s="540"/>
      <c r="H677" s="540"/>
      <c r="I677" s="540"/>
      <c r="J677" s="540"/>
      <c r="K677" s="540"/>
      <c r="L677" s="540"/>
      <c r="M677" s="540"/>
      <c r="N677" s="540"/>
      <c r="O677" s="540"/>
      <c r="P677" s="540"/>
      <c r="Q677" s="540"/>
      <c r="R677" s="540"/>
      <c r="S677" s="540"/>
      <c r="T677" s="540"/>
      <c r="U677" s="540"/>
      <c r="V677" s="540"/>
      <c r="W677" s="540"/>
      <c r="X677" s="540"/>
      <c r="Y677" s="540"/>
      <c r="Z677" s="540"/>
      <c r="AA677" s="540"/>
      <c r="AB677" s="540"/>
      <c r="AC677" s="540"/>
      <c r="AD677" s="564"/>
      <c r="AE677" s="460"/>
      <c r="AF677" s="460"/>
      <c r="AG677" s="460"/>
      <c r="AH677" s="460"/>
      <c r="AI677" s="460"/>
      <c r="AJ677" s="460"/>
      <c r="AK677" s="460"/>
      <c r="AL677" s="460"/>
      <c r="AN677" s="521"/>
    </row>
    <row r="678" spans="1:51" s="474" customFormat="1" ht="12.75" customHeight="1">
      <c r="A678" s="603"/>
      <c r="B678" s="460"/>
      <c r="C678" s="463" t="s">
        <v>2344</v>
      </c>
      <c r="D678" s="636"/>
      <c r="E678" s="540"/>
      <c r="F678" s="540"/>
      <c r="G678" s="540"/>
      <c r="H678" s="540"/>
      <c r="I678" s="540"/>
      <c r="J678" s="540"/>
      <c r="K678" s="540"/>
      <c r="L678" s="540"/>
      <c r="M678" s="540"/>
      <c r="N678" s="540"/>
      <c r="O678" s="540"/>
      <c r="P678" s="540"/>
      <c r="Q678" s="540"/>
      <c r="R678" s="540"/>
      <c r="S678" s="540"/>
      <c r="T678" s="540"/>
      <c r="U678" s="540"/>
      <c r="V678" s="540"/>
      <c r="W678" s="540"/>
      <c r="X678" s="540"/>
      <c r="Y678" s="540"/>
      <c r="Z678" s="540"/>
      <c r="AA678" s="540"/>
      <c r="AB678" s="540"/>
      <c r="AC678" s="540"/>
      <c r="AD678" s="564"/>
      <c r="AE678" s="460"/>
      <c r="AF678" s="460"/>
      <c r="AG678" s="460"/>
      <c r="AH678" s="460"/>
      <c r="AI678" s="460"/>
      <c r="AJ678" s="460"/>
      <c r="AK678" s="460"/>
      <c r="AL678" s="460"/>
      <c r="AN678" s="521"/>
      <c r="AW678" s="20" t="s">
        <v>2345</v>
      </c>
      <c r="AX678" s="474">
        <f>Application!Y212</f>
        <v>75</v>
      </c>
    </row>
    <row r="679" spans="1:51" s="474" customFormat="1" ht="12.75" customHeight="1">
      <c r="A679" s="603"/>
      <c r="B679" s="460"/>
      <c r="C679" s="867"/>
      <c r="D679" s="460"/>
      <c r="E679" s="460"/>
      <c r="F679" s="460"/>
      <c r="G679" s="460"/>
      <c r="H679" s="460"/>
      <c r="I679" s="460"/>
      <c r="J679" s="460"/>
      <c r="K679" s="460"/>
      <c r="L679" s="460"/>
      <c r="M679" s="460"/>
      <c r="N679" s="460"/>
      <c r="O679" s="460"/>
      <c r="P679" s="460"/>
      <c r="Q679" s="460"/>
      <c r="R679" s="460"/>
      <c r="S679" s="460"/>
      <c r="T679" s="460"/>
      <c r="U679" s="460"/>
      <c r="V679" s="460"/>
      <c r="W679" s="460"/>
      <c r="X679" s="460"/>
      <c r="Y679" s="460"/>
      <c r="Z679" s="460"/>
      <c r="AA679" s="460"/>
      <c r="AB679" s="460"/>
      <c r="AC679" s="460"/>
      <c r="AD679" s="460"/>
      <c r="AE679" s="460"/>
      <c r="AF679" s="460"/>
      <c r="AG679" s="460"/>
      <c r="AH679" s="460"/>
      <c r="AI679" s="460"/>
      <c r="AJ679" s="460"/>
      <c r="AK679" s="460"/>
      <c r="AL679" s="460"/>
      <c r="AN679" s="521"/>
      <c r="AW679" s="20" t="s">
        <v>2346</v>
      </c>
      <c r="AX679" s="1075">
        <f>Application!G753</f>
        <v>100</v>
      </c>
    </row>
    <row r="680" spans="1:51" s="474" customFormat="1" ht="12.75" customHeight="1">
      <c r="A680" s="603"/>
      <c r="B680" s="460"/>
      <c r="C680" s="867"/>
      <c r="D680" s="587" t="s">
        <v>21</v>
      </c>
      <c r="E680" s="1949" t="s">
        <v>2347</v>
      </c>
      <c r="F680" s="1949"/>
      <c r="G680" s="1949"/>
      <c r="H680" s="1949"/>
      <c r="I680" s="1949"/>
      <c r="J680" s="1949"/>
      <c r="K680" s="1949"/>
      <c r="L680" s="1949"/>
      <c r="M680" s="1949"/>
      <c r="N680" s="1949"/>
      <c r="O680" s="1949"/>
      <c r="P680" s="1949"/>
      <c r="Q680" s="1949"/>
      <c r="R680" s="1949"/>
      <c r="S680" s="1949"/>
      <c r="T680" s="1949"/>
      <c r="U680" s="1949"/>
      <c r="V680" s="1949"/>
      <c r="W680" s="1949"/>
      <c r="X680" s="1949"/>
      <c r="Y680" s="1949"/>
      <c r="Z680" s="1949"/>
      <c r="AA680" s="1949"/>
      <c r="AB680" s="1949"/>
      <c r="AC680" s="460"/>
      <c r="AD680" s="460"/>
      <c r="AE680" s="460"/>
      <c r="AF680" s="1914" t="s">
        <v>2034</v>
      </c>
      <c r="AG680" s="1914"/>
      <c r="AH680" s="1914"/>
      <c r="AI680" s="1914"/>
      <c r="AJ680" s="1914"/>
      <c r="AK680" s="1914"/>
      <c r="AL680" s="1914"/>
      <c r="AN680" s="521"/>
      <c r="AW680" s="20" t="s">
        <v>2348</v>
      </c>
      <c r="AX680" s="474">
        <f>Application!CC632</f>
        <v>0</v>
      </c>
    </row>
    <row r="681" spans="1:51" s="474" customFormat="1" ht="12.75" customHeight="1">
      <c r="A681" s="603"/>
      <c r="B681" s="460"/>
      <c r="C681" s="867"/>
      <c r="D681" s="587"/>
      <c r="E681" s="1949"/>
      <c r="F681" s="1949"/>
      <c r="G681" s="1949"/>
      <c r="H681" s="1949"/>
      <c r="I681" s="1949"/>
      <c r="J681" s="1949"/>
      <c r="K681" s="1949"/>
      <c r="L681" s="1949"/>
      <c r="M681" s="1949"/>
      <c r="N681" s="1949"/>
      <c r="O681" s="1949"/>
      <c r="P681" s="1949"/>
      <c r="Q681" s="1949"/>
      <c r="R681" s="1949"/>
      <c r="S681" s="1949"/>
      <c r="T681" s="1949"/>
      <c r="U681" s="1949"/>
      <c r="V681" s="1949"/>
      <c r="W681" s="1949"/>
      <c r="X681" s="1949"/>
      <c r="Y681" s="1949"/>
      <c r="Z681" s="1949"/>
      <c r="AA681" s="1949"/>
      <c r="AB681" s="1949"/>
      <c r="AC681" s="460"/>
      <c r="AD681" s="460"/>
      <c r="AE681" s="460"/>
      <c r="AF681" s="460"/>
      <c r="AG681" s="460"/>
      <c r="AH681" s="460"/>
      <c r="AI681" s="460"/>
      <c r="AJ681" s="460"/>
      <c r="AK681" s="460"/>
      <c r="AL681" s="460"/>
      <c r="AN681" s="521"/>
      <c r="AW681" s="20" t="s">
        <v>2349</v>
      </c>
      <c r="AX681" s="474">
        <f>Application!CH632</f>
        <v>0</v>
      </c>
    </row>
    <row r="682" spans="1:51" s="474" customFormat="1" ht="12.75" customHeight="1">
      <c r="A682" s="603"/>
      <c r="B682" s="460"/>
      <c r="C682" s="867"/>
      <c r="D682" s="587"/>
      <c r="E682" s="460"/>
      <c r="F682" s="460"/>
      <c r="G682" s="460"/>
      <c r="H682" s="460"/>
      <c r="I682" s="460"/>
      <c r="J682" s="460"/>
      <c r="K682" s="460"/>
      <c r="L682" s="460"/>
      <c r="M682" s="460"/>
      <c r="N682" s="460"/>
      <c r="O682" s="460"/>
      <c r="P682" s="460"/>
      <c r="Q682" s="460"/>
      <c r="R682" s="460"/>
      <c r="S682" s="460"/>
      <c r="T682" s="460"/>
      <c r="U682" s="460"/>
      <c r="V682" s="460"/>
      <c r="W682" s="460"/>
      <c r="X682" s="460"/>
      <c r="Y682" s="460"/>
      <c r="Z682" s="460"/>
      <c r="AA682" s="460"/>
      <c r="AB682" s="460"/>
      <c r="AC682" s="460"/>
      <c r="AD682" s="460"/>
      <c r="AE682" s="460"/>
      <c r="AF682" s="460"/>
      <c r="AG682" s="460"/>
      <c r="AH682" s="460"/>
      <c r="AI682" s="460"/>
      <c r="AJ682" s="460"/>
      <c r="AK682" s="460"/>
      <c r="AL682" s="460"/>
      <c r="AN682" s="521"/>
      <c r="AW682" s="20" t="s">
        <v>2350</v>
      </c>
      <c r="AX682" s="474">
        <f>Application!CM632</f>
        <v>0</v>
      </c>
    </row>
    <row r="683" spans="1:51" s="474" customFormat="1" ht="12.75" customHeight="1">
      <c r="B683" s="460"/>
      <c r="C683" s="850"/>
      <c r="D683" s="587" t="s">
        <v>26</v>
      </c>
      <c r="E683" s="1834" t="s">
        <v>2351</v>
      </c>
      <c r="F683" s="1834"/>
      <c r="G683" s="1834"/>
      <c r="H683" s="1834"/>
      <c r="I683" s="1834"/>
      <c r="J683" s="1834"/>
      <c r="K683" s="1834"/>
      <c r="L683" s="1834"/>
      <c r="M683" s="1834"/>
      <c r="N683" s="1834"/>
      <c r="O683" s="1834"/>
      <c r="P683" s="1834"/>
      <c r="Q683" s="1834"/>
      <c r="R683" s="1834"/>
      <c r="S683" s="1834"/>
      <c r="T683" s="1834"/>
      <c r="U683" s="1834"/>
      <c r="V683" s="1834"/>
      <c r="W683" s="1834"/>
      <c r="X683" s="1834"/>
      <c r="Y683" s="1834"/>
      <c r="Z683" s="1834"/>
      <c r="AA683" s="1834"/>
      <c r="AB683" s="1834"/>
      <c r="AC683" s="460"/>
      <c r="AD683" s="460"/>
      <c r="AE683" s="460"/>
      <c r="AF683" s="1914" t="s">
        <v>2034</v>
      </c>
      <c r="AG683" s="1914"/>
      <c r="AH683" s="1914"/>
      <c r="AI683" s="1914"/>
      <c r="AJ683" s="1914"/>
      <c r="AK683" s="1914"/>
      <c r="AL683" s="1914"/>
      <c r="AN683" s="521"/>
      <c r="AW683" s="20" t="s">
        <v>2352</v>
      </c>
      <c r="AX683" s="474">
        <f>AX680+AX681+AX682</f>
        <v>0</v>
      </c>
    </row>
    <row r="684" spans="1:51" s="474" customFormat="1" ht="12.75" customHeight="1">
      <c r="B684" s="460"/>
      <c r="C684" s="859"/>
      <c r="D684" s="587"/>
      <c r="E684" s="1834"/>
      <c r="F684" s="1834"/>
      <c r="G684" s="1834"/>
      <c r="H684" s="1834"/>
      <c r="I684" s="1834"/>
      <c r="J684" s="1834"/>
      <c r="K684" s="1834"/>
      <c r="L684" s="1834"/>
      <c r="M684" s="1834"/>
      <c r="N684" s="1834"/>
      <c r="O684" s="1834"/>
      <c r="P684" s="1834"/>
      <c r="Q684" s="1834"/>
      <c r="R684" s="1834"/>
      <c r="S684" s="1834"/>
      <c r="T684" s="1834"/>
      <c r="U684" s="1834"/>
      <c r="V684" s="1834"/>
      <c r="W684" s="1834"/>
      <c r="X684" s="1834"/>
      <c r="Y684" s="1834"/>
      <c r="Z684" s="1834"/>
      <c r="AA684" s="1834"/>
      <c r="AB684" s="1834"/>
      <c r="AC684" s="460"/>
      <c r="AD684" s="460"/>
      <c r="AE684" s="540"/>
      <c r="AF684" s="460"/>
      <c r="AG684" s="460"/>
      <c r="AH684" s="460"/>
      <c r="AI684" s="460"/>
      <c r="AJ684" s="460"/>
      <c r="AK684" s="460"/>
      <c r="AL684" s="460"/>
      <c r="AN684" s="521"/>
      <c r="AO684" s="1849" t="b">
        <f>IF(Application!D211="Special Needs",IF(AY684&gt;=0.25,TRUE,FALSE),IF(AX684&gt;=0.25,TRUE,FALSE))</f>
        <v>0</v>
      </c>
      <c r="AP684" s="1849"/>
      <c r="AW684" s="20" t="s">
        <v>2353</v>
      </c>
      <c r="AX684" s="474">
        <f>IFERROR(AX683/AX679,0)</f>
        <v>0</v>
      </c>
      <c r="AY684" s="474">
        <f>IFERROR(AX683/(AX679-AX678),0)</f>
        <v>0</v>
      </c>
    </row>
    <row r="685" spans="1:51" s="474" customFormat="1" ht="12.75" customHeight="1">
      <c r="B685" s="460"/>
      <c r="C685" s="859"/>
      <c r="E685" s="1834"/>
      <c r="F685" s="1834"/>
      <c r="G685" s="1834"/>
      <c r="H685" s="1834"/>
      <c r="I685" s="1834"/>
      <c r="J685" s="1834"/>
      <c r="K685" s="1834"/>
      <c r="L685" s="1834"/>
      <c r="M685" s="1834"/>
      <c r="N685" s="1834"/>
      <c r="O685" s="1834"/>
      <c r="P685" s="1834"/>
      <c r="Q685" s="1834"/>
      <c r="R685" s="1834"/>
      <c r="S685" s="1834"/>
      <c r="T685" s="1834"/>
      <c r="U685" s="1834"/>
      <c r="V685" s="1834"/>
      <c r="W685" s="1834"/>
      <c r="X685" s="1834"/>
      <c r="Y685" s="1834"/>
      <c r="Z685" s="1834"/>
      <c r="AA685" s="1834"/>
      <c r="AB685" s="1834"/>
      <c r="AC685" s="460"/>
      <c r="AD685" s="460"/>
      <c r="AE685" s="540"/>
      <c r="AF685" s="540"/>
      <c r="AG685" s="540"/>
      <c r="AH685" s="540"/>
      <c r="AI685" s="540"/>
      <c r="AJ685" s="540"/>
      <c r="AK685" s="540"/>
      <c r="AL685" s="540"/>
      <c r="AN685" s="521"/>
      <c r="AW685" s="14"/>
    </row>
    <row r="686" spans="1:51" s="474" customFormat="1" ht="28.5" customHeight="1">
      <c r="B686" s="460"/>
      <c r="C686" s="859"/>
      <c r="D686" s="460"/>
      <c r="E686" s="1834"/>
      <c r="F686" s="1834"/>
      <c r="G686" s="1834"/>
      <c r="H686" s="1834"/>
      <c r="I686" s="1834"/>
      <c r="J686" s="1834"/>
      <c r="K686" s="1834"/>
      <c r="L686" s="1834"/>
      <c r="M686" s="1834"/>
      <c r="N686" s="1834"/>
      <c r="O686" s="1834"/>
      <c r="P686" s="1834"/>
      <c r="Q686" s="1834"/>
      <c r="R686" s="1834"/>
      <c r="S686" s="1834"/>
      <c r="T686" s="1834"/>
      <c r="U686" s="1834"/>
      <c r="V686" s="1834"/>
      <c r="W686" s="1834"/>
      <c r="X686" s="1834"/>
      <c r="Y686" s="1834"/>
      <c r="Z686" s="1834"/>
      <c r="AA686" s="1834"/>
      <c r="AB686" s="1834"/>
      <c r="AC686" s="460"/>
      <c r="AD686" s="460"/>
      <c r="AE686" s="540"/>
      <c r="AF686" s="540"/>
      <c r="AG686" s="540"/>
      <c r="AH686" s="540"/>
      <c r="AI686" s="540"/>
      <c r="AJ686" s="540"/>
      <c r="AK686" s="540"/>
      <c r="AL686" s="540"/>
      <c r="AN686" s="521"/>
      <c r="AO686" s="474" t="s">
        <v>299</v>
      </c>
      <c r="AP686" s="597">
        <v>0</v>
      </c>
    </row>
    <row r="687" spans="1:51" s="474" customFormat="1" ht="12.75" customHeight="1">
      <c r="B687" s="460"/>
      <c r="C687" s="859"/>
      <c r="E687" s="499"/>
      <c r="F687" s="499"/>
      <c r="G687" s="499"/>
      <c r="H687" s="499"/>
      <c r="I687" s="499"/>
      <c r="J687" s="499"/>
      <c r="K687" s="499"/>
      <c r="L687" s="499"/>
      <c r="M687" s="499"/>
      <c r="N687" s="499"/>
      <c r="O687" s="499"/>
      <c r="P687" s="499"/>
      <c r="Q687" s="499"/>
      <c r="R687" s="499"/>
      <c r="S687" s="499"/>
      <c r="T687" s="499"/>
      <c r="U687" s="499"/>
      <c r="V687" s="499"/>
      <c r="W687" s="499"/>
      <c r="X687" s="499"/>
      <c r="Y687" s="499"/>
      <c r="Z687" s="499"/>
      <c r="AA687" s="499"/>
      <c r="AB687" s="499"/>
      <c r="AC687" s="460"/>
      <c r="AD687" s="460"/>
      <c r="AE687" s="540"/>
      <c r="AF687" s="540"/>
      <c r="AG687" s="540"/>
      <c r="AH687" s="540"/>
      <c r="AI687" s="540"/>
      <c r="AJ687" s="540"/>
      <c r="AK687" s="540"/>
      <c r="AL687" s="540"/>
      <c r="AN687" s="521"/>
      <c r="AO687" s="535" t="s">
        <v>21</v>
      </c>
      <c r="AP687" s="474">
        <v>2</v>
      </c>
    </row>
    <row r="688" spans="1:51" s="474" customFormat="1" ht="12.75" customHeight="1">
      <c r="B688" s="460"/>
      <c r="C688" s="850"/>
      <c r="D688" s="587" t="s">
        <v>48</v>
      </c>
      <c r="E688" s="1834" t="s">
        <v>2354</v>
      </c>
      <c r="F688" s="1834"/>
      <c r="G688" s="1834"/>
      <c r="H688" s="1834"/>
      <c r="I688" s="1834"/>
      <c r="J688" s="1834"/>
      <c r="K688" s="1834"/>
      <c r="L688" s="1834"/>
      <c r="M688" s="1834"/>
      <c r="N688" s="1834"/>
      <c r="O688" s="1834"/>
      <c r="P688" s="1834"/>
      <c r="Q688" s="1834"/>
      <c r="R688" s="1834"/>
      <c r="S688" s="1834"/>
      <c r="T688" s="1834"/>
      <c r="U688" s="1834"/>
      <c r="V688" s="1834"/>
      <c r="W688" s="1834"/>
      <c r="X688" s="1834"/>
      <c r="Y688" s="1834"/>
      <c r="Z688" s="1834"/>
      <c r="AA688" s="1834"/>
      <c r="AB688" s="1834"/>
      <c r="AC688" s="460"/>
      <c r="AD688" s="460"/>
      <c r="AE688" s="460"/>
      <c r="AF688" s="1914" t="s">
        <v>2324</v>
      </c>
      <c r="AG688" s="1914"/>
      <c r="AH688" s="1914"/>
      <c r="AI688" s="1914"/>
      <c r="AJ688" s="1914"/>
      <c r="AK688" s="1914"/>
      <c r="AL688" s="1914"/>
      <c r="AN688" s="521"/>
      <c r="AO688" s="535" t="s">
        <v>26</v>
      </c>
      <c r="AP688" s="474">
        <v>1</v>
      </c>
    </row>
    <row r="689" spans="1:42" s="474" customFormat="1" ht="12" customHeight="1">
      <c r="B689" s="460"/>
      <c r="C689" s="850"/>
      <c r="E689" s="1834"/>
      <c r="F689" s="1834"/>
      <c r="G689" s="1834"/>
      <c r="H689" s="1834"/>
      <c r="I689" s="1834"/>
      <c r="J689" s="1834"/>
      <c r="K689" s="1834"/>
      <c r="L689" s="1834"/>
      <c r="M689" s="1834"/>
      <c r="N689" s="1834"/>
      <c r="O689" s="1834"/>
      <c r="P689" s="1834"/>
      <c r="Q689" s="1834"/>
      <c r="R689" s="1834"/>
      <c r="S689" s="1834"/>
      <c r="T689" s="1834"/>
      <c r="U689" s="1834"/>
      <c r="V689" s="1834"/>
      <c r="W689" s="1834"/>
      <c r="X689" s="1834"/>
      <c r="Y689" s="1834"/>
      <c r="Z689" s="1834"/>
      <c r="AA689" s="1834"/>
      <c r="AB689" s="1834"/>
      <c r="AC689" s="460"/>
      <c r="AD689" s="460"/>
      <c r="AE689" s="540"/>
      <c r="AF689" s="460"/>
      <c r="AG689" s="460"/>
      <c r="AH689" s="460"/>
      <c r="AI689" s="460"/>
      <c r="AJ689" s="460"/>
      <c r="AK689" s="460"/>
      <c r="AL689" s="460"/>
      <c r="AN689" s="521"/>
    </row>
    <row r="690" spans="1:42" s="474" customFormat="1" ht="12" customHeight="1">
      <c r="B690" s="460"/>
      <c r="C690" s="850"/>
      <c r="D690" s="460"/>
      <c r="E690" s="1834"/>
      <c r="F690" s="1834"/>
      <c r="G690" s="1834"/>
      <c r="H690" s="1834"/>
      <c r="I690" s="1834"/>
      <c r="J690" s="1834"/>
      <c r="K690" s="1834"/>
      <c r="L690" s="1834"/>
      <c r="M690" s="1834"/>
      <c r="N690" s="1834"/>
      <c r="O690" s="1834"/>
      <c r="P690" s="1834"/>
      <c r="Q690" s="1834"/>
      <c r="R690" s="1834"/>
      <c r="S690" s="1834"/>
      <c r="T690" s="1834"/>
      <c r="U690" s="1834"/>
      <c r="V690" s="1834"/>
      <c r="W690" s="1834"/>
      <c r="X690" s="1834"/>
      <c r="Y690" s="1834"/>
      <c r="Z690" s="1834"/>
      <c r="AA690" s="1834"/>
      <c r="AB690" s="1834"/>
      <c r="AC690" s="460"/>
      <c r="AD690" s="460"/>
      <c r="AE690" s="540"/>
      <c r="AF690" s="460"/>
      <c r="AG690" s="460"/>
      <c r="AH690" s="460"/>
      <c r="AI690" s="460"/>
      <c r="AJ690" s="460"/>
      <c r="AK690" s="460"/>
      <c r="AL690" s="460"/>
      <c r="AN690" s="521"/>
    </row>
    <row r="691" spans="1:42" s="474" customFormat="1" ht="12" customHeight="1">
      <c r="B691" s="460"/>
      <c r="C691" s="850"/>
      <c r="D691" s="460"/>
      <c r="E691" s="1834"/>
      <c r="F691" s="1834"/>
      <c r="G691" s="1834"/>
      <c r="H691" s="1834"/>
      <c r="I691" s="1834"/>
      <c r="J691" s="1834"/>
      <c r="K691" s="1834"/>
      <c r="L691" s="1834"/>
      <c r="M691" s="1834"/>
      <c r="N691" s="1834"/>
      <c r="O691" s="1834"/>
      <c r="P691" s="1834"/>
      <c r="Q691" s="1834"/>
      <c r="R691" s="1834"/>
      <c r="S691" s="1834"/>
      <c r="T691" s="1834"/>
      <c r="U691" s="1834"/>
      <c r="V691" s="1834"/>
      <c r="W691" s="1834"/>
      <c r="X691" s="1834"/>
      <c r="Y691" s="1834"/>
      <c r="Z691" s="1834"/>
      <c r="AA691" s="1834"/>
      <c r="AB691" s="1834"/>
      <c r="AC691" s="460"/>
      <c r="AD691" s="460"/>
      <c r="AE691" s="540"/>
      <c r="AF691" s="460"/>
      <c r="AG691" s="460"/>
      <c r="AH691" s="460"/>
      <c r="AI691" s="460"/>
      <c r="AJ691" s="460"/>
      <c r="AK691" s="460"/>
      <c r="AL691" s="460"/>
      <c r="AN691" s="521"/>
    </row>
    <row r="692" spans="1:42" s="494" customFormat="1" ht="13.2" customHeight="1">
      <c r="A692" s="474"/>
      <c r="B692" s="460"/>
      <c r="C692" s="850"/>
      <c r="D692" s="460"/>
      <c r="E692" s="1834"/>
      <c r="F692" s="1834"/>
      <c r="G692" s="1834"/>
      <c r="H692" s="1834"/>
      <c r="I692" s="1834"/>
      <c r="J692" s="1834"/>
      <c r="K692" s="1834"/>
      <c r="L692" s="1834"/>
      <c r="M692" s="1834"/>
      <c r="N692" s="1834"/>
      <c r="O692" s="1834"/>
      <c r="P692" s="1834"/>
      <c r="Q692" s="1834"/>
      <c r="R692" s="1834"/>
      <c r="S692" s="1834"/>
      <c r="T692" s="1834"/>
      <c r="U692" s="1834"/>
      <c r="V692" s="1834"/>
      <c r="W692" s="1834"/>
      <c r="X692" s="1834"/>
      <c r="Y692" s="1834"/>
      <c r="Z692" s="1834"/>
      <c r="AA692" s="1834"/>
      <c r="AB692" s="1834"/>
      <c r="AC692" s="460"/>
      <c r="AD692" s="460"/>
      <c r="AE692" s="540"/>
      <c r="AF692" s="540"/>
      <c r="AG692" s="540"/>
      <c r="AH692" s="540"/>
      <c r="AI692" s="540"/>
      <c r="AJ692" s="460"/>
      <c r="AK692" s="460"/>
      <c r="AL692" s="460"/>
      <c r="AM692" s="474"/>
      <c r="AN692" s="608"/>
      <c r="AO692" s="474" t="s">
        <v>299</v>
      </c>
      <c r="AP692" s="597">
        <v>0</v>
      </c>
    </row>
    <row r="693" spans="1:42" s="494" customFormat="1" ht="12" customHeight="1">
      <c r="A693" s="474"/>
      <c r="B693" s="460"/>
      <c r="C693" s="850"/>
      <c r="D693" s="460"/>
      <c r="E693" s="567"/>
      <c r="F693" s="567"/>
      <c r="G693" s="567"/>
      <c r="H693" s="567"/>
      <c r="I693" s="567"/>
      <c r="J693" s="567"/>
      <c r="K693" s="567"/>
      <c r="L693" s="567"/>
      <c r="M693" s="567"/>
      <c r="N693" s="567"/>
      <c r="O693" s="567"/>
      <c r="P693" s="567"/>
      <c r="Q693" s="567"/>
      <c r="R693" s="567"/>
      <c r="S693" s="567"/>
      <c r="T693" s="567"/>
      <c r="U693" s="567"/>
      <c r="V693" s="567"/>
      <c r="W693" s="567"/>
      <c r="X693" s="567"/>
      <c r="Y693" s="567"/>
      <c r="Z693" s="567"/>
      <c r="AA693" s="567"/>
      <c r="AB693" s="567"/>
      <c r="AC693" s="460"/>
      <c r="AD693" s="460"/>
      <c r="AE693" s="540"/>
      <c r="AF693" s="540"/>
      <c r="AG693" s="540"/>
      <c r="AH693" s="540"/>
      <c r="AI693" s="540"/>
      <c r="AJ693" s="460"/>
      <c r="AK693" s="460"/>
      <c r="AL693" s="460"/>
      <c r="AM693" s="474"/>
      <c r="AN693" s="608"/>
      <c r="AO693" s="535" t="s">
        <v>21</v>
      </c>
      <c r="AP693" s="474">
        <v>3</v>
      </c>
    </row>
    <row r="694" spans="1:42" s="494" customFormat="1" ht="12.75" customHeight="1">
      <c r="A694" s="474"/>
      <c r="B694" s="460"/>
      <c r="C694" s="850"/>
      <c r="D694" s="460"/>
      <c r="E694" s="1834" t="s">
        <v>2355</v>
      </c>
      <c r="F694" s="1834"/>
      <c r="G694" s="1834"/>
      <c r="H694" s="1834"/>
      <c r="I694" s="1834"/>
      <c r="J694" s="1834"/>
      <c r="K694" s="1834"/>
      <c r="L694" s="1834"/>
      <c r="M694" s="1834"/>
      <c r="N694" s="1834"/>
      <c r="O694" s="1834"/>
      <c r="P694" s="1834"/>
      <c r="Q694" s="1834"/>
      <c r="R694" s="1834"/>
      <c r="S694" s="1834"/>
      <c r="T694" s="1834"/>
      <c r="U694" s="1834"/>
      <c r="V694" s="1834"/>
      <c r="W694" s="1834"/>
      <c r="X694" s="1834"/>
      <c r="Y694" s="1834"/>
      <c r="Z694" s="1834"/>
      <c r="AA694" s="1834"/>
      <c r="AB694" s="1834"/>
      <c r="AC694" s="460"/>
      <c r="AD694" s="460"/>
      <c r="AE694" s="540"/>
      <c r="AF694" s="540"/>
      <c r="AG694" s="540"/>
      <c r="AH694" s="540"/>
      <c r="AI694" s="540"/>
      <c r="AJ694" s="460"/>
      <c r="AK694" s="460"/>
      <c r="AL694" s="460"/>
      <c r="AM694" s="474"/>
      <c r="AN694" s="608"/>
      <c r="AO694" s="535" t="s">
        <v>26</v>
      </c>
      <c r="AP694" s="474">
        <f>3*$AO$684</f>
        <v>0</v>
      </c>
    </row>
    <row r="695" spans="1:42" s="494" customFormat="1" ht="12.75" customHeight="1">
      <c r="A695" s="474"/>
      <c r="B695" s="460"/>
      <c r="C695" s="850"/>
      <c r="D695" s="460"/>
      <c r="E695" s="1834"/>
      <c r="F695" s="1834"/>
      <c r="G695" s="1834"/>
      <c r="H695" s="1834"/>
      <c r="I695" s="1834"/>
      <c r="J695" s="1834"/>
      <c r="K695" s="1834"/>
      <c r="L695" s="1834"/>
      <c r="M695" s="1834"/>
      <c r="N695" s="1834"/>
      <c r="O695" s="1834"/>
      <c r="P695" s="1834"/>
      <c r="Q695" s="1834"/>
      <c r="R695" s="1834"/>
      <c r="S695" s="1834"/>
      <c r="T695" s="1834"/>
      <c r="U695" s="1834"/>
      <c r="V695" s="1834"/>
      <c r="W695" s="1834"/>
      <c r="X695" s="1834"/>
      <c r="Y695" s="1834"/>
      <c r="Z695" s="1834"/>
      <c r="AA695" s="1834"/>
      <c r="AB695" s="1834"/>
      <c r="AC695" s="460"/>
      <c r="AD695" s="460"/>
      <c r="AE695" s="540"/>
      <c r="AF695" s="540"/>
      <c r="AG695" s="540"/>
      <c r="AH695" s="540"/>
      <c r="AI695" s="540"/>
      <c r="AJ695" s="460"/>
      <c r="AK695" s="460"/>
      <c r="AL695" s="460"/>
      <c r="AM695" s="474"/>
      <c r="AN695" s="608"/>
      <c r="AO695" s="535" t="s">
        <v>48</v>
      </c>
      <c r="AP695" s="474">
        <f>2*$AO$684</f>
        <v>0</v>
      </c>
    </row>
    <row r="696" spans="1:42" s="494" customFormat="1" ht="12.75" customHeight="1">
      <c r="A696" s="474"/>
      <c r="B696" s="460"/>
      <c r="C696" s="850"/>
      <c r="D696" s="460"/>
      <c r="E696" s="1834"/>
      <c r="F696" s="1834"/>
      <c r="G696" s="1834"/>
      <c r="H696" s="1834"/>
      <c r="I696" s="1834"/>
      <c r="J696" s="1834"/>
      <c r="K696" s="1834"/>
      <c r="L696" s="1834"/>
      <c r="M696" s="1834"/>
      <c r="N696" s="1834"/>
      <c r="O696" s="1834"/>
      <c r="P696" s="1834"/>
      <c r="Q696" s="1834"/>
      <c r="R696" s="1834"/>
      <c r="S696" s="1834"/>
      <c r="T696" s="1834"/>
      <c r="U696" s="1834"/>
      <c r="V696" s="1834"/>
      <c r="W696" s="1834"/>
      <c r="X696" s="1834"/>
      <c r="Y696" s="1834"/>
      <c r="Z696" s="1834"/>
      <c r="AA696" s="1834"/>
      <c r="AB696" s="1834"/>
      <c r="AC696" s="460"/>
      <c r="AD696" s="460"/>
      <c r="AE696" s="540"/>
      <c r="AF696" s="540"/>
      <c r="AG696" s="540"/>
      <c r="AH696" s="540"/>
      <c r="AI696" s="540"/>
      <c r="AJ696" s="460"/>
      <c r="AK696" s="460"/>
      <c r="AL696" s="460"/>
      <c r="AM696" s="474"/>
      <c r="AN696" s="608"/>
    </row>
    <row r="697" spans="1:42" s="494" customFormat="1" ht="12.75" customHeight="1">
      <c r="A697" s="474"/>
      <c r="B697" s="460"/>
      <c r="C697" s="850"/>
      <c r="D697" s="460"/>
      <c r="E697" s="567"/>
      <c r="F697" s="567"/>
      <c r="G697" s="567"/>
      <c r="H697" s="567"/>
      <c r="I697" s="567"/>
      <c r="J697" s="567"/>
      <c r="K697" s="567"/>
      <c r="L697" s="567"/>
      <c r="M697" s="567"/>
      <c r="N697" s="567"/>
      <c r="O697" s="567"/>
      <c r="P697" s="567"/>
      <c r="Q697" s="567"/>
      <c r="R697" s="567"/>
      <c r="S697" s="567"/>
      <c r="T697" s="567"/>
      <c r="U697" s="567"/>
      <c r="V697" s="567"/>
      <c r="W697" s="567"/>
      <c r="X697" s="567"/>
      <c r="Y697" s="567"/>
      <c r="Z697" s="567"/>
      <c r="AA697" s="567"/>
      <c r="AB697" s="567"/>
      <c r="AC697" s="460"/>
      <c r="AD697" s="460"/>
      <c r="AE697" s="540"/>
      <c r="AF697" s="540"/>
      <c r="AG697" s="540"/>
      <c r="AH697" s="540"/>
      <c r="AI697" s="540"/>
      <c r="AJ697" s="460"/>
      <c r="AK697" s="460"/>
      <c r="AL697" s="460"/>
      <c r="AM697" s="474"/>
      <c r="AN697" s="608"/>
    </row>
    <row r="698" spans="1:42" s="494" customFormat="1" ht="12.75" customHeight="1">
      <c r="A698" s="474"/>
      <c r="B698" s="460"/>
      <c r="C698" s="850"/>
      <c r="D698" s="460" t="s">
        <v>2310</v>
      </c>
      <c r="E698" s="855"/>
      <c r="F698" s="855"/>
      <c r="G698" s="855"/>
      <c r="H698" s="1858" t="s">
        <v>299</v>
      </c>
      <c r="I698" s="1858"/>
      <c r="J698" s="567"/>
      <c r="K698" s="567"/>
      <c r="L698" s="567"/>
      <c r="M698" s="567"/>
      <c r="N698" s="567"/>
      <c r="O698" s="567"/>
      <c r="P698" s="567"/>
      <c r="Q698" s="567"/>
      <c r="R698" s="567"/>
      <c r="S698" s="567"/>
      <c r="T698" s="567"/>
      <c r="U698" s="567"/>
      <c r="V698" s="567"/>
      <c r="W698" s="567"/>
      <c r="X698" s="567"/>
      <c r="Y698" s="567"/>
      <c r="Z698" s="567"/>
      <c r="AA698" s="567"/>
      <c r="AB698" s="567"/>
      <c r="AC698" s="460"/>
      <c r="AD698" s="460"/>
      <c r="AE698" s="540"/>
      <c r="AF698" s="540"/>
      <c r="AG698" s="540"/>
      <c r="AH698" s="540"/>
      <c r="AI698" s="540"/>
      <c r="AJ698" s="460"/>
      <c r="AK698" s="460"/>
      <c r="AL698" s="460"/>
      <c r="AM698" s="474"/>
      <c r="AN698" s="608"/>
      <c r="AP698" s="494" t="s">
        <v>2356</v>
      </c>
    </row>
    <row r="699" spans="1:42" s="494" customFormat="1">
      <c r="A699" s="474"/>
      <c r="B699" s="460"/>
      <c r="C699" s="850"/>
      <c r="D699" s="460"/>
      <c r="E699" s="567"/>
      <c r="F699" s="567"/>
      <c r="G699" s="567"/>
      <c r="H699" s="567"/>
      <c r="I699" s="567"/>
      <c r="J699" s="567"/>
      <c r="K699" s="567"/>
      <c r="L699" s="567"/>
      <c r="M699" s="567"/>
      <c r="N699" s="567"/>
      <c r="O699" s="567"/>
      <c r="P699" s="567"/>
      <c r="Q699" s="567"/>
      <c r="R699" s="567"/>
      <c r="S699" s="567"/>
      <c r="T699" s="567"/>
      <c r="U699" s="567"/>
      <c r="V699" s="567"/>
      <c r="W699" s="567"/>
      <c r="X699" s="567"/>
      <c r="Y699" s="567"/>
      <c r="Z699" s="567"/>
      <c r="AA699" s="567"/>
      <c r="AB699" s="567"/>
      <c r="AC699" s="460"/>
      <c r="AD699" s="460"/>
      <c r="AE699" s="540"/>
      <c r="AF699" s="540"/>
      <c r="AG699" s="540"/>
      <c r="AH699" s="540"/>
      <c r="AI699" s="540"/>
      <c r="AJ699" s="460"/>
      <c r="AK699" s="460"/>
      <c r="AL699" s="460"/>
      <c r="AM699" s="474"/>
      <c r="AN699" s="608"/>
      <c r="AP699" s="494" t="s">
        <v>2320</v>
      </c>
    </row>
    <row r="700" spans="1:42" s="494" customFormat="1" ht="12.75" customHeight="1">
      <c r="A700" s="530"/>
      <c r="B700" s="525"/>
      <c r="C700" s="863"/>
      <c r="D700" s="525"/>
      <c r="E700" s="525"/>
      <c r="F700" s="525"/>
      <c r="G700" s="525"/>
      <c r="H700" s="525"/>
      <c r="I700" s="525"/>
      <c r="J700" s="868"/>
      <c r="K700" s="868"/>
      <c r="L700" s="589"/>
      <c r="M700" s="589"/>
      <c r="N700" s="589"/>
      <c r="O700" s="589"/>
      <c r="P700" s="589"/>
      <c r="Q700" s="589"/>
      <c r="R700" s="589"/>
      <c r="S700" s="589"/>
      <c r="T700" s="589"/>
      <c r="U700" s="589"/>
      <c r="V700" s="589"/>
      <c r="W700" s="589"/>
      <c r="X700" s="589"/>
      <c r="Y700" s="858"/>
      <c r="Z700" s="858"/>
      <c r="AA700" s="858"/>
      <c r="AB700" s="525"/>
      <c r="AC700" s="525"/>
      <c r="AD700" s="525"/>
      <c r="AE700" s="525"/>
      <c r="AF700" s="525"/>
      <c r="AG700" s="525"/>
      <c r="AH700" s="525"/>
      <c r="AI700" s="489" t="s">
        <v>2357</v>
      </c>
      <c r="AJ700" s="1841">
        <f>VLOOKUP($H$698,$AO$692:$AP$695,2,FALSE)</f>
        <v>0</v>
      </c>
      <c r="AK700" s="1843"/>
      <c r="AL700" s="519"/>
      <c r="AM700" s="474"/>
      <c r="AN700" s="608"/>
      <c r="AP700" s="494" t="s">
        <v>2328</v>
      </c>
    </row>
    <row r="701" spans="1:42" s="494" customFormat="1">
      <c r="A701" s="474"/>
      <c r="B701" s="460"/>
      <c r="C701" s="460"/>
      <c r="D701" s="460"/>
      <c r="E701" s="460"/>
      <c r="F701" s="460"/>
      <c r="G701" s="460"/>
      <c r="H701" s="460"/>
      <c r="I701" s="460"/>
      <c r="J701" s="460"/>
      <c r="K701" s="460"/>
      <c r="L701" s="460"/>
      <c r="M701" s="460"/>
      <c r="N701" s="460"/>
      <c r="O701" s="460"/>
      <c r="P701" s="460"/>
      <c r="Q701" s="460"/>
      <c r="R701" s="460"/>
      <c r="S701" s="460"/>
      <c r="T701" s="460"/>
      <c r="U701" s="460"/>
      <c r="V701" s="460"/>
      <c r="W701" s="460"/>
      <c r="X701" s="460"/>
      <c r="Y701" s="460"/>
      <c r="Z701" s="460"/>
      <c r="AA701" s="460"/>
      <c r="AB701" s="460"/>
      <c r="AC701" s="460"/>
      <c r="AD701" s="460"/>
      <c r="AE701" s="540"/>
      <c r="AF701" s="540"/>
      <c r="AG701" s="540"/>
      <c r="AH701" s="540"/>
      <c r="AI701" s="540"/>
      <c r="AJ701" s="460"/>
      <c r="AK701" s="460"/>
      <c r="AL701" s="460"/>
      <c r="AM701" s="474"/>
      <c r="AN701" s="608"/>
      <c r="AP701" s="494" t="s">
        <v>2358</v>
      </c>
    </row>
    <row r="702" spans="1:42" s="494" customFormat="1" ht="12.75" customHeight="1">
      <c r="A702" s="474"/>
      <c r="B702" s="460"/>
      <c r="C702" s="463" t="s">
        <v>2359</v>
      </c>
      <c r="D702" s="636"/>
      <c r="E702" s="460"/>
      <c r="F702" s="460"/>
      <c r="G702" s="460"/>
      <c r="H702" s="460"/>
      <c r="I702" s="460"/>
      <c r="J702" s="460"/>
      <c r="K702" s="460"/>
      <c r="L702" s="460"/>
      <c r="M702" s="460"/>
      <c r="N702" s="460"/>
      <c r="O702" s="460"/>
      <c r="P702" s="460"/>
      <c r="Q702" s="460"/>
      <c r="R702" s="460"/>
      <c r="S702" s="460"/>
      <c r="T702" s="460"/>
      <c r="U702" s="460"/>
      <c r="V702" s="460"/>
      <c r="W702" s="460"/>
      <c r="X702" s="460"/>
      <c r="Y702" s="460"/>
      <c r="Z702" s="460"/>
      <c r="AA702" s="460"/>
      <c r="AB702" s="460"/>
      <c r="AC702" s="460"/>
      <c r="AD702" s="460"/>
      <c r="AE702" s="540"/>
      <c r="AF702" s="540"/>
      <c r="AG702" s="540"/>
      <c r="AH702" s="540"/>
      <c r="AI702" s="540"/>
      <c r="AJ702" s="460"/>
      <c r="AK702" s="460"/>
      <c r="AL702" s="460"/>
      <c r="AM702" s="474"/>
      <c r="AN702" s="608"/>
      <c r="AP702" s="494" t="s">
        <v>2360</v>
      </c>
    </row>
    <row r="703" spans="1:42" s="494" customFormat="1" ht="12.75" customHeight="1">
      <c r="A703" s="474"/>
      <c r="B703" s="460"/>
      <c r="C703" s="850"/>
      <c r="D703" s="460"/>
      <c r="E703" s="460"/>
      <c r="F703" s="460"/>
      <c r="G703" s="460"/>
      <c r="H703" s="460"/>
      <c r="I703" s="460"/>
      <c r="J703" s="460"/>
      <c r="K703" s="460"/>
      <c r="L703" s="460"/>
      <c r="M703" s="460"/>
      <c r="N703" s="460"/>
      <c r="O703" s="460"/>
      <c r="P703" s="460"/>
      <c r="Q703" s="460"/>
      <c r="R703" s="460"/>
      <c r="S703" s="460"/>
      <c r="T703" s="460"/>
      <c r="U703" s="460"/>
      <c r="V703" s="460"/>
      <c r="W703" s="460"/>
      <c r="X703" s="460"/>
      <c r="Y703" s="460"/>
      <c r="Z703" s="460"/>
      <c r="AA703" s="460"/>
      <c r="AB703" s="460"/>
      <c r="AC703" s="460"/>
      <c r="AD703" s="460"/>
      <c r="AE703" s="540"/>
      <c r="AF703" s="540"/>
      <c r="AG703" s="540"/>
      <c r="AH703" s="540"/>
      <c r="AI703" s="540"/>
      <c r="AJ703" s="460"/>
      <c r="AK703" s="460"/>
      <c r="AL703" s="460"/>
      <c r="AM703" s="474"/>
      <c r="AN703" s="608"/>
      <c r="AP703" s="494" t="s">
        <v>2361</v>
      </c>
    </row>
    <row r="704" spans="1:42" s="494" customFormat="1" ht="12.75" customHeight="1">
      <c r="A704" s="561"/>
      <c r="B704" s="460"/>
      <c r="C704" s="850"/>
      <c r="D704" s="587" t="s">
        <v>21</v>
      </c>
      <c r="E704" s="1947" t="s">
        <v>2362</v>
      </c>
      <c r="F704" s="1947"/>
      <c r="G704" s="1947"/>
      <c r="H704" s="1947"/>
      <c r="I704" s="1947"/>
      <c r="J704" s="1947"/>
      <c r="K704" s="1947"/>
      <c r="L704" s="1947"/>
      <c r="M704" s="1947"/>
      <c r="N704" s="1947"/>
      <c r="O704" s="1947"/>
      <c r="P704" s="1947"/>
      <c r="Q704" s="1947"/>
      <c r="R704" s="1947"/>
      <c r="S704" s="1947"/>
      <c r="T704" s="1947"/>
      <c r="U704" s="1947"/>
      <c r="V704" s="1947"/>
      <c r="W704" s="1947"/>
      <c r="X704" s="1947"/>
      <c r="Y704" s="1947"/>
      <c r="Z704" s="1947"/>
      <c r="AA704" s="1947"/>
      <c r="AB704" s="1947"/>
      <c r="AC704" s="460"/>
      <c r="AD704" s="460"/>
      <c r="AE704" s="460"/>
      <c r="AF704" s="1914" t="s">
        <v>2034</v>
      </c>
      <c r="AG704" s="1914"/>
      <c r="AH704" s="1914"/>
      <c r="AI704" s="1914"/>
      <c r="AJ704" s="1914"/>
      <c r="AK704" s="1914"/>
      <c r="AL704" s="1914"/>
      <c r="AM704" s="474"/>
      <c r="AN704" s="608"/>
      <c r="AP704" s="494" t="s">
        <v>2363</v>
      </c>
    </row>
    <row r="705" spans="1:52" s="494" customFormat="1" ht="11.85" customHeight="1">
      <c r="A705" s="474"/>
      <c r="B705" s="460"/>
      <c r="C705" s="852"/>
      <c r="D705" s="587"/>
      <c r="E705" s="1947"/>
      <c r="F705" s="1947"/>
      <c r="G705" s="1947"/>
      <c r="H705" s="1947"/>
      <c r="I705" s="1947"/>
      <c r="J705" s="1947"/>
      <c r="K705" s="1947"/>
      <c r="L705" s="1947"/>
      <c r="M705" s="1947"/>
      <c r="N705" s="1947"/>
      <c r="O705" s="1947"/>
      <c r="P705" s="1947"/>
      <c r="Q705" s="1947"/>
      <c r="R705" s="1947"/>
      <c r="S705" s="1947"/>
      <c r="T705" s="1947"/>
      <c r="U705" s="1947"/>
      <c r="V705" s="1947"/>
      <c r="W705" s="1947"/>
      <c r="X705" s="1947"/>
      <c r="Y705" s="1947"/>
      <c r="Z705" s="1947"/>
      <c r="AA705" s="1947"/>
      <c r="AB705" s="1947"/>
      <c r="AC705" s="460"/>
      <c r="AD705" s="460"/>
      <c r="AE705" s="460"/>
      <c r="AF705" s="460"/>
      <c r="AG705" s="460"/>
      <c r="AH705" s="460"/>
      <c r="AI705" s="460"/>
      <c r="AJ705" s="460"/>
      <c r="AK705" s="460"/>
      <c r="AL705" s="460"/>
      <c r="AM705" s="474"/>
      <c r="AN705" s="608"/>
      <c r="AP705" s="494" t="s">
        <v>2364</v>
      </c>
    </row>
    <row r="706" spans="1:52" s="494" customFormat="1" ht="13.95" customHeight="1">
      <c r="A706" s="474"/>
      <c r="B706" s="534"/>
      <c r="C706" s="850"/>
      <c r="D706" s="587"/>
      <c r="E706" s="1947"/>
      <c r="F706" s="1947"/>
      <c r="G706" s="1947"/>
      <c r="H706" s="1947"/>
      <c r="I706" s="1947"/>
      <c r="J706" s="1947"/>
      <c r="K706" s="1947"/>
      <c r="L706" s="1947"/>
      <c r="M706" s="1947"/>
      <c r="N706" s="1947"/>
      <c r="O706" s="1947"/>
      <c r="P706" s="1947"/>
      <c r="Q706" s="1947"/>
      <c r="R706" s="1947"/>
      <c r="S706" s="1947"/>
      <c r="T706" s="1947"/>
      <c r="U706" s="1947"/>
      <c r="V706" s="1947"/>
      <c r="W706" s="1947"/>
      <c r="X706" s="1947"/>
      <c r="Y706" s="1947"/>
      <c r="Z706" s="1947"/>
      <c r="AA706" s="1947"/>
      <c r="AB706" s="1947"/>
      <c r="AC706" s="460"/>
      <c r="AD706" s="460"/>
      <c r="AE706" s="540"/>
      <c r="AF706" s="460"/>
      <c r="AG706" s="460"/>
      <c r="AH706" s="460"/>
      <c r="AI706" s="460"/>
      <c r="AJ706" s="460"/>
      <c r="AK706" s="460"/>
      <c r="AL706" s="460"/>
      <c r="AM706" s="474"/>
      <c r="AN706" s="608"/>
      <c r="AP706" s="494" t="s">
        <v>2365</v>
      </c>
    </row>
    <row r="707" spans="1:52" s="494" customFormat="1" ht="13.95" customHeight="1">
      <c r="A707" s="474"/>
      <c r="B707" s="534"/>
      <c r="C707" s="850"/>
      <c r="D707" s="587"/>
      <c r="E707" s="855"/>
      <c r="F707" s="855"/>
      <c r="G707" s="855"/>
      <c r="H707" s="855"/>
      <c r="I707" s="855"/>
      <c r="J707" s="855"/>
      <c r="K707" s="855"/>
      <c r="L707" s="855"/>
      <c r="M707" s="855"/>
      <c r="N707" s="855"/>
      <c r="O707" s="855"/>
      <c r="P707" s="855"/>
      <c r="Q707" s="855"/>
      <c r="R707" s="855"/>
      <c r="S707" s="855"/>
      <c r="T707" s="855"/>
      <c r="U707" s="855"/>
      <c r="V707" s="855"/>
      <c r="W707" s="855"/>
      <c r="X707" s="855"/>
      <c r="Y707" s="855"/>
      <c r="Z707" s="855"/>
      <c r="AA707" s="855"/>
      <c r="AB707" s="855"/>
      <c r="AC707" s="460"/>
      <c r="AD707" s="460"/>
      <c r="AE707" s="540"/>
      <c r="AF707" s="460"/>
      <c r="AG707" s="460"/>
      <c r="AH707" s="460"/>
      <c r="AI707" s="460"/>
      <c r="AJ707" s="460"/>
      <c r="AK707" s="460"/>
      <c r="AL707" s="460"/>
      <c r="AM707" s="474"/>
      <c r="AN707" s="608"/>
      <c r="AP707" s="610" t="s">
        <v>2366</v>
      </c>
    </row>
    <row r="708" spans="1:52" s="494" customFormat="1" ht="13.95" customHeight="1">
      <c r="A708" s="474"/>
      <c r="B708" s="460"/>
      <c r="C708" s="850"/>
      <c r="D708" s="587" t="s">
        <v>26</v>
      </c>
      <c r="E708" s="1948" t="s">
        <v>2367</v>
      </c>
      <c r="F708" s="1948"/>
      <c r="G708" s="1948"/>
      <c r="H708" s="1948"/>
      <c r="I708" s="1948"/>
      <c r="J708" s="1948"/>
      <c r="K708" s="1948"/>
      <c r="L708" s="1948"/>
      <c r="M708" s="1948"/>
      <c r="N708" s="1948"/>
      <c r="O708" s="1948"/>
      <c r="P708" s="1948"/>
      <c r="Q708" s="1948"/>
      <c r="R708" s="1948"/>
      <c r="S708" s="1948"/>
      <c r="T708" s="1948"/>
      <c r="U708" s="1948"/>
      <c r="V708" s="1948"/>
      <c r="W708" s="1948"/>
      <c r="X708" s="1948"/>
      <c r="Y708" s="1948"/>
      <c r="Z708" s="1948"/>
      <c r="AA708" s="1948"/>
      <c r="AB708" s="1948"/>
      <c r="AC708" s="460"/>
      <c r="AD708" s="460"/>
      <c r="AE708" s="460"/>
      <c r="AF708" s="1914" t="s">
        <v>2324</v>
      </c>
      <c r="AG708" s="1914"/>
      <c r="AH708" s="1914"/>
      <c r="AI708" s="1914"/>
      <c r="AJ708" s="1914"/>
      <c r="AK708" s="1914"/>
      <c r="AL708" s="1914"/>
      <c r="AM708" s="474"/>
      <c r="AN708" s="609"/>
    </row>
    <row r="709" spans="1:52" s="494" customFormat="1" ht="12.75" customHeight="1">
      <c r="A709" s="474"/>
      <c r="B709" s="460"/>
      <c r="C709" s="852"/>
      <c r="D709" s="460"/>
      <c r="E709" s="1948"/>
      <c r="F709" s="1948"/>
      <c r="G709" s="1948"/>
      <c r="H709" s="1948"/>
      <c r="I709" s="1948"/>
      <c r="J709" s="1948"/>
      <c r="K709" s="1948"/>
      <c r="L709" s="1948"/>
      <c r="M709" s="1948"/>
      <c r="N709" s="1948"/>
      <c r="O709" s="1948"/>
      <c r="P709" s="1948"/>
      <c r="Q709" s="1948"/>
      <c r="R709" s="1948"/>
      <c r="S709" s="1948"/>
      <c r="T709" s="1948"/>
      <c r="U709" s="1948"/>
      <c r="V709" s="1948"/>
      <c r="W709" s="1948"/>
      <c r="X709" s="1948"/>
      <c r="Y709" s="1948"/>
      <c r="Z709" s="1948"/>
      <c r="AA709" s="1948"/>
      <c r="AB709" s="1948"/>
      <c r="AC709" s="460"/>
      <c r="AD709" s="460"/>
      <c r="AE709" s="460"/>
      <c r="AF709" s="460"/>
      <c r="AG709" s="460"/>
      <c r="AH709" s="460"/>
      <c r="AI709" s="460"/>
      <c r="AJ709" s="460"/>
      <c r="AK709" s="460"/>
      <c r="AL709" s="460"/>
      <c r="AM709" s="474"/>
      <c r="AN709" s="608"/>
      <c r="AP709" s="474" t="s">
        <v>299</v>
      </c>
      <c r="AQ709" s="597">
        <v>0</v>
      </c>
    </row>
    <row r="710" spans="1:52" s="494" customFormat="1" ht="13.95" customHeight="1">
      <c r="A710" s="474"/>
      <c r="B710" s="460"/>
      <c r="C710" s="852"/>
      <c r="D710" s="460"/>
      <c r="E710" s="1948"/>
      <c r="F710" s="1948"/>
      <c r="G710" s="1948"/>
      <c r="H710" s="1948"/>
      <c r="I710" s="1948"/>
      <c r="J710" s="1948"/>
      <c r="K710" s="1948"/>
      <c r="L710" s="1948"/>
      <c r="M710" s="1948"/>
      <c r="N710" s="1948"/>
      <c r="O710" s="1948"/>
      <c r="P710" s="1948"/>
      <c r="Q710" s="1948"/>
      <c r="R710" s="1948"/>
      <c r="S710" s="1948"/>
      <c r="T710" s="1948"/>
      <c r="U710" s="1948"/>
      <c r="V710" s="1948"/>
      <c r="W710" s="1948"/>
      <c r="X710" s="1948"/>
      <c r="Y710" s="1948"/>
      <c r="Z710" s="1948"/>
      <c r="AA710" s="1948"/>
      <c r="AB710" s="1948"/>
      <c r="AC710" s="460"/>
      <c r="AD710" s="460"/>
      <c r="AE710" s="460"/>
      <c r="AF710" s="460"/>
      <c r="AG710" s="460"/>
      <c r="AH710" s="460"/>
      <c r="AI710" s="460"/>
      <c r="AJ710" s="460"/>
      <c r="AK710" s="460"/>
      <c r="AL710" s="460"/>
      <c r="AM710" s="474"/>
      <c r="AN710" s="608"/>
      <c r="AP710" s="535" t="s">
        <v>21</v>
      </c>
      <c r="AQ710" s="474">
        <v>3</v>
      </c>
    </row>
    <row r="711" spans="1:52" s="494" customFormat="1" ht="13.95" customHeight="1">
      <c r="A711" s="474"/>
      <c r="B711" s="460"/>
      <c r="C711" s="852"/>
      <c r="D711" s="460"/>
      <c r="E711" s="869"/>
      <c r="F711" s="869"/>
      <c r="G711" s="869"/>
      <c r="H711" s="869"/>
      <c r="I711" s="869"/>
      <c r="J711" s="869"/>
      <c r="K711" s="869"/>
      <c r="L711" s="869"/>
      <c r="M711" s="869"/>
      <c r="N711" s="869"/>
      <c r="O711" s="869"/>
      <c r="P711" s="869"/>
      <c r="Q711" s="869"/>
      <c r="R711" s="869"/>
      <c r="S711" s="869"/>
      <c r="T711" s="869"/>
      <c r="U711" s="869"/>
      <c r="V711" s="869"/>
      <c r="W711" s="869"/>
      <c r="X711" s="869"/>
      <c r="Y711" s="869"/>
      <c r="Z711" s="869"/>
      <c r="AA711" s="869"/>
      <c r="AB711" s="869"/>
      <c r="AC711" s="460"/>
      <c r="AD711" s="460"/>
      <c r="AE711" s="460"/>
      <c r="AF711" s="460"/>
      <c r="AG711" s="460"/>
      <c r="AH711" s="460"/>
      <c r="AI711" s="460"/>
      <c r="AJ711" s="460"/>
      <c r="AK711" s="460"/>
      <c r="AL711" s="460"/>
      <c r="AM711" s="474"/>
      <c r="AN711" s="608"/>
      <c r="AP711" s="535" t="s">
        <v>26</v>
      </c>
      <c r="AQ711" s="474">
        <v>2</v>
      </c>
    </row>
    <row r="712" spans="1:52" s="494" customFormat="1" ht="13.95" customHeight="1">
      <c r="A712" s="474"/>
      <c r="B712" s="460"/>
      <c r="C712" s="852"/>
      <c r="D712" s="460" t="s">
        <v>2310</v>
      </c>
      <c r="E712" s="855"/>
      <c r="F712" s="855"/>
      <c r="G712" s="855"/>
      <c r="H712" s="1858" t="s">
        <v>299</v>
      </c>
      <c r="I712" s="1858"/>
      <c r="J712" s="869"/>
      <c r="K712" s="869"/>
      <c r="L712" s="869"/>
      <c r="M712" s="869"/>
      <c r="N712" s="869"/>
      <c r="O712" s="869"/>
      <c r="P712" s="869"/>
      <c r="Q712" s="869"/>
      <c r="R712" s="869"/>
      <c r="S712" s="869"/>
      <c r="T712" s="869"/>
      <c r="U712" s="869"/>
      <c r="V712" s="869"/>
      <c r="W712" s="869"/>
      <c r="X712" s="869"/>
      <c r="Y712" s="869"/>
      <c r="Z712" s="869"/>
      <c r="AA712" s="869"/>
      <c r="AB712" s="869"/>
      <c r="AC712" s="460"/>
      <c r="AD712" s="460"/>
      <c r="AE712" s="460"/>
      <c r="AF712" s="460"/>
      <c r="AG712" s="460"/>
      <c r="AH712" s="460"/>
      <c r="AI712" s="460"/>
      <c r="AJ712" s="460"/>
      <c r="AK712" s="460"/>
      <c r="AL712" s="460"/>
      <c r="AM712" s="474"/>
      <c r="AN712" s="608"/>
    </row>
    <row r="713" spans="1:52" s="494" customFormat="1" ht="14.25" customHeight="1">
      <c r="A713" s="474"/>
      <c r="B713" s="460"/>
      <c r="C713" s="852"/>
      <c r="D713" s="460"/>
      <c r="E713" s="869"/>
      <c r="F713" s="869"/>
      <c r="G713" s="869"/>
      <c r="H713" s="869"/>
      <c r="I713" s="869"/>
      <c r="J713" s="869"/>
      <c r="K713" s="869"/>
      <c r="L713" s="869"/>
      <c r="M713" s="869"/>
      <c r="N713" s="869"/>
      <c r="O713" s="869"/>
      <c r="P713" s="869"/>
      <c r="Q713" s="869"/>
      <c r="R713" s="869"/>
      <c r="S713" s="869"/>
      <c r="T713" s="869"/>
      <c r="U713" s="869"/>
      <c r="V713" s="869"/>
      <c r="W713" s="869"/>
      <c r="X713" s="869"/>
      <c r="Y713" s="869"/>
      <c r="Z713" s="869"/>
      <c r="AA713" s="869"/>
      <c r="AB713" s="869"/>
      <c r="AC713" s="460"/>
      <c r="AD713" s="460"/>
      <c r="AE713" s="460"/>
      <c r="AF713" s="460"/>
      <c r="AG713" s="460"/>
      <c r="AH713" s="460"/>
      <c r="AI713" s="460"/>
      <c r="AJ713" s="460"/>
      <c r="AK713" s="460"/>
      <c r="AL713" s="460"/>
      <c r="AM713" s="474"/>
      <c r="AN713" s="608"/>
    </row>
    <row r="714" spans="1:52" s="494" customFormat="1" ht="12.75" customHeight="1">
      <c r="A714" s="530"/>
      <c r="B714" s="525"/>
      <c r="C714" s="857"/>
      <c r="D714" s="525"/>
      <c r="E714" s="525"/>
      <c r="F714" s="525"/>
      <c r="G714" s="525"/>
      <c r="H714" s="525"/>
      <c r="I714" s="525"/>
      <c r="J714" s="870"/>
      <c r="K714" s="870"/>
      <c r="L714" s="870"/>
      <c r="M714" s="870"/>
      <c r="N714" s="870"/>
      <c r="O714" s="870"/>
      <c r="P714" s="870"/>
      <c r="Q714" s="870"/>
      <c r="R714" s="870"/>
      <c r="S714" s="870"/>
      <c r="T714" s="870"/>
      <c r="U714" s="589"/>
      <c r="V714" s="589"/>
      <c r="W714" s="589"/>
      <c r="X714" s="589"/>
      <c r="Y714" s="858"/>
      <c r="Z714" s="858"/>
      <c r="AA714" s="858"/>
      <c r="AB714" s="525"/>
      <c r="AC714" s="525"/>
      <c r="AD714" s="525"/>
      <c r="AE714" s="525"/>
      <c r="AF714" s="525"/>
      <c r="AG714" s="525"/>
      <c r="AH714" s="525"/>
      <c r="AI714" s="489" t="s">
        <v>2368</v>
      </c>
      <c r="AJ714" s="1841">
        <f>VLOOKUP($H$712,$AP$709:$AQ$711,2,FALSE)</f>
        <v>0</v>
      </c>
      <c r="AK714" s="1843"/>
      <c r="AL714" s="519"/>
      <c r="AM714" s="474"/>
      <c r="AN714" s="608"/>
      <c r="AP714" s="1841"/>
      <c r="AQ714" s="1843"/>
    </row>
    <row r="715" spans="1:52" s="494" customFormat="1">
      <c r="A715" s="474"/>
      <c r="B715" s="534"/>
      <c r="C715" s="850"/>
      <c r="D715" s="854"/>
      <c r="E715" s="540"/>
      <c r="F715" s="540"/>
      <c r="G715" s="540"/>
      <c r="H715" s="540"/>
      <c r="I715" s="540"/>
      <c r="J715" s="540"/>
      <c r="K715" s="540"/>
      <c r="L715" s="540"/>
      <c r="M715" s="540"/>
      <c r="N715" s="540"/>
      <c r="O715" s="540"/>
      <c r="P715" s="540"/>
      <c r="Q715" s="540"/>
      <c r="R715" s="540"/>
      <c r="S715" s="540"/>
      <c r="T715" s="540"/>
      <c r="U715" s="540"/>
      <c r="V715" s="540"/>
      <c r="W715" s="540"/>
      <c r="X715" s="540"/>
      <c r="Y715" s="540"/>
      <c r="Z715" s="540"/>
      <c r="AA715" s="540"/>
      <c r="AB715" s="540"/>
      <c r="AC715" s="460"/>
      <c r="AD715" s="460"/>
      <c r="AE715" s="460"/>
      <c r="AF715" s="460"/>
      <c r="AG715" s="460"/>
      <c r="AH715" s="460"/>
      <c r="AI715" s="460"/>
      <c r="AJ715" s="460"/>
      <c r="AK715" s="460"/>
      <c r="AL715" s="460"/>
      <c r="AM715" s="474"/>
      <c r="AN715" s="608"/>
      <c r="AT715" s="14"/>
      <c r="AU715" s="14"/>
      <c r="AV715" s="14"/>
      <c r="AW715" s="14"/>
      <c r="AX715" s="14"/>
      <c r="AY715" s="14"/>
      <c r="AZ715" s="14"/>
    </row>
    <row r="716" spans="1:52" s="494" customFormat="1">
      <c r="A716" s="474"/>
      <c r="B716" s="460"/>
      <c r="C716" s="463" t="s">
        <v>2369</v>
      </c>
      <c r="D716" s="871"/>
      <c r="E716" s="540"/>
      <c r="F716" s="540"/>
      <c r="G716" s="540"/>
      <c r="H716" s="540"/>
      <c r="I716" s="540"/>
      <c r="J716" s="540"/>
      <c r="K716" s="540"/>
      <c r="L716" s="540"/>
      <c r="M716" s="540"/>
      <c r="N716" s="540"/>
      <c r="O716" s="540"/>
      <c r="P716" s="540"/>
      <c r="Q716" s="540"/>
      <c r="R716" s="540"/>
      <c r="S716" s="540"/>
      <c r="T716" s="540"/>
      <c r="U716" s="540"/>
      <c r="V716" s="540"/>
      <c r="W716" s="540"/>
      <c r="X716" s="540"/>
      <c r="Y716" s="540"/>
      <c r="Z716" s="540"/>
      <c r="AA716" s="540"/>
      <c r="AB716" s="540"/>
      <c r="AC716" s="460"/>
      <c r="AD716" s="460"/>
      <c r="AE716" s="460"/>
      <c r="AF716" s="460"/>
      <c r="AG716" s="460"/>
      <c r="AH716" s="460"/>
      <c r="AI716" s="460"/>
      <c r="AJ716" s="460"/>
      <c r="AK716" s="460"/>
      <c r="AL716" s="460"/>
      <c r="AM716" s="474"/>
      <c r="AN716" s="608"/>
      <c r="AT716" s="14"/>
      <c r="AU716" s="14"/>
      <c r="AV716" s="14"/>
      <c r="AW716" s="14"/>
      <c r="AX716" s="14"/>
      <c r="AY716" s="14"/>
      <c r="AZ716" s="14"/>
    </row>
    <row r="717" spans="1:52" s="494" customFormat="1">
      <c r="A717" s="474"/>
      <c r="B717" s="534"/>
      <c r="C717" s="850"/>
      <c r="D717" s="854"/>
      <c r="E717" s="540"/>
      <c r="F717" s="540"/>
      <c r="G717" s="540"/>
      <c r="H717" s="540"/>
      <c r="I717" s="540"/>
      <c r="J717" s="540"/>
      <c r="K717" s="540"/>
      <c r="L717" s="540"/>
      <c r="M717" s="540"/>
      <c r="N717" s="540"/>
      <c r="O717" s="540"/>
      <c r="P717" s="540"/>
      <c r="Q717" s="540"/>
      <c r="R717" s="540"/>
      <c r="S717" s="540"/>
      <c r="T717" s="540"/>
      <c r="U717" s="540"/>
      <c r="V717" s="540"/>
      <c r="W717" s="540"/>
      <c r="X717" s="540"/>
      <c r="Y717" s="540"/>
      <c r="Z717" s="540"/>
      <c r="AA717" s="540"/>
      <c r="AB717" s="540"/>
      <c r="AC717" s="460"/>
      <c r="AD717" s="460"/>
      <c r="AE717" s="460"/>
      <c r="AF717" s="460"/>
      <c r="AG717" s="460"/>
      <c r="AH717" s="460"/>
      <c r="AI717" s="460"/>
      <c r="AJ717" s="460"/>
      <c r="AK717" s="460"/>
      <c r="AL717" s="460"/>
      <c r="AM717" s="474"/>
      <c r="AN717" s="608"/>
      <c r="AT717" s="14"/>
      <c r="AU717" s="14"/>
      <c r="AV717" s="14"/>
      <c r="AW717" s="14"/>
      <c r="AX717" s="14"/>
      <c r="AY717" s="14"/>
      <c r="AZ717" s="14"/>
    </row>
    <row r="718" spans="1:52" s="494" customFormat="1">
      <c r="A718" s="474"/>
      <c r="B718" s="460"/>
      <c r="C718" s="850"/>
      <c r="D718" s="587" t="s">
        <v>21</v>
      </c>
      <c r="E718" s="1834" t="s">
        <v>2370</v>
      </c>
      <c r="F718" s="1834"/>
      <c r="G718" s="1834"/>
      <c r="H718" s="1834"/>
      <c r="I718" s="1834"/>
      <c r="J718" s="1834"/>
      <c r="K718" s="1834"/>
      <c r="L718" s="1834"/>
      <c r="M718" s="1834"/>
      <c r="N718" s="1834"/>
      <c r="O718" s="1834"/>
      <c r="P718" s="1834"/>
      <c r="Q718" s="1834"/>
      <c r="R718" s="1834"/>
      <c r="S718" s="1834"/>
      <c r="T718" s="1834"/>
      <c r="U718" s="1834"/>
      <c r="V718" s="1834"/>
      <c r="W718" s="1834"/>
      <c r="X718" s="1834"/>
      <c r="Y718" s="1834"/>
      <c r="Z718" s="1834"/>
      <c r="AA718" s="1834"/>
      <c r="AB718" s="1834"/>
      <c r="AC718" s="460"/>
      <c r="AD718" s="460"/>
      <c r="AE718" s="460"/>
      <c r="AF718" s="1914" t="s">
        <v>2034</v>
      </c>
      <c r="AG718" s="1914"/>
      <c r="AH718" s="1914"/>
      <c r="AI718" s="1914"/>
      <c r="AJ718" s="1914"/>
      <c r="AK718" s="1914"/>
      <c r="AL718" s="1914"/>
      <c r="AM718" s="474"/>
      <c r="AN718" s="608"/>
      <c r="AT718" s="14"/>
      <c r="AU718" s="14"/>
      <c r="AV718" s="14"/>
      <c r="AW718" s="14"/>
      <c r="AX718" s="14"/>
      <c r="AY718" s="14"/>
      <c r="AZ718" s="14"/>
    </row>
    <row r="719" spans="1:52" s="494" customFormat="1">
      <c r="A719" s="474"/>
      <c r="B719" s="460"/>
      <c r="C719" s="852"/>
      <c r="D719" s="587"/>
      <c r="E719" s="1834"/>
      <c r="F719" s="1834"/>
      <c r="G719" s="1834"/>
      <c r="H719" s="1834"/>
      <c r="I719" s="1834"/>
      <c r="J719" s="1834"/>
      <c r="K719" s="1834"/>
      <c r="L719" s="1834"/>
      <c r="M719" s="1834"/>
      <c r="N719" s="1834"/>
      <c r="O719" s="1834"/>
      <c r="P719" s="1834"/>
      <c r="Q719" s="1834"/>
      <c r="R719" s="1834"/>
      <c r="S719" s="1834"/>
      <c r="T719" s="1834"/>
      <c r="U719" s="1834"/>
      <c r="V719" s="1834"/>
      <c r="W719" s="1834"/>
      <c r="X719" s="1834"/>
      <c r="Y719" s="1834"/>
      <c r="Z719" s="1834"/>
      <c r="AA719" s="1834"/>
      <c r="AB719" s="1834"/>
      <c r="AC719" s="460"/>
      <c r="AD719" s="460"/>
      <c r="AE719" s="460"/>
      <c r="AF719" s="460"/>
      <c r="AG719" s="460"/>
      <c r="AH719" s="460"/>
      <c r="AI719" s="460"/>
      <c r="AJ719" s="460"/>
      <c r="AK719" s="460"/>
      <c r="AL719" s="460"/>
      <c r="AM719" s="474"/>
      <c r="AN719" s="608"/>
      <c r="AT719" s="14"/>
      <c r="AU719" s="14"/>
      <c r="AV719" s="14"/>
      <c r="AW719" s="14"/>
      <c r="AX719" s="14"/>
      <c r="AY719" s="14"/>
      <c r="AZ719" s="14"/>
    </row>
    <row r="720" spans="1:52" s="494" customFormat="1">
      <c r="A720" s="474"/>
      <c r="B720" s="534"/>
      <c r="C720" s="850"/>
      <c r="D720" s="587"/>
      <c r="E720" s="540"/>
      <c r="F720" s="540"/>
      <c r="G720" s="540"/>
      <c r="H720" s="540"/>
      <c r="I720" s="540"/>
      <c r="J720" s="540"/>
      <c r="K720" s="540"/>
      <c r="L720" s="540"/>
      <c r="M720" s="540"/>
      <c r="N720" s="540"/>
      <c r="O720" s="540"/>
      <c r="P720" s="540"/>
      <c r="Q720" s="540"/>
      <c r="R720" s="540"/>
      <c r="S720" s="540"/>
      <c r="T720" s="540"/>
      <c r="U720" s="540"/>
      <c r="V720" s="540"/>
      <c r="W720" s="540"/>
      <c r="X720" s="540"/>
      <c r="Y720" s="540"/>
      <c r="Z720" s="540"/>
      <c r="AA720" s="540"/>
      <c r="AB720" s="540"/>
      <c r="AC720" s="460"/>
      <c r="AD720" s="460"/>
      <c r="AE720" s="460"/>
      <c r="AF720" s="460"/>
      <c r="AG720" s="460"/>
      <c r="AH720" s="460"/>
      <c r="AI720" s="460"/>
      <c r="AJ720" s="460"/>
      <c r="AK720" s="460"/>
      <c r="AL720" s="460"/>
      <c r="AM720" s="474"/>
      <c r="AN720" s="608"/>
      <c r="AT720" s="14"/>
      <c r="AU720" s="14"/>
      <c r="AV720" s="14"/>
      <c r="AW720" s="14"/>
      <c r="AX720" s="14"/>
      <c r="AY720" s="14"/>
      <c r="AZ720" s="14"/>
    </row>
    <row r="721" spans="1:81" s="494" customFormat="1" ht="12.75" customHeight="1">
      <c r="A721" s="474"/>
      <c r="B721" s="460"/>
      <c r="C721" s="850"/>
      <c r="D721" s="587" t="s">
        <v>26</v>
      </c>
      <c r="E721" s="1834" t="s">
        <v>2371</v>
      </c>
      <c r="F721" s="1834"/>
      <c r="G721" s="1834"/>
      <c r="H721" s="1834"/>
      <c r="I721" s="1834"/>
      <c r="J721" s="1834"/>
      <c r="K721" s="1834"/>
      <c r="L721" s="1834"/>
      <c r="M721" s="1834"/>
      <c r="N721" s="1834"/>
      <c r="O721" s="1834"/>
      <c r="P721" s="1834"/>
      <c r="Q721" s="1834"/>
      <c r="R721" s="1834"/>
      <c r="S721" s="1834"/>
      <c r="T721" s="1834"/>
      <c r="U721" s="1834"/>
      <c r="V721" s="1834"/>
      <c r="W721" s="1834"/>
      <c r="X721" s="1834"/>
      <c r="Y721" s="1834"/>
      <c r="Z721" s="1834"/>
      <c r="AA721" s="1834"/>
      <c r="AB721" s="1834"/>
      <c r="AC721" s="460"/>
      <c r="AD721" s="460"/>
      <c r="AE721" s="460"/>
      <c r="AF721" s="1914" t="s">
        <v>2324</v>
      </c>
      <c r="AG721" s="1914"/>
      <c r="AH721" s="1914"/>
      <c r="AI721" s="1914"/>
      <c r="AJ721" s="1914"/>
      <c r="AK721" s="1914"/>
      <c r="AL721" s="1914"/>
      <c r="AM721" s="474"/>
      <c r="AN721" s="608"/>
      <c r="AT721" s="14"/>
      <c r="AU721" s="14"/>
      <c r="AV721" s="14"/>
      <c r="AW721" s="14"/>
      <c r="AX721" s="14"/>
      <c r="AY721" s="14"/>
      <c r="AZ721" s="14"/>
    </row>
    <row r="722" spans="1:81" s="494" customFormat="1">
      <c r="A722" s="474"/>
      <c r="B722" s="460"/>
      <c r="C722" s="852"/>
      <c r="D722" s="460"/>
      <c r="E722" s="1834"/>
      <c r="F722" s="1834"/>
      <c r="G722" s="1834"/>
      <c r="H722" s="1834"/>
      <c r="I722" s="1834"/>
      <c r="J722" s="1834"/>
      <c r="K722" s="1834"/>
      <c r="L722" s="1834"/>
      <c r="M722" s="1834"/>
      <c r="N722" s="1834"/>
      <c r="O722" s="1834"/>
      <c r="P722" s="1834"/>
      <c r="Q722" s="1834"/>
      <c r="R722" s="1834"/>
      <c r="S722" s="1834"/>
      <c r="T722" s="1834"/>
      <c r="U722" s="1834"/>
      <c r="V722" s="1834"/>
      <c r="W722" s="1834"/>
      <c r="X722" s="1834"/>
      <c r="Y722" s="1834"/>
      <c r="Z722" s="1834"/>
      <c r="AA722" s="1834"/>
      <c r="AB722" s="1834"/>
      <c r="AC722" s="460"/>
      <c r="AD722" s="460"/>
      <c r="AE722" s="460"/>
      <c r="AF722" s="460"/>
      <c r="AG722" s="460"/>
      <c r="AH722" s="460"/>
      <c r="AI722" s="460"/>
      <c r="AJ722" s="460"/>
      <c r="AK722" s="460"/>
      <c r="AL722" s="460"/>
      <c r="AM722" s="474"/>
      <c r="AN722" s="608"/>
      <c r="AT722" s="14"/>
      <c r="AU722" s="14"/>
      <c r="AV722" s="14"/>
      <c r="AW722" s="14"/>
      <c r="AX722" s="14"/>
      <c r="AY722" s="14"/>
      <c r="AZ722" s="14"/>
    </row>
    <row r="723" spans="1:81" s="494" customFormat="1">
      <c r="A723" s="474"/>
      <c r="B723" s="460"/>
      <c r="C723" s="852"/>
      <c r="D723" s="460"/>
      <c r="E723" s="567"/>
      <c r="F723" s="567"/>
      <c r="G723" s="567"/>
      <c r="H723" s="567"/>
      <c r="I723" s="567"/>
      <c r="J723" s="567"/>
      <c r="K723" s="567"/>
      <c r="L723" s="567"/>
      <c r="M723" s="567"/>
      <c r="N723" s="567"/>
      <c r="O723" s="567"/>
      <c r="P723" s="567"/>
      <c r="Q723" s="567"/>
      <c r="R723" s="567"/>
      <c r="S723" s="567"/>
      <c r="T723" s="567"/>
      <c r="U723" s="567"/>
      <c r="V723" s="567"/>
      <c r="W723" s="567"/>
      <c r="X723" s="567"/>
      <c r="Y723" s="567"/>
      <c r="Z723" s="567"/>
      <c r="AA723" s="567"/>
      <c r="AB723" s="567"/>
      <c r="AC723" s="460"/>
      <c r="AD723" s="460"/>
      <c r="AE723" s="460"/>
      <c r="AF723" s="460"/>
      <c r="AG723" s="460"/>
      <c r="AH723" s="460"/>
      <c r="AI723" s="460"/>
      <c r="AJ723" s="460"/>
      <c r="AK723" s="460"/>
      <c r="AL723" s="460"/>
      <c r="AM723" s="474"/>
      <c r="AN723" s="608"/>
      <c r="AT723" s="14"/>
      <c r="AU723" s="14"/>
      <c r="AV723" s="14"/>
      <c r="AW723" s="14"/>
      <c r="AX723" s="14"/>
      <c r="AY723" s="14"/>
      <c r="AZ723" s="14"/>
    </row>
    <row r="724" spans="1:81" s="494" customFormat="1" ht="12.75" customHeight="1">
      <c r="A724" s="474"/>
      <c r="B724" s="460"/>
      <c r="C724" s="852"/>
      <c r="D724" s="460" t="s">
        <v>2310</v>
      </c>
      <c r="E724" s="855"/>
      <c r="F724" s="855"/>
      <c r="G724" s="855"/>
      <c r="H724" s="1858" t="s">
        <v>21</v>
      </c>
      <c r="I724" s="1858"/>
      <c r="J724" s="567"/>
      <c r="K724" s="567"/>
      <c r="L724" s="567"/>
      <c r="M724" s="567"/>
      <c r="N724" s="567"/>
      <c r="O724" s="567"/>
      <c r="P724" s="567"/>
      <c r="Q724" s="567"/>
      <c r="R724" s="567"/>
      <c r="S724" s="567"/>
      <c r="T724" s="567"/>
      <c r="U724" s="567"/>
      <c r="V724" s="567"/>
      <c r="W724" s="567"/>
      <c r="X724" s="567"/>
      <c r="Y724" s="567"/>
      <c r="Z724" s="567"/>
      <c r="AA724" s="567"/>
      <c r="AB724" s="567"/>
      <c r="AC724" s="460"/>
      <c r="AD724" s="460"/>
      <c r="AE724" s="460"/>
      <c r="AF724" s="460"/>
      <c r="AG724" s="460"/>
      <c r="AH724" s="460"/>
      <c r="AI724" s="460"/>
      <c r="AJ724" s="460"/>
      <c r="AK724" s="460"/>
      <c r="AL724" s="460"/>
      <c r="AM724" s="474"/>
      <c r="AN724" s="608"/>
      <c r="AT724" s="14"/>
      <c r="AU724" s="14"/>
      <c r="AV724" s="14"/>
      <c r="AW724" s="14"/>
      <c r="AX724" s="14"/>
      <c r="AY724" s="14"/>
      <c r="AZ724" s="14"/>
    </row>
    <row r="725" spans="1:81" s="494" customFormat="1">
      <c r="A725" s="474"/>
      <c r="B725" s="460"/>
      <c r="C725" s="852"/>
      <c r="D725" s="460"/>
      <c r="E725" s="567"/>
      <c r="F725" s="567"/>
      <c r="G725" s="567"/>
      <c r="H725" s="567"/>
      <c r="I725" s="567"/>
      <c r="J725" s="567"/>
      <c r="K725" s="567"/>
      <c r="L725" s="567"/>
      <c r="M725" s="567"/>
      <c r="N725" s="567"/>
      <c r="O725" s="567"/>
      <c r="P725" s="567"/>
      <c r="Q725" s="567"/>
      <c r="R725" s="567"/>
      <c r="S725" s="567"/>
      <c r="T725" s="567"/>
      <c r="U725" s="567"/>
      <c r="V725" s="567"/>
      <c r="W725" s="567"/>
      <c r="X725" s="567"/>
      <c r="Y725" s="567"/>
      <c r="Z725" s="567"/>
      <c r="AA725" s="567"/>
      <c r="AB725" s="567"/>
      <c r="AC725" s="460"/>
      <c r="AD725" s="460"/>
      <c r="AE725" s="460"/>
      <c r="AF725" s="460"/>
      <c r="AG725" s="460"/>
      <c r="AH725" s="460"/>
      <c r="AI725" s="460"/>
      <c r="AJ725" s="460"/>
      <c r="AK725" s="460"/>
      <c r="AL725" s="460"/>
      <c r="AM725" s="474"/>
      <c r="AN725" s="608"/>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4" customFormat="1">
      <c r="A726" s="530"/>
      <c r="B726" s="525"/>
      <c r="C726" s="857"/>
      <c r="D726" s="525"/>
      <c r="E726" s="868"/>
      <c r="F726" s="868"/>
      <c r="G726" s="868"/>
      <c r="H726" s="868"/>
      <c r="I726" s="868"/>
      <c r="J726" s="868"/>
      <c r="K726" s="868"/>
      <c r="L726" s="868"/>
      <c r="M726" s="868"/>
      <c r="N726" s="868"/>
      <c r="O726" s="868"/>
      <c r="P726" s="868"/>
      <c r="Q726" s="868"/>
      <c r="R726" s="868"/>
      <c r="S726" s="868"/>
      <c r="T726" s="868"/>
      <c r="U726" s="868"/>
      <c r="V726" s="589"/>
      <c r="W726" s="589"/>
      <c r="X726" s="589"/>
      <c r="Y726" s="858"/>
      <c r="Z726" s="858"/>
      <c r="AA726" s="858"/>
      <c r="AB726" s="525"/>
      <c r="AC726" s="525"/>
      <c r="AD726" s="525"/>
      <c r="AE726" s="525"/>
      <c r="AF726" s="525"/>
      <c r="AG726" s="525"/>
      <c r="AH726" s="525"/>
      <c r="AI726" s="489" t="s">
        <v>2372</v>
      </c>
      <c r="AJ726" s="1841">
        <f>VLOOKUP($H$724,$AO$655:$AP$657,2,FALSE)</f>
        <v>3</v>
      </c>
      <c r="AK726" s="1843"/>
      <c r="AL726" s="519"/>
      <c r="AM726" s="474"/>
      <c r="AN726" s="608"/>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4" customFormat="1" ht="12.75" customHeight="1">
      <c r="A727" s="474"/>
      <c r="B727" s="460"/>
      <c r="C727" s="852"/>
      <c r="D727" s="460"/>
      <c r="E727" s="460"/>
      <c r="F727" s="460"/>
      <c r="G727" s="460"/>
      <c r="H727" s="460"/>
      <c r="I727" s="460"/>
      <c r="J727" s="567"/>
      <c r="K727" s="567"/>
      <c r="L727" s="567"/>
      <c r="M727" s="567"/>
      <c r="N727" s="460"/>
      <c r="O727" s="460"/>
      <c r="P727" s="460"/>
      <c r="Q727" s="460"/>
      <c r="R727" s="460"/>
      <c r="S727" s="460"/>
      <c r="T727" s="460"/>
      <c r="U727" s="460"/>
      <c r="V727" s="460"/>
      <c r="W727" s="460"/>
      <c r="X727" s="460"/>
      <c r="Y727" s="460"/>
      <c r="Z727" s="460"/>
      <c r="AA727" s="460"/>
      <c r="AB727" s="460"/>
      <c r="AC727" s="460"/>
      <c r="AD727" s="460"/>
      <c r="AE727" s="460"/>
      <c r="AF727" s="460"/>
      <c r="AG727" s="460"/>
      <c r="AH727" s="460"/>
      <c r="AI727" s="460"/>
      <c r="AJ727" s="460"/>
      <c r="AK727" s="460"/>
      <c r="AL727" s="460"/>
      <c r="AM727" s="474"/>
      <c r="AN727" s="608"/>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4" customFormat="1" ht="12.75" customHeight="1">
      <c r="A728" s="474"/>
      <c r="B728" s="460"/>
      <c r="C728" s="463" t="s">
        <v>2373</v>
      </c>
      <c r="D728" s="460"/>
      <c r="E728" s="460"/>
      <c r="F728" s="460"/>
      <c r="G728" s="460"/>
      <c r="H728" s="460"/>
      <c r="I728" s="460"/>
      <c r="J728" s="460"/>
      <c r="K728" s="460"/>
      <c r="L728" s="460"/>
      <c r="M728" s="460"/>
      <c r="N728" s="460"/>
      <c r="O728" s="460"/>
      <c r="P728" s="460"/>
      <c r="Q728" s="460"/>
      <c r="R728" s="460"/>
      <c r="S728" s="460"/>
      <c r="T728" s="460"/>
      <c r="U728" s="460"/>
      <c r="V728" s="460"/>
      <c r="W728" s="460"/>
      <c r="X728" s="460"/>
      <c r="Y728" s="460"/>
      <c r="Z728" s="460"/>
      <c r="AA728" s="460"/>
      <c r="AB728" s="460"/>
      <c r="AC728" s="460"/>
      <c r="AD728" s="460"/>
      <c r="AE728" s="460"/>
      <c r="AF728" s="460"/>
      <c r="AG728" s="460"/>
      <c r="AH728" s="460"/>
      <c r="AI728" s="460"/>
      <c r="AJ728" s="460"/>
      <c r="AK728" s="460"/>
      <c r="AL728" s="460"/>
      <c r="AM728" s="474"/>
      <c r="AN728" s="608"/>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4" customFormat="1">
      <c r="A729" s="474"/>
      <c r="B729" s="534"/>
      <c r="C729" s="872"/>
      <c r="D729" s="534"/>
      <c r="E729" s="534"/>
      <c r="F729" s="460"/>
      <c r="G729" s="460"/>
      <c r="H729" s="534"/>
      <c r="I729" s="534"/>
      <c r="J729" s="534"/>
      <c r="K729" s="534"/>
      <c r="L729" s="534"/>
      <c r="M729" s="534"/>
      <c r="N729" s="534"/>
      <c r="O729" s="534"/>
      <c r="P729" s="534"/>
      <c r="Q729" s="534"/>
      <c r="R729" s="534"/>
      <c r="S729" s="534"/>
      <c r="T729" s="460"/>
      <c r="U729" s="460"/>
      <c r="V729" s="460"/>
      <c r="W729" s="460"/>
      <c r="X729" s="519"/>
      <c r="Y729" s="519"/>
      <c r="Z729" s="519"/>
      <c r="AA729" s="519"/>
      <c r="AB729" s="519"/>
      <c r="AC729" s="460"/>
      <c r="AD729" s="460"/>
      <c r="AE729" s="460"/>
      <c r="AF729" s="460"/>
      <c r="AG729" s="460"/>
      <c r="AH729" s="460"/>
      <c r="AI729" s="460"/>
      <c r="AJ729" s="460"/>
      <c r="AK729" s="460"/>
      <c r="AL729" s="460"/>
      <c r="AM729" s="474"/>
      <c r="AN729" s="608"/>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4" customFormat="1">
      <c r="A730" s="474"/>
      <c r="B730" s="460"/>
      <c r="C730" s="850"/>
      <c r="D730" s="587" t="s">
        <v>21</v>
      </c>
      <c r="E730" s="1834" t="s">
        <v>2374</v>
      </c>
      <c r="F730" s="1834"/>
      <c r="G730" s="1834"/>
      <c r="H730" s="1834"/>
      <c r="I730" s="1834"/>
      <c r="J730" s="1834"/>
      <c r="K730" s="1834"/>
      <c r="L730" s="1834"/>
      <c r="M730" s="1834"/>
      <c r="N730" s="1834"/>
      <c r="O730" s="1834"/>
      <c r="P730" s="1834"/>
      <c r="Q730" s="1834"/>
      <c r="R730" s="1834"/>
      <c r="S730" s="1834"/>
      <c r="T730" s="1834"/>
      <c r="U730" s="1834"/>
      <c r="V730" s="1834"/>
      <c r="W730" s="1834"/>
      <c r="X730" s="1834"/>
      <c r="Y730" s="1834"/>
      <c r="Z730" s="1834"/>
      <c r="AA730" s="1834"/>
      <c r="AB730" s="1834"/>
      <c r="AC730" s="460"/>
      <c r="AD730" s="460"/>
      <c r="AE730" s="460"/>
      <c r="AF730" s="1914" t="s">
        <v>2034</v>
      </c>
      <c r="AG730" s="1914"/>
      <c r="AH730" s="1914"/>
      <c r="AI730" s="1914"/>
      <c r="AJ730" s="1914"/>
      <c r="AK730" s="1914"/>
      <c r="AL730" s="1914"/>
      <c r="AM730" s="474"/>
      <c r="AN730" s="608"/>
      <c r="AT730" s="14"/>
      <c r="AU730" s="14"/>
      <c r="AV730" s="14"/>
      <c r="AW730" s="14"/>
      <c r="AX730" s="14"/>
      <c r="AY730" s="14"/>
      <c r="AZ730" s="14"/>
    </row>
    <row r="731" spans="1:81" s="494" customFormat="1">
      <c r="A731" s="474"/>
      <c r="B731" s="460"/>
      <c r="C731" s="850"/>
      <c r="D731" s="587"/>
      <c r="E731" s="1834"/>
      <c r="F731" s="1834"/>
      <c r="G731" s="1834"/>
      <c r="H731" s="1834"/>
      <c r="I731" s="1834"/>
      <c r="J731" s="1834"/>
      <c r="K731" s="1834"/>
      <c r="L731" s="1834"/>
      <c r="M731" s="1834"/>
      <c r="N731" s="1834"/>
      <c r="O731" s="1834"/>
      <c r="P731" s="1834"/>
      <c r="Q731" s="1834"/>
      <c r="R731" s="1834"/>
      <c r="S731" s="1834"/>
      <c r="T731" s="1834"/>
      <c r="U731" s="1834"/>
      <c r="V731" s="1834"/>
      <c r="W731" s="1834"/>
      <c r="X731" s="1834"/>
      <c r="Y731" s="1834"/>
      <c r="Z731" s="1834"/>
      <c r="AA731" s="1834"/>
      <c r="AB731" s="1834"/>
      <c r="AC731" s="460"/>
      <c r="AD731" s="460"/>
      <c r="AE731" s="460"/>
      <c r="AF731" s="518"/>
      <c r="AG731" s="518"/>
      <c r="AH731" s="518"/>
      <c r="AI731" s="518"/>
      <c r="AJ731" s="518"/>
      <c r="AK731" s="518"/>
      <c r="AL731" s="518"/>
      <c r="AM731" s="474"/>
      <c r="AN731" s="608"/>
      <c r="AT731" s="14"/>
      <c r="AU731" s="14"/>
      <c r="AV731" s="14"/>
      <c r="AW731" s="14"/>
      <c r="AX731" s="14"/>
      <c r="AY731" s="14"/>
      <c r="AZ731" s="14"/>
    </row>
    <row r="732" spans="1:81" s="494" customFormat="1">
      <c r="A732" s="474"/>
      <c r="B732" s="460"/>
      <c r="C732" s="852"/>
      <c r="D732" s="587"/>
      <c r="E732" s="1834"/>
      <c r="F732" s="1834"/>
      <c r="G732" s="1834"/>
      <c r="H732" s="1834"/>
      <c r="I732" s="1834"/>
      <c r="J732" s="1834"/>
      <c r="K732" s="1834"/>
      <c r="L732" s="1834"/>
      <c r="M732" s="1834"/>
      <c r="N732" s="1834"/>
      <c r="O732" s="1834"/>
      <c r="P732" s="1834"/>
      <c r="Q732" s="1834"/>
      <c r="R732" s="1834"/>
      <c r="S732" s="1834"/>
      <c r="T732" s="1834"/>
      <c r="U732" s="1834"/>
      <c r="V732" s="1834"/>
      <c r="W732" s="1834"/>
      <c r="X732" s="1834"/>
      <c r="Y732" s="1834"/>
      <c r="Z732" s="1834"/>
      <c r="AA732" s="1834"/>
      <c r="AB732" s="1834"/>
      <c r="AC732" s="460"/>
      <c r="AD732" s="460"/>
      <c r="AE732" s="460"/>
      <c r="AF732" s="460"/>
      <c r="AG732" s="460"/>
      <c r="AH732" s="460"/>
      <c r="AI732" s="460"/>
      <c r="AJ732" s="460"/>
      <c r="AK732" s="460"/>
      <c r="AL732" s="460"/>
      <c r="AM732" s="474"/>
      <c r="AN732" s="608"/>
    </row>
    <row r="733" spans="1:81" s="494" customFormat="1" ht="12.75" customHeight="1">
      <c r="A733" s="474"/>
      <c r="B733" s="460"/>
      <c r="C733" s="852"/>
      <c r="D733" s="587"/>
      <c r="E733" s="1834"/>
      <c r="F733" s="1834"/>
      <c r="G733" s="1834"/>
      <c r="H733" s="1834"/>
      <c r="I733" s="1834"/>
      <c r="J733" s="1834"/>
      <c r="K733" s="1834"/>
      <c r="L733" s="1834"/>
      <c r="M733" s="1834"/>
      <c r="N733" s="1834"/>
      <c r="O733" s="1834"/>
      <c r="P733" s="1834"/>
      <c r="Q733" s="1834"/>
      <c r="R733" s="1834"/>
      <c r="S733" s="1834"/>
      <c r="T733" s="1834"/>
      <c r="U733" s="1834"/>
      <c r="V733" s="1834"/>
      <c r="W733" s="1834"/>
      <c r="X733" s="1834"/>
      <c r="Y733" s="1834"/>
      <c r="Z733" s="1834"/>
      <c r="AA733" s="1834"/>
      <c r="AB733" s="1834"/>
      <c r="AC733" s="460"/>
      <c r="AD733" s="460"/>
      <c r="AE733" s="460"/>
      <c r="AF733" s="460"/>
      <c r="AG733" s="460"/>
      <c r="AH733" s="460"/>
      <c r="AI733" s="460"/>
      <c r="AJ733" s="460"/>
      <c r="AK733" s="460"/>
      <c r="AL733" s="460"/>
      <c r="AM733" s="474"/>
      <c r="AN733" s="458"/>
      <c r="AO733" s="14"/>
    </row>
    <row r="734" spans="1:81" s="494" customFormat="1">
      <c r="A734" s="603"/>
      <c r="B734" s="519"/>
      <c r="C734" s="850"/>
      <c r="D734" s="587"/>
      <c r="E734" s="865"/>
      <c r="F734" s="865"/>
      <c r="G734" s="865"/>
      <c r="H734" s="865"/>
      <c r="I734" s="865"/>
      <c r="J734" s="865"/>
      <c r="K734" s="865"/>
      <c r="L734" s="865"/>
      <c r="M734" s="865"/>
      <c r="N734" s="865"/>
      <c r="O734" s="865"/>
      <c r="P734" s="865"/>
      <c r="Q734" s="865"/>
      <c r="R734" s="865"/>
      <c r="S734" s="865"/>
      <c r="T734" s="865"/>
      <c r="U734" s="865"/>
      <c r="V734" s="865"/>
      <c r="W734" s="865"/>
      <c r="X734" s="865"/>
      <c r="Y734" s="865"/>
      <c r="Z734" s="865"/>
      <c r="AA734" s="865"/>
      <c r="AB734" s="865"/>
      <c r="AC734" s="460"/>
      <c r="AD734" s="460"/>
      <c r="AE734" s="460"/>
      <c r="AF734" s="460"/>
      <c r="AG734" s="460"/>
      <c r="AH734" s="460"/>
      <c r="AI734" s="460"/>
      <c r="AJ734" s="460"/>
      <c r="AK734" s="460"/>
      <c r="AL734" s="460"/>
      <c r="AM734" s="474"/>
      <c r="AN734" s="608"/>
      <c r="AO734" s="26"/>
      <c r="AP734" s="14"/>
    </row>
    <row r="735" spans="1:81" s="494" customFormat="1">
      <c r="A735" s="474"/>
      <c r="B735" s="460"/>
      <c r="C735" s="850"/>
      <c r="D735" s="587" t="s">
        <v>26</v>
      </c>
      <c r="E735" s="1834" t="s">
        <v>2375</v>
      </c>
      <c r="F735" s="1834"/>
      <c r="G735" s="1834"/>
      <c r="H735" s="1834"/>
      <c r="I735" s="1834"/>
      <c r="J735" s="1834"/>
      <c r="K735" s="1834"/>
      <c r="L735" s="1834"/>
      <c r="M735" s="1834"/>
      <c r="N735" s="1834"/>
      <c r="O735" s="1834"/>
      <c r="P735" s="1834"/>
      <c r="Q735" s="1834"/>
      <c r="R735" s="1834"/>
      <c r="S735" s="1834"/>
      <c r="T735" s="1834"/>
      <c r="U735" s="1834"/>
      <c r="V735" s="1834"/>
      <c r="W735" s="1834"/>
      <c r="X735" s="1834"/>
      <c r="Y735" s="1834"/>
      <c r="Z735" s="1834"/>
      <c r="AA735" s="1834"/>
      <c r="AB735" s="499"/>
      <c r="AC735" s="460"/>
      <c r="AD735" s="460"/>
      <c r="AE735" s="460"/>
      <c r="AF735" s="1914" t="s">
        <v>2324</v>
      </c>
      <c r="AG735" s="1914"/>
      <c r="AH735" s="1914"/>
      <c r="AI735" s="1914"/>
      <c r="AJ735" s="1914"/>
      <c r="AK735" s="1914"/>
      <c r="AL735" s="1914"/>
      <c r="AM735" s="474"/>
      <c r="AN735" s="608"/>
      <c r="AO735" s="26"/>
      <c r="AP735" s="14"/>
    </row>
    <row r="736" spans="1:81" s="494" customFormat="1">
      <c r="A736" s="474"/>
      <c r="B736" s="460"/>
      <c r="C736" s="850"/>
      <c r="D736" s="587"/>
      <c r="E736" s="1834"/>
      <c r="F736" s="1834"/>
      <c r="G736" s="1834"/>
      <c r="H736" s="1834"/>
      <c r="I736" s="1834"/>
      <c r="J736" s="1834"/>
      <c r="K736" s="1834"/>
      <c r="L736" s="1834"/>
      <c r="M736" s="1834"/>
      <c r="N736" s="1834"/>
      <c r="O736" s="1834"/>
      <c r="P736" s="1834"/>
      <c r="Q736" s="1834"/>
      <c r="R736" s="1834"/>
      <c r="S736" s="1834"/>
      <c r="T736" s="1834"/>
      <c r="U736" s="1834"/>
      <c r="V736" s="1834"/>
      <c r="W736" s="1834"/>
      <c r="X736" s="1834"/>
      <c r="Y736" s="1834"/>
      <c r="Z736" s="1834"/>
      <c r="AA736" s="1834"/>
      <c r="AB736" s="499"/>
      <c r="AC736" s="460"/>
      <c r="AD736" s="460"/>
      <c r="AE736" s="460"/>
      <c r="AF736" s="518"/>
      <c r="AG736" s="518"/>
      <c r="AH736" s="518"/>
      <c r="AI736" s="518"/>
      <c r="AJ736" s="518"/>
      <c r="AK736" s="518"/>
      <c r="AL736" s="518"/>
      <c r="AM736" s="474"/>
      <c r="AN736" s="608"/>
      <c r="AO736" s="26"/>
      <c r="AP736" s="14"/>
    </row>
    <row r="737" spans="1:74" s="494" customFormat="1">
      <c r="A737" s="474"/>
      <c r="B737" s="460"/>
      <c r="C737" s="850"/>
      <c r="D737" s="460"/>
      <c r="E737" s="1834"/>
      <c r="F737" s="1834"/>
      <c r="G737" s="1834"/>
      <c r="H737" s="1834"/>
      <c r="I737" s="1834"/>
      <c r="J737" s="1834"/>
      <c r="K737" s="1834"/>
      <c r="L737" s="1834"/>
      <c r="M737" s="1834"/>
      <c r="N737" s="1834"/>
      <c r="O737" s="1834"/>
      <c r="P737" s="1834"/>
      <c r="Q737" s="1834"/>
      <c r="R737" s="1834"/>
      <c r="S737" s="1834"/>
      <c r="T737" s="1834"/>
      <c r="U737" s="1834"/>
      <c r="V737" s="1834"/>
      <c r="W737" s="1834"/>
      <c r="X737" s="1834"/>
      <c r="Y737" s="1834"/>
      <c r="Z737" s="1834"/>
      <c r="AA737" s="1834"/>
      <c r="AB737" s="499"/>
      <c r="AC737" s="518"/>
      <c r="AD737" s="518"/>
      <c r="AE737" s="518"/>
      <c r="AF737" s="518"/>
      <c r="AG737" s="518"/>
      <c r="AH737" s="518"/>
      <c r="AI737" s="518"/>
      <c r="AJ737" s="460"/>
      <c r="AK737" s="460"/>
      <c r="AL737" s="460"/>
      <c r="AM737" s="474"/>
      <c r="AN737" s="608"/>
      <c r="AO737" s="26"/>
      <c r="AP737" s="14"/>
    </row>
    <row r="738" spans="1:74" s="494" customFormat="1">
      <c r="A738" s="474"/>
      <c r="B738" s="460"/>
      <c r="C738" s="850"/>
      <c r="D738" s="460"/>
      <c r="E738" s="1834"/>
      <c r="F738" s="1834"/>
      <c r="G738" s="1834"/>
      <c r="H738" s="1834"/>
      <c r="I738" s="1834"/>
      <c r="J738" s="1834"/>
      <c r="K738" s="1834"/>
      <c r="L738" s="1834"/>
      <c r="M738" s="1834"/>
      <c r="N738" s="1834"/>
      <c r="O738" s="1834"/>
      <c r="P738" s="1834"/>
      <c r="Q738" s="1834"/>
      <c r="R738" s="1834"/>
      <c r="S738" s="1834"/>
      <c r="T738" s="1834"/>
      <c r="U738" s="1834"/>
      <c r="V738" s="1834"/>
      <c r="W738" s="1834"/>
      <c r="X738" s="1834"/>
      <c r="Y738" s="1834"/>
      <c r="Z738" s="1834"/>
      <c r="AA738" s="1834"/>
      <c r="AB738" s="499"/>
      <c r="AC738" s="518"/>
      <c r="AD738" s="518"/>
      <c r="AE738" s="518"/>
      <c r="AF738" s="518"/>
      <c r="AG738" s="518"/>
      <c r="AH738" s="518"/>
      <c r="AI738" s="518"/>
      <c r="AJ738" s="460"/>
      <c r="AK738" s="460"/>
      <c r="AL738" s="460"/>
      <c r="AM738" s="474"/>
      <c r="AN738" s="608"/>
      <c r="AO738" s="26"/>
      <c r="AP738" s="14"/>
    </row>
    <row r="739" spans="1:74" s="494" customFormat="1">
      <c r="A739" s="474"/>
      <c r="B739" s="460"/>
      <c r="C739" s="850"/>
      <c r="D739" s="460"/>
      <c r="E739" s="566"/>
      <c r="F739" s="566"/>
      <c r="G739" s="566"/>
      <c r="H739" s="566"/>
      <c r="I739" s="566"/>
      <c r="J739" s="566"/>
      <c r="K739" s="566"/>
      <c r="L739" s="566"/>
      <c r="M739" s="566"/>
      <c r="N739" s="566"/>
      <c r="O739" s="566"/>
      <c r="P739" s="566"/>
      <c r="Q739" s="566"/>
      <c r="R739" s="566"/>
      <c r="S739" s="566"/>
      <c r="T739" s="566"/>
      <c r="U739" s="566"/>
      <c r="V739" s="566"/>
      <c r="W739" s="566"/>
      <c r="X739" s="566"/>
      <c r="Y739" s="566"/>
      <c r="Z739" s="566"/>
      <c r="AA739" s="566"/>
      <c r="AB739" s="566"/>
      <c r="AC739" s="518"/>
      <c r="AD739" s="518"/>
      <c r="AE739" s="518"/>
      <c r="AF739" s="518"/>
      <c r="AG739" s="518"/>
      <c r="AH739" s="518"/>
      <c r="AI739" s="518"/>
      <c r="AJ739" s="460"/>
      <c r="AK739" s="460"/>
      <c r="AL739" s="460"/>
      <c r="AM739" s="474"/>
      <c r="AN739" s="608"/>
    </row>
    <row r="740" spans="1:74" s="494" customFormat="1" ht="12.75" customHeight="1">
      <c r="A740" s="474"/>
      <c r="B740" s="460"/>
      <c r="C740" s="850"/>
      <c r="D740" s="460" t="s">
        <v>2310</v>
      </c>
      <c r="E740" s="855"/>
      <c r="F740" s="855"/>
      <c r="G740" s="855"/>
      <c r="H740" s="1858" t="s">
        <v>21</v>
      </c>
      <c r="I740" s="1858"/>
      <c r="J740" s="566"/>
      <c r="K740" s="566"/>
      <c r="L740" s="566"/>
      <c r="M740" s="566"/>
      <c r="N740" s="566"/>
      <c r="O740" s="566"/>
      <c r="P740" s="566"/>
      <c r="Q740" s="566"/>
      <c r="R740" s="566"/>
      <c r="S740" s="566"/>
      <c r="T740" s="566"/>
      <c r="U740" s="566"/>
      <c r="V740" s="566"/>
      <c r="W740" s="566"/>
      <c r="X740" s="566"/>
      <c r="Y740" s="566"/>
      <c r="Z740" s="566"/>
      <c r="AA740" s="566"/>
      <c r="AB740" s="566"/>
      <c r="AC740" s="518"/>
      <c r="AD740" s="518"/>
      <c r="AE740" s="518"/>
      <c r="AF740" s="518"/>
      <c r="AG740" s="518"/>
      <c r="AH740" s="518"/>
      <c r="AI740" s="518"/>
      <c r="AJ740" s="460"/>
      <c r="AK740" s="460"/>
      <c r="AL740" s="460"/>
      <c r="AM740" s="474"/>
      <c r="AN740" s="608"/>
    </row>
    <row r="741" spans="1:74" s="494" customFormat="1" ht="12.75" customHeight="1">
      <c r="A741" s="474"/>
      <c r="B741" s="460"/>
      <c r="C741" s="850"/>
      <c r="D741" s="460"/>
      <c r="E741" s="566"/>
      <c r="F741" s="566"/>
      <c r="G741" s="566"/>
      <c r="H741" s="566"/>
      <c r="I741" s="566"/>
      <c r="J741" s="566"/>
      <c r="K741" s="566"/>
      <c r="L741" s="566"/>
      <c r="M741" s="566"/>
      <c r="N741" s="566"/>
      <c r="O741" s="566"/>
      <c r="P741" s="566"/>
      <c r="Q741" s="566"/>
      <c r="R741" s="566"/>
      <c r="S741" s="566"/>
      <c r="T741" s="566"/>
      <c r="U741" s="566"/>
      <c r="V741" s="566"/>
      <c r="W741" s="566"/>
      <c r="X741" s="566"/>
      <c r="Y741" s="566"/>
      <c r="Z741" s="566"/>
      <c r="AA741" s="566"/>
      <c r="AB741" s="566"/>
      <c r="AC741" s="518"/>
      <c r="AD741" s="518"/>
      <c r="AE741" s="518"/>
      <c r="AF741" s="518"/>
      <c r="AG741" s="518"/>
      <c r="AH741" s="518"/>
      <c r="AI741" s="518"/>
      <c r="AJ741" s="460"/>
      <c r="AK741" s="460"/>
      <c r="AL741" s="460"/>
      <c r="AM741" s="474"/>
      <c r="AN741" s="458"/>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4" customFormat="1">
      <c r="A742" s="530"/>
      <c r="B742" s="525"/>
      <c r="C742" s="863"/>
      <c r="D742" s="525"/>
      <c r="E742" s="873"/>
      <c r="F742" s="873"/>
      <c r="G742" s="873"/>
      <c r="H742" s="873"/>
      <c r="I742" s="873"/>
      <c r="J742" s="873"/>
      <c r="K742" s="873"/>
      <c r="L742" s="873"/>
      <c r="M742" s="873"/>
      <c r="N742" s="873"/>
      <c r="O742" s="873"/>
      <c r="P742" s="873"/>
      <c r="Q742" s="873"/>
      <c r="R742" s="873"/>
      <c r="S742" s="873"/>
      <c r="T742" s="873"/>
      <c r="U742" s="873"/>
      <c r="V742" s="873"/>
      <c r="W742" s="873"/>
      <c r="X742" s="873"/>
      <c r="Y742" s="873"/>
      <c r="Z742" s="873"/>
      <c r="AA742" s="873"/>
      <c r="AB742" s="611"/>
      <c r="AC742" s="611"/>
      <c r="AD742" s="611"/>
      <c r="AE742" s="611"/>
      <c r="AF742" s="611"/>
      <c r="AG742" s="611"/>
      <c r="AH742" s="525"/>
      <c r="AI742" s="489" t="s">
        <v>2376</v>
      </c>
      <c r="AJ742" s="1841">
        <f>VLOOKUP($H$740,$AO$669:$AP$671,2,FALSE)</f>
        <v>3</v>
      </c>
      <c r="AK742" s="1843"/>
      <c r="AL742" s="519"/>
      <c r="AM742" s="474"/>
      <c r="AN742" s="458"/>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4" customFormat="1" ht="12.75" customHeight="1">
      <c r="A743" s="561"/>
      <c r="B743" s="460"/>
      <c r="C743" s="852"/>
      <c r="D743" s="460"/>
      <c r="E743" s="460"/>
      <c r="F743" s="460"/>
      <c r="G743" s="460"/>
      <c r="H743" s="460"/>
      <c r="I743" s="460"/>
      <c r="J743" s="566"/>
      <c r="K743" s="566"/>
      <c r="L743" s="567"/>
      <c r="M743" s="567"/>
      <c r="N743" s="567"/>
      <c r="O743" s="567"/>
      <c r="P743" s="567"/>
      <c r="Q743" s="567"/>
      <c r="R743" s="567"/>
      <c r="S743" s="567"/>
      <c r="T743" s="567"/>
      <c r="U743" s="567"/>
      <c r="V743" s="540"/>
      <c r="W743" s="540"/>
      <c r="X743" s="540"/>
      <c r="Y743" s="540"/>
      <c r="Z743" s="855"/>
      <c r="AA743" s="855"/>
      <c r="AB743" s="855"/>
      <c r="AC743" s="460"/>
      <c r="AD743" s="460"/>
      <c r="AE743" s="460"/>
      <c r="AF743" s="460"/>
      <c r="AG743" s="460"/>
      <c r="AH743" s="460"/>
      <c r="AI743" s="460"/>
      <c r="AJ743" s="460"/>
      <c r="AK743" s="460"/>
      <c r="AL743" s="460"/>
      <c r="AM743" s="474"/>
      <c r="AN743" s="458"/>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4" customFormat="1">
      <c r="A744" s="474"/>
      <c r="B744" s="460"/>
      <c r="C744" s="463" t="s">
        <v>2365</v>
      </c>
      <c r="D744" s="540"/>
      <c r="E744" s="460"/>
      <c r="F744" s="460"/>
      <c r="G744" s="460"/>
      <c r="H744" s="460"/>
      <c r="I744" s="460"/>
      <c r="J744" s="460"/>
      <c r="K744" s="460"/>
      <c r="L744" s="460"/>
      <c r="M744" s="460"/>
      <c r="N744" s="460"/>
      <c r="O744" s="460"/>
      <c r="P744" s="460"/>
      <c r="Q744" s="460"/>
      <c r="R744" s="460"/>
      <c r="S744" s="460"/>
      <c r="T744" s="460"/>
      <c r="U744" s="460"/>
      <c r="V744" s="460"/>
      <c r="W744" s="460"/>
      <c r="X744" s="460"/>
      <c r="Y744" s="460"/>
      <c r="Z744" s="460"/>
      <c r="AA744" s="460"/>
      <c r="AB744" s="460"/>
      <c r="AC744" s="460"/>
      <c r="AD744" s="460"/>
      <c r="AE744" s="460"/>
      <c r="AF744" s="460"/>
      <c r="AG744" s="460"/>
      <c r="AH744" s="460"/>
      <c r="AI744" s="460"/>
      <c r="AJ744" s="460"/>
      <c r="AK744" s="460"/>
      <c r="AL744" s="460"/>
      <c r="AM744" s="474"/>
      <c r="AN744" s="458"/>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4" customFormat="1">
      <c r="A745" s="474"/>
      <c r="B745" s="540"/>
      <c r="C745" s="460"/>
      <c r="D745" s="460"/>
      <c r="E745" s="540"/>
      <c r="F745" s="540"/>
      <c r="G745" s="540"/>
      <c r="H745" s="540"/>
      <c r="I745" s="540"/>
      <c r="J745" s="540"/>
      <c r="K745" s="540"/>
      <c r="L745" s="540"/>
      <c r="M745" s="540"/>
      <c r="N745" s="540"/>
      <c r="O745" s="540"/>
      <c r="P745" s="540"/>
      <c r="Q745" s="540"/>
      <c r="R745" s="540"/>
      <c r="S745" s="540"/>
      <c r="T745" s="540"/>
      <c r="U745" s="540"/>
      <c r="V745" s="540"/>
      <c r="W745" s="540"/>
      <c r="X745" s="540"/>
      <c r="Y745" s="540"/>
      <c r="Z745" s="540"/>
      <c r="AA745" s="540"/>
      <c r="AB745" s="540"/>
      <c r="AC745" s="540"/>
      <c r="AD745" s="540"/>
      <c r="AE745" s="540"/>
      <c r="AF745" s="540"/>
      <c r="AG745" s="540"/>
      <c r="AH745" s="540"/>
      <c r="AI745" s="460"/>
      <c r="AJ745" s="460"/>
      <c r="AK745" s="460"/>
      <c r="AL745" s="460"/>
      <c r="AM745" s="474"/>
      <c r="AN745" s="458"/>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4" customFormat="1">
      <c r="A746" s="474"/>
      <c r="B746" s="460"/>
      <c r="C746" s="850"/>
      <c r="D746" s="587" t="s">
        <v>21</v>
      </c>
      <c r="E746" s="1834" t="s">
        <v>2377</v>
      </c>
      <c r="F746" s="1834"/>
      <c r="G746" s="1834"/>
      <c r="H746" s="1834"/>
      <c r="I746" s="1834"/>
      <c r="J746" s="1834"/>
      <c r="K746" s="1834"/>
      <c r="L746" s="1834"/>
      <c r="M746" s="1834"/>
      <c r="N746" s="1834"/>
      <c r="O746" s="1834"/>
      <c r="P746" s="1834"/>
      <c r="Q746" s="1834"/>
      <c r="R746" s="1834"/>
      <c r="S746" s="1834"/>
      <c r="T746" s="1834"/>
      <c r="U746" s="1834"/>
      <c r="V746" s="1834"/>
      <c r="W746" s="1834"/>
      <c r="X746" s="1834"/>
      <c r="Y746" s="1834"/>
      <c r="Z746" s="1834"/>
      <c r="AA746" s="1834"/>
      <c r="AB746" s="1834"/>
      <c r="AC746" s="460"/>
      <c r="AD746" s="460"/>
      <c r="AE746" s="460"/>
      <c r="AF746" s="1914" t="s">
        <v>2324</v>
      </c>
      <c r="AG746" s="1914"/>
      <c r="AH746" s="1914"/>
      <c r="AI746" s="1914"/>
      <c r="AJ746" s="1914"/>
      <c r="AK746" s="1914"/>
      <c r="AL746" s="1914"/>
      <c r="AM746" s="474"/>
      <c r="AN746" s="458"/>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4" customFormat="1">
      <c r="A747" s="474"/>
      <c r="B747" s="460"/>
      <c r="C747" s="852"/>
      <c r="D747" s="587"/>
      <c r="E747" s="1834"/>
      <c r="F747" s="1834"/>
      <c r="G747" s="1834"/>
      <c r="H747" s="1834"/>
      <c r="I747" s="1834"/>
      <c r="J747" s="1834"/>
      <c r="K747" s="1834"/>
      <c r="L747" s="1834"/>
      <c r="M747" s="1834"/>
      <c r="N747" s="1834"/>
      <c r="O747" s="1834"/>
      <c r="P747" s="1834"/>
      <c r="Q747" s="1834"/>
      <c r="R747" s="1834"/>
      <c r="S747" s="1834"/>
      <c r="T747" s="1834"/>
      <c r="U747" s="1834"/>
      <c r="V747" s="1834"/>
      <c r="W747" s="1834"/>
      <c r="X747" s="1834"/>
      <c r="Y747" s="1834"/>
      <c r="Z747" s="1834"/>
      <c r="AA747" s="1834"/>
      <c r="AB747" s="1834"/>
      <c r="AC747" s="460"/>
      <c r="AD747" s="460"/>
      <c r="AE747" s="460"/>
      <c r="AF747" s="460"/>
      <c r="AG747" s="460"/>
      <c r="AH747" s="460"/>
      <c r="AI747" s="460"/>
      <c r="AJ747" s="460"/>
      <c r="AK747" s="460"/>
      <c r="AL747" s="460"/>
      <c r="AM747" s="474"/>
      <c r="AN747" s="458"/>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4" customFormat="1">
      <c r="A748" s="474"/>
      <c r="B748" s="540"/>
      <c r="C748" s="859"/>
      <c r="D748" s="587"/>
      <c r="E748" s="540"/>
      <c r="F748" s="540"/>
      <c r="G748" s="540"/>
      <c r="H748" s="540"/>
      <c r="I748" s="540"/>
      <c r="J748" s="540"/>
      <c r="K748" s="540"/>
      <c r="L748" s="540"/>
      <c r="M748" s="540"/>
      <c r="N748" s="540"/>
      <c r="O748" s="540"/>
      <c r="P748" s="540"/>
      <c r="Q748" s="540"/>
      <c r="R748" s="540"/>
      <c r="S748" s="540"/>
      <c r="T748" s="540"/>
      <c r="U748" s="540"/>
      <c r="V748" s="540"/>
      <c r="W748" s="540"/>
      <c r="X748" s="540"/>
      <c r="Y748" s="540"/>
      <c r="Z748" s="540"/>
      <c r="AA748" s="540"/>
      <c r="AB748" s="540"/>
      <c r="AC748" s="460"/>
      <c r="AD748" s="460"/>
      <c r="AE748" s="540"/>
      <c r="AF748" s="540"/>
      <c r="AG748" s="540"/>
      <c r="AH748" s="540"/>
      <c r="AI748" s="540"/>
      <c r="AJ748" s="540"/>
      <c r="AK748" s="460"/>
      <c r="AL748" s="460"/>
      <c r="AM748" s="474"/>
      <c r="AN748" s="458"/>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4" customFormat="1">
      <c r="A749" s="561"/>
      <c r="B749" s="460"/>
      <c r="C749" s="850"/>
      <c r="D749" s="587" t="s">
        <v>26</v>
      </c>
      <c r="E749" s="1834" t="s">
        <v>2378</v>
      </c>
      <c r="F749" s="1834"/>
      <c r="G749" s="1834"/>
      <c r="H749" s="1834"/>
      <c r="I749" s="1834"/>
      <c r="J749" s="1834"/>
      <c r="K749" s="1834"/>
      <c r="L749" s="1834"/>
      <c r="M749" s="1834"/>
      <c r="N749" s="1834"/>
      <c r="O749" s="1834"/>
      <c r="P749" s="1834"/>
      <c r="Q749" s="1834"/>
      <c r="R749" s="1834"/>
      <c r="S749" s="1834"/>
      <c r="T749" s="1834"/>
      <c r="U749" s="1834"/>
      <c r="V749" s="1834"/>
      <c r="W749" s="1834"/>
      <c r="X749" s="1834"/>
      <c r="Y749" s="1834"/>
      <c r="Z749" s="1834"/>
      <c r="AA749" s="1834"/>
      <c r="AB749" s="1834"/>
      <c r="AC749" s="460"/>
      <c r="AD749" s="460"/>
      <c r="AE749" s="460"/>
      <c r="AF749" s="1914" t="s">
        <v>2342</v>
      </c>
      <c r="AG749" s="1914"/>
      <c r="AH749" s="1914"/>
      <c r="AI749" s="1914"/>
      <c r="AJ749" s="1914"/>
      <c r="AK749" s="1914"/>
      <c r="AL749" s="1914"/>
      <c r="AM749" s="474"/>
      <c r="AN749" s="458"/>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4" customFormat="1" ht="12.75" customHeight="1">
      <c r="A750" s="561"/>
      <c r="B750" s="460"/>
      <c r="C750" s="850"/>
      <c r="D750" s="587"/>
      <c r="E750" s="1834"/>
      <c r="F750" s="1834"/>
      <c r="G750" s="1834"/>
      <c r="H750" s="1834"/>
      <c r="I750" s="1834"/>
      <c r="J750" s="1834"/>
      <c r="K750" s="1834"/>
      <c r="L750" s="1834"/>
      <c r="M750" s="1834"/>
      <c r="N750" s="1834"/>
      <c r="O750" s="1834"/>
      <c r="P750" s="1834"/>
      <c r="Q750" s="1834"/>
      <c r="R750" s="1834"/>
      <c r="S750" s="1834"/>
      <c r="T750" s="1834"/>
      <c r="U750" s="1834"/>
      <c r="V750" s="1834"/>
      <c r="W750" s="1834"/>
      <c r="X750" s="1834"/>
      <c r="Y750" s="1834"/>
      <c r="Z750" s="1834"/>
      <c r="AA750" s="1834"/>
      <c r="AB750" s="1834"/>
      <c r="AC750" s="460"/>
      <c r="AD750" s="460"/>
      <c r="AE750" s="518"/>
      <c r="AF750" s="460"/>
      <c r="AG750" s="460"/>
      <c r="AH750" s="460"/>
      <c r="AI750" s="460"/>
      <c r="AJ750" s="460"/>
      <c r="AK750" s="460"/>
      <c r="AL750" s="460"/>
      <c r="AM750" s="474"/>
      <c r="AN750" s="458"/>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4" customFormat="1">
      <c r="A751" s="474"/>
      <c r="B751" s="460"/>
      <c r="C751" s="852"/>
      <c r="D751" s="460"/>
      <c r="E751" s="567"/>
      <c r="F751" s="567"/>
      <c r="G751" s="567"/>
      <c r="H751" s="567"/>
      <c r="I751" s="567"/>
      <c r="J751" s="567"/>
      <c r="K751" s="567"/>
      <c r="L751" s="567"/>
      <c r="M751" s="567"/>
      <c r="N751" s="567"/>
      <c r="O751" s="567"/>
      <c r="P751" s="567"/>
      <c r="Q751" s="567"/>
      <c r="R751" s="567"/>
      <c r="S751" s="567"/>
      <c r="T751" s="567"/>
      <c r="U751" s="567"/>
      <c r="V751" s="567"/>
      <c r="W751" s="567"/>
      <c r="X751" s="567"/>
      <c r="Y751" s="567"/>
      <c r="Z751" s="567"/>
      <c r="AA751" s="567"/>
      <c r="AB751" s="567"/>
      <c r="AC751" s="460"/>
      <c r="AD751" s="460"/>
      <c r="AE751" s="540"/>
      <c r="AF751" s="540"/>
      <c r="AG751" s="540"/>
      <c r="AH751" s="540"/>
      <c r="AI751" s="460"/>
      <c r="AJ751" s="460"/>
      <c r="AK751" s="460"/>
      <c r="AL751" s="460"/>
      <c r="AM751" s="474"/>
      <c r="AN751" s="458"/>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4" customFormat="1" ht="12.75" customHeight="1">
      <c r="A752" s="474"/>
      <c r="B752" s="460"/>
      <c r="C752" s="460"/>
      <c r="D752" s="460" t="s">
        <v>2310</v>
      </c>
      <c r="E752" s="855"/>
      <c r="F752" s="855"/>
      <c r="G752" s="855"/>
      <c r="H752" s="1858" t="s">
        <v>26</v>
      </c>
      <c r="I752" s="1858"/>
      <c r="J752" s="567"/>
      <c r="K752" s="567"/>
      <c r="L752" s="567"/>
      <c r="M752" s="567"/>
      <c r="N752" s="567"/>
      <c r="O752" s="567"/>
      <c r="P752" s="567"/>
      <c r="Q752" s="460"/>
      <c r="R752" s="460"/>
      <c r="S752" s="460"/>
      <c r="T752" s="460"/>
      <c r="U752" s="460"/>
      <c r="V752" s="460"/>
      <c r="W752" s="567"/>
      <c r="X752" s="567"/>
      <c r="Y752" s="567"/>
      <c r="Z752" s="567"/>
      <c r="AA752" s="567"/>
      <c r="AB752" s="567"/>
      <c r="AC752" s="460"/>
      <c r="AD752" s="460"/>
      <c r="AE752" s="540"/>
      <c r="AF752" s="540"/>
      <c r="AG752" s="540"/>
      <c r="AH752" s="540"/>
      <c r="AI752" s="460"/>
      <c r="AJ752" s="460"/>
      <c r="AK752" s="460"/>
      <c r="AL752" s="460"/>
      <c r="AM752" s="474"/>
      <c r="AN752" s="458"/>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4" customFormat="1" ht="12.75" customHeight="1">
      <c r="A753" s="474"/>
      <c r="B753" s="540"/>
      <c r="C753" s="859"/>
      <c r="D753" s="540"/>
      <c r="E753" s="540"/>
      <c r="F753" s="540"/>
      <c r="G753" s="540"/>
      <c r="H753" s="540"/>
      <c r="I753" s="540"/>
      <c r="J753" s="540"/>
      <c r="K753" s="540"/>
      <c r="L753" s="540"/>
      <c r="M753" s="540"/>
      <c r="N753" s="540"/>
      <c r="O753" s="540"/>
      <c r="P753" s="540"/>
      <c r="Q753" s="540"/>
      <c r="R753" s="540"/>
      <c r="S753" s="540"/>
      <c r="T753" s="540"/>
      <c r="U753" s="540"/>
      <c r="V753" s="540"/>
      <c r="W753" s="540"/>
      <c r="X753" s="540"/>
      <c r="Y753" s="540"/>
      <c r="Z753" s="540"/>
      <c r="AA753" s="540"/>
      <c r="AB753" s="540"/>
      <c r="AC753" s="540"/>
      <c r="AD753" s="540"/>
      <c r="AE753" s="540"/>
      <c r="AF753" s="540"/>
      <c r="AG753" s="540"/>
      <c r="AH753" s="540"/>
      <c r="AI753" s="460"/>
      <c r="AJ753" s="460"/>
      <c r="AK753" s="460"/>
      <c r="AL753" s="460"/>
      <c r="AM753" s="474"/>
      <c r="AN753" s="458"/>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4" customFormat="1" ht="13.95" customHeight="1">
      <c r="A754" s="530"/>
      <c r="B754" s="589"/>
      <c r="C754" s="874"/>
      <c r="D754" s="589"/>
      <c r="E754" s="589"/>
      <c r="F754" s="589"/>
      <c r="G754" s="589"/>
      <c r="H754" s="589"/>
      <c r="I754" s="589"/>
      <c r="J754" s="589"/>
      <c r="K754" s="589"/>
      <c r="L754" s="589"/>
      <c r="M754" s="589"/>
      <c r="N754" s="589"/>
      <c r="O754" s="589"/>
      <c r="P754" s="589"/>
      <c r="Q754" s="589"/>
      <c r="R754" s="589"/>
      <c r="S754" s="589"/>
      <c r="T754" s="589"/>
      <c r="U754" s="589"/>
      <c r="V754" s="589"/>
      <c r="W754" s="589"/>
      <c r="X754" s="589"/>
      <c r="Y754" s="589"/>
      <c r="Z754" s="589"/>
      <c r="AA754" s="589"/>
      <c r="AB754" s="589"/>
      <c r="AC754" s="589"/>
      <c r="AD754" s="589"/>
      <c r="AE754" s="589"/>
      <c r="AF754" s="589"/>
      <c r="AG754" s="589"/>
      <c r="AH754" s="525"/>
      <c r="AI754" s="489" t="s">
        <v>2379</v>
      </c>
      <c r="AJ754" s="1841">
        <f>VLOOKUP($H$752,$AO$686:$AP$688,2,FALSE)</f>
        <v>1</v>
      </c>
      <c r="AK754" s="1843"/>
      <c r="AL754" s="519"/>
      <c r="AM754" s="474"/>
      <c r="AN754" s="458"/>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4" customFormat="1">
      <c r="A755" s="474"/>
      <c r="B755" s="540"/>
      <c r="C755" s="859"/>
      <c r="D755" s="540"/>
      <c r="E755" s="540"/>
      <c r="F755" s="540"/>
      <c r="G755" s="540"/>
      <c r="H755" s="540"/>
      <c r="I755" s="540"/>
      <c r="J755" s="540"/>
      <c r="K755" s="540"/>
      <c r="L755" s="540"/>
      <c r="M755" s="540"/>
      <c r="N755" s="540"/>
      <c r="O755" s="540"/>
      <c r="P755" s="540"/>
      <c r="Q755" s="540"/>
      <c r="R755" s="540"/>
      <c r="S755" s="540"/>
      <c r="T755" s="540"/>
      <c r="U755" s="540"/>
      <c r="V755" s="540"/>
      <c r="W755" s="540"/>
      <c r="X755" s="540"/>
      <c r="Y755" s="540"/>
      <c r="Z755" s="540"/>
      <c r="AA755" s="540"/>
      <c r="AB755" s="540"/>
      <c r="AC755" s="540"/>
      <c r="AD755" s="540"/>
      <c r="AE755" s="540"/>
      <c r="AF755" s="540"/>
      <c r="AG755" s="540"/>
      <c r="AH755" s="460"/>
      <c r="AI755" s="467"/>
      <c r="AJ755" s="519"/>
      <c r="AK755" s="519"/>
      <c r="AL755" s="519"/>
      <c r="AM755" s="474"/>
      <c r="AN755" s="458"/>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4" customFormat="1">
      <c r="A756" s="474"/>
      <c r="B756" s="540"/>
      <c r="C756" s="463" t="s">
        <v>2366</v>
      </c>
      <c r="D756" s="540"/>
      <c r="E756" s="540"/>
      <c r="F756" s="540"/>
      <c r="G756" s="540"/>
      <c r="H756" s="540"/>
      <c r="I756" s="540"/>
      <c r="J756" s="540"/>
      <c r="K756" s="540"/>
      <c r="L756" s="540"/>
      <c r="M756" s="540"/>
      <c r="N756" s="540"/>
      <c r="O756" s="540"/>
      <c r="P756" s="540"/>
      <c r="Q756" s="540"/>
      <c r="R756" s="540"/>
      <c r="S756" s="540"/>
      <c r="T756" s="540"/>
      <c r="U756" s="540"/>
      <c r="V756" s="540"/>
      <c r="W756" s="540"/>
      <c r="X756" s="540"/>
      <c r="Y756" s="540"/>
      <c r="Z756" s="540"/>
      <c r="AA756" s="540"/>
      <c r="AB756" s="540"/>
      <c r="AC756" s="540"/>
      <c r="AD756" s="540"/>
      <c r="AE756" s="540"/>
      <c r="AF756" s="540"/>
      <c r="AG756" s="540"/>
      <c r="AH756" s="460"/>
      <c r="AI756" s="467"/>
      <c r="AJ756" s="519"/>
      <c r="AK756" s="519"/>
      <c r="AL756" s="519"/>
      <c r="AM756" s="474"/>
      <c r="AN756" s="458"/>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4" customFormat="1">
      <c r="A757" s="474"/>
      <c r="B757" s="540"/>
      <c r="C757" s="859"/>
      <c r="D757" s="540"/>
      <c r="E757" s="540"/>
      <c r="F757" s="540"/>
      <c r="G757" s="540"/>
      <c r="H757" s="540"/>
      <c r="I757" s="540"/>
      <c r="J757" s="540"/>
      <c r="K757" s="540"/>
      <c r="L757" s="540"/>
      <c r="M757" s="540"/>
      <c r="N757" s="540"/>
      <c r="O757" s="540"/>
      <c r="P757" s="540"/>
      <c r="Q757" s="540"/>
      <c r="R757" s="540"/>
      <c r="S757" s="540"/>
      <c r="T757" s="540"/>
      <c r="U757" s="540"/>
      <c r="V757" s="540"/>
      <c r="W757" s="540"/>
      <c r="X757" s="540"/>
      <c r="Y757" s="540"/>
      <c r="Z757" s="540"/>
      <c r="AA757" s="540"/>
      <c r="AB757" s="540"/>
      <c r="AC757" s="540"/>
      <c r="AD757" s="540"/>
      <c r="AE757" s="540"/>
      <c r="AF757" s="540"/>
      <c r="AG757" s="540"/>
      <c r="AH757" s="460"/>
      <c r="AI757" s="467"/>
      <c r="AJ757" s="519"/>
      <c r="AK757" s="519"/>
      <c r="AL757" s="519"/>
      <c r="AM757" s="474"/>
      <c r="AN757" s="608"/>
    </row>
    <row r="758" spans="1:74" s="494" customFormat="1" ht="13.95" customHeight="1">
      <c r="A758" s="474"/>
      <c r="B758" s="540"/>
      <c r="C758" s="859"/>
      <c r="D758" s="587" t="s">
        <v>21</v>
      </c>
      <c r="E758" s="1834" t="s">
        <v>2380</v>
      </c>
      <c r="F758" s="1834"/>
      <c r="G758" s="1834"/>
      <c r="H758" s="1834"/>
      <c r="I758" s="1834"/>
      <c r="J758" s="1834"/>
      <c r="K758" s="1834"/>
      <c r="L758" s="1834"/>
      <c r="M758" s="1834"/>
      <c r="N758" s="1834"/>
      <c r="O758" s="1834"/>
      <c r="P758" s="1834"/>
      <c r="Q758" s="1834"/>
      <c r="R758" s="1834"/>
      <c r="S758" s="1834"/>
      <c r="T758" s="1834"/>
      <c r="U758" s="1834"/>
      <c r="V758" s="1834"/>
      <c r="W758" s="1834"/>
      <c r="X758" s="1834"/>
      <c r="Y758" s="1834"/>
      <c r="Z758" s="1834"/>
      <c r="AA758" s="1834"/>
      <c r="AB758" s="1834"/>
      <c r="AC758" s="1834"/>
      <c r="AD758" s="1834"/>
      <c r="AE758" s="460"/>
      <c r="AF758" s="1914" t="s">
        <v>2324</v>
      </c>
      <c r="AG758" s="1914"/>
      <c r="AH758" s="1914"/>
      <c r="AI758" s="1914"/>
      <c r="AJ758" s="1914"/>
      <c r="AK758" s="1914"/>
      <c r="AL758" s="1914"/>
      <c r="AM758" s="537"/>
      <c r="AN758" s="608"/>
      <c r="AO758" s="474" t="s">
        <v>299</v>
      </c>
      <c r="AP758" s="597">
        <v>0</v>
      </c>
    </row>
    <row r="759" spans="1:74" s="494" customFormat="1" ht="13.95" customHeight="1">
      <c r="A759" s="474"/>
      <c r="B759" s="540"/>
      <c r="C759" s="859"/>
      <c r="D759" s="587"/>
      <c r="E759" s="1834"/>
      <c r="F759" s="1834"/>
      <c r="G759" s="1834"/>
      <c r="H759" s="1834"/>
      <c r="I759" s="1834"/>
      <c r="J759" s="1834"/>
      <c r="K759" s="1834"/>
      <c r="L759" s="1834"/>
      <c r="M759" s="1834"/>
      <c r="N759" s="1834"/>
      <c r="O759" s="1834"/>
      <c r="P759" s="1834"/>
      <c r="Q759" s="1834"/>
      <c r="R759" s="1834"/>
      <c r="S759" s="1834"/>
      <c r="T759" s="1834"/>
      <c r="U759" s="1834"/>
      <c r="V759" s="1834"/>
      <c r="W759" s="1834"/>
      <c r="X759" s="1834"/>
      <c r="Y759" s="1834"/>
      <c r="Z759" s="1834"/>
      <c r="AA759" s="1834"/>
      <c r="AB759" s="1834"/>
      <c r="AC759" s="1834"/>
      <c r="AD759" s="1834"/>
      <c r="AE759" s="460"/>
      <c r="AF759" s="518"/>
      <c r="AG759" s="518"/>
      <c r="AH759" s="518"/>
      <c r="AI759" s="518"/>
      <c r="AJ759" s="518"/>
      <c r="AK759" s="518"/>
      <c r="AL759" s="518"/>
      <c r="AM759" s="537"/>
      <c r="AN759" s="608"/>
      <c r="AO759" s="535" t="s">
        <v>21</v>
      </c>
      <c r="AP759" s="474">
        <v>2</v>
      </c>
    </row>
    <row r="760" spans="1:74" s="494" customFormat="1">
      <c r="A760" s="474"/>
      <c r="B760" s="540"/>
      <c r="C760" s="859"/>
      <c r="D760" s="587"/>
      <c r="E760" s="1834"/>
      <c r="F760" s="1834"/>
      <c r="G760" s="1834"/>
      <c r="H760" s="1834"/>
      <c r="I760" s="1834"/>
      <c r="J760" s="1834"/>
      <c r="K760" s="1834"/>
      <c r="L760" s="1834"/>
      <c r="M760" s="1834"/>
      <c r="N760" s="1834"/>
      <c r="O760" s="1834"/>
      <c r="P760" s="1834"/>
      <c r="Q760" s="1834"/>
      <c r="R760" s="1834"/>
      <c r="S760" s="1834"/>
      <c r="T760" s="1834"/>
      <c r="U760" s="1834"/>
      <c r="V760" s="1834"/>
      <c r="W760" s="1834"/>
      <c r="X760" s="1834"/>
      <c r="Y760" s="1834"/>
      <c r="Z760" s="1834"/>
      <c r="AA760" s="1834"/>
      <c r="AB760" s="1834"/>
      <c r="AC760" s="1834"/>
      <c r="AD760" s="1834"/>
      <c r="AE760" s="460"/>
      <c r="AF760" s="460"/>
      <c r="AG760" s="460"/>
      <c r="AH760" s="460"/>
      <c r="AI760" s="460"/>
      <c r="AJ760" s="460"/>
      <c r="AK760" s="460"/>
      <c r="AL760" s="518"/>
      <c r="AM760" s="537"/>
      <c r="AN760" s="458"/>
      <c r="AO760" s="535" t="s">
        <v>26</v>
      </c>
      <c r="AP760" s="474">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4" customFormat="1" ht="18.600000000000001" customHeight="1">
      <c r="A761" s="474"/>
      <c r="B761" s="540"/>
      <c r="C761" s="859"/>
      <c r="D761" s="587"/>
      <c r="E761" s="1834"/>
      <c r="F761" s="1834"/>
      <c r="G761" s="1834"/>
      <c r="H761" s="1834"/>
      <c r="I761" s="1834"/>
      <c r="J761" s="1834"/>
      <c r="K761" s="1834"/>
      <c r="L761" s="1834"/>
      <c r="M761" s="1834"/>
      <c r="N761" s="1834"/>
      <c r="O761" s="1834"/>
      <c r="P761" s="1834"/>
      <c r="Q761" s="1834"/>
      <c r="R761" s="1834"/>
      <c r="S761" s="1834"/>
      <c r="T761" s="1834"/>
      <c r="U761" s="1834"/>
      <c r="V761" s="1834"/>
      <c r="W761" s="1834"/>
      <c r="X761" s="1834"/>
      <c r="Y761" s="1834"/>
      <c r="Z761" s="1834"/>
      <c r="AA761" s="1834"/>
      <c r="AB761" s="1834"/>
      <c r="AC761" s="1834"/>
      <c r="AD761" s="1834"/>
      <c r="AE761" s="518"/>
      <c r="AF761" s="518"/>
      <c r="AG761" s="518"/>
      <c r="AH761" s="518"/>
      <c r="AI761" s="518"/>
      <c r="AJ761" s="518"/>
      <c r="AK761" s="518"/>
      <c r="AL761" s="518"/>
      <c r="AM761" s="537"/>
      <c r="AN761" s="458"/>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4" customFormat="1" ht="12.75" customHeight="1">
      <c r="B762" s="540"/>
      <c r="C762" s="859"/>
      <c r="D762" s="587"/>
      <c r="E762" s="829"/>
      <c r="F762" s="829"/>
      <c r="G762" s="829"/>
      <c r="H762" s="829"/>
      <c r="I762" s="829"/>
      <c r="J762" s="829"/>
      <c r="K762" s="829"/>
      <c r="L762" s="829"/>
      <c r="M762" s="829"/>
      <c r="N762" s="829"/>
      <c r="O762" s="829"/>
      <c r="P762" s="829"/>
      <c r="Q762" s="829"/>
      <c r="R762" s="829"/>
      <c r="S762" s="829"/>
      <c r="T762" s="829"/>
      <c r="U762" s="829"/>
      <c r="V762" s="829"/>
      <c r="W762" s="829"/>
      <c r="X762" s="829"/>
      <c r="Y762" s="829"/>
      <c r="Z762" s="829"/>
      <c r="AA762" s="829"/>
      <c r="AB762" s="829"/>
      <c r="AC762" s="829"/>
      <c r="AD762" s="829"/>
      <c r="AE762" s="518"/>
      <c r="AF762" s="460"/>
      <c r="AG762" s="460"/>
      <c r="AH762" s="460"/>
      <c r="AI762" s="460"/>
      <c r="AJ762" s="460"/>
      <c r="AK762" s="460"/>
      <c r="AL762" s="460"/>
      <c r="AM762" s="537"/>
      <c r="AN762" s="521"/>
    </row>
    <row r="763" spans="1:74" s="474" customFormat="1" ht="12.75" customHeight="1">
      <c r="B763" s="540"/>
      <c r="C763" s="859"/>
      <c r="D763" s="587" t="s">
        <v>26</v>
      </c>
      <c r="E763" s="1946" t="s">
        <v>2381</v>
      </c>
      <c r="F763" s="1946"/>
      <c r="G763" s="1946"/>
      <c r="H763" s="1946"/>
      <c r="I763" s="1946"/>
      <c r="J763" s="1946"/>
      <c r="K763" s="1946"/>
      <c r="L763" s="1946"/>
      <c r="M763" s="1946"/>
      <c r="N763" s="1946"/>
      <c r="O763" s="1946"/>
      <c r="P763" s="1946"/>
      <c r="Q763" s="1946"/>
      <c r="R763" s="1946"/>
      <c r="S763" s="1946"/>
      <c r="T763" s="1946"/>
      <c r="U763" s="1946"/>
      <c r="V763" s="1946"/>
      <c r="W763" s="1946"/>
      <c r="X763" s="1946"/>
      <c r="Y763" s="1946"/>
      <c r="Z763" s="1946"/>
      <c r="AA763" s="1946"/>
      <c r="AB763" s="1946"/>
      <c r="AC763" s="1946"/>
      <c r="AD763" s="1946"/>
      <c r="AE763" s="460"/>
      <c r="AF763" s="1914" t="s">
        <v>2034</v>
      </c>
      <c r="AG763" s="1914"/>
      <c r="AH763" s="1914"/>
      <c r="AI763" s="1914"/>
      <c r="AJ763" s="1914"/>
      <c r="AK763" s="1914"/>
      <c r="AL763" s="1914"/>
      <c r="AM763" s="537"/>
      <c r="AN763" s="521"/>
    </row>
    <row r="764" spans="1:74" s="474" customFormat="1" ht="12.75" customHeight="1">
      <c r="B764" s="540"/>
      <c r="C764" s="859"/>
      <c r="D764" s="587"/>
      <c r="E764" s="1946"/>
      <c r="F764" s="1946"/>
      <c r="G764" s="1946"/>
      <c r="H764" s="1946"/>
      <c r="I764" s="1946"/>
      <c r="J764" s="1946"/>
      <c r="K764" s="1946"/>
      <c r="L764" s="1946"/>
      <c r="M764" s="1946"/>
      <c r="N764" s="1946"/>
      <c r="O764" s="1946"/>
      <c r="P764" s="1946"/>
      <c r="Q764" s="1946"/>
      <c r="R764" s="1946"/>
      <c r="S764" s="1946"/>
      <c r="T764" s="1946"/>
      <c r="U764" s="1946"/>
      <c r="V764" s="1946"/>
      <c r="W764" s="1946"/>
      <c r="X764" s="1946"/>
      <c r="Y764" s="1946"/>
      <c r="Z764" s="1946"/>
      <c r="AA764" s="1946"/>
      <c r="AB764" s="1946"/>
      <c r="AC764" s="1946"/>
      <c r="AD764" s="1946"/>
      <c r="AE764" s="518"/>
      <c r="AF764" s="518"/>
      <c r="AG764" s="518"/>
      <c r="AH764" s="518"/>
      <c r="AI764" s="518"/>
      <c r="AJ764" s="518"/>
      <c r="AK764" s="518"/>
      <c r="AL764" s="518"/>
      <c r="AM764" s="537"/>
      <c r="AN764" s="521"/>
    </row>
    <row r="765" spans="1:74" s="474" customFormat="1" ht="12.75" customHeight="1">
      <c r="B765" s="540"/>
      <c r="C765" s="859"/>
      <c r="D765" s="587"/>
      <c r="E765" s="1946"/>
      <c r="F765" s="1946"/>
      <c r="G765" s="1946"/>
      <c r="H765" s="1946"/>
      <c r="I765" s="1946"/>
      <c r="J765" s="1946"/>
      <c r="K765" s="1946"/>
      <c r="L765" s="1946"/>
      <c r="M765" s="1946"/>
      <c r="N765" s="1946"/>
      <c r="O765" s="1946"/>
      <c r="P765" s="1946"/>
      <c r="Q765" s="1946"/>
      <c r="R765" s="1946"/>
      <c r="S765" s="1946"/>
      <c r="T765" s="1946"/>
      <c r="U765" s="1946"/>
      <c r="V765" s="1946"/>
      <c r="W765" s="1946"/>
      <c r="X765" s="1946"/>
      <c r="Y765" s="1946"/>
      <c r="Z765" s="1946"/>
      <c r="AA765" s="1946"/>
      <c r="AB765" s="1946"/>
      <c r="AC765" s="1946"/>
      <c r="AD765" s="1946"/>
      <c r="AE765" s="518"/>
      <c r="AF765" s="518"/>
      <c r="AG765" s="518"/>
      <c r="AH765" s="518"/>
      <c r="AI765" s="518"/>
      <c r="AJ765" s="518"/>
      <c r="AK765" s="518"/>
      <c r="AL765" s="518"/>
      <c r="AM765" s="537"/>
      <c r="AN765" s="521"/>
    </row>
    <row r="766" spans="1:74" s="474" customFormat="1" ht="12.75" customHeight="1">
      <c r="B766" s="540"/>
      <c r="C766" s="859"/>
      <c r="D766" s="587"/>
      <c r="E766" s="1946"/>
      <c r="F766" s="1946"/>
      <c r="G766" s="1946"/>
      <c r="H766" s="1946"/>
      <c r="I766" s="1946"/>
      <c r="J766" s="1946"/>
      <c r="K766" s="1946"/>
      <c r="L766" s="1946"/>
      <c r="M766" s="1946"/>
      <c r="N766" s="1946"/>
      <c r="O766" s="1946"/>
      <c r="P766" s="1946"/>
      <c r="Q766" s="1946"/>
      <c r="R766" s="1946"/>
      <c r="S766" s="1946"/>
      <c r="T766" s="1946"/>
      <c r="U766" s="1946"/>
      <c r="V766" s="1946"/>
      <c r="W766" s="1946"/>
      <c r="X766" s="1946"/>
      <c r="Y766" s="1946"/>
      <c r="Z766" s="1946"/>
      <c r="AA766" s="1946"/>
      <c r="AB766" s="1946"/>
      <c r="AC766" s="1946"/>
      <c r="AD766" s="1946"/>
      <c r="AE766" s="518"/>
      <c r="AF766" s="518"/>
      <c r="AG766" s="518"/>
      <c r="AH766" s="518"/>
      <c r="AI766" s="518"/>
      <c r="AJ766" s="518"/>
      <c r="AK766" s="518"/>
      <c r="AL766" s="518"/>
      <c r="AM766" s="537"/>
      <c r="AN766" s="521"/>
    </row>
    <row r="767" spans="1:74" s="474" customFormat="1" ht="12.75" customHeight="1">
      <c r="A767" s="494"/>
      <c r="B767" s="460"/>
      <c r="C767" s="460"/>
      <c r="D767" s="460"/>
      <c r="E767" s="460"/>
      <c r="F767" s="460"/>
      <c r="G767" s="460"/>
      <c r="H767" s="460"/>
      <c r="I767" s="460"/>
      <c r="J767" s="460"/>
      <c r="K767" s="460"/>
      <c r="L767" s="460"/>
      <c r="M767" s="460"/>
      <c r="N767" s="460"/>
      <c r="O767" s="460"/>
      <c r="P767" s="460"/>
      <c r="Q767" s="460"/>
      <c r="R767" s="460"/>
      <c r="S767" s="460"/>
      <c r="T767" s="460"/>
      <c r="U767" s="460"/>
      <c r="V767" s="460"/>
      <c r="W767" s="460"/>
      <c r="X767" s="460"/>
      <c r="Y767" s="460"/>
      <c r="Z767" s="460"/>
      <c r="AA767" s="460"/>
      <c r="AB767" s="460"/>
      <c r="AC767" s="460"/>
      <c r="AD767" s="460"/>
      <c r="AE767" s="460"/>
      <c r="AF767" s="460"/>
      <c r="AG767" s="460"/>
      <c r="AH767" s="460"/>
      <c r="AI767" s="460"/>
      <c r="AJ767" s="460"/>
      <c r="AK767" s="460"/>
      <c r="AL767" s="460"/>
      <c r="AM767" s="494"/>
      <c r="AN767" s="521"/>
    </row>
    <row r="768" spans="1:74" s="474" customFormat="1" ht="12.75" customHeight="1">
      <c r="B768" s="540"/>
      <c r="C768" s="859"/>
      <c r="D768" s="460" t="s">
        <v>2310</v>
      </c>
      <c r="E768" s="855"/>
      <c r="F768" s="855"/>
      <c r="G768" s="855"/>
      <c r="H768" s="1858" t="s">
        <v>299</v>
      </c>
      <c r="I768" s="1858"/>
      <c r="J768" s="567"/>
      <c r="K768" s="567"/>
      <c r="L768" s="567"/>
      <c r="M768" s="567"/>
      <c r="N768" s="567"/>
      <c r="O768" s="567"/>
      <c r="P768" s="567"/>
      <c r="Q768" s="567"/>
      <c r="R768" s="567"/>
      <c r="S768" s="567"/>
      <c r="T768" s="567"/>
      <c r="U768" s="567"/>
      <c r="V768" s="567"/>
      <c r="W768" s="567"/>
      <c r="X768" s="567"/>
      <c r="Y768" s="567"/>
      <c r="Z768" s="567"/>
      <c r="AA768" s="567"/>
      <c r="AB768" s="567"/>
      <c r="AC768" s="567"/>
      <c r="AD768" s="567"/>
      <c r="AE768" s="567"/>
      <c r="AF768" s="567"/>
      <c r="AG768" s="540"/>
      <c r="AH768" s="460"/>
      <c r="AI768" s="467"/>
      <c r="AJ768" s="519"/>
      <c r="AK768" s="519"/>
      <c r="AL768" s="519"/>
      <c r="AN768" s="521"/>
    </row>
    <row r="769" spans="1:81" s="474" customFormat="1" ht="12.75" customHeight="1">
      <c r="B769" s="540"/>
      <c r="C769" s="859"/>
      <c r="D769" s="540"/>
      <c r="E769" s="540"/>
      <c r="F769" s="540"/>
      <c r="G769" s="540"/>
      <c r="H769" s="540"/>
      <c r="I769" s="540"/>
      <c r="J769" s="540"/>
      <c r="K769" s="540"/>
      <c r="L769" s="540"/>
      <c r="M769" s="540"/>
      <c r="N769" s="540"/>
      <c r="O769" s="540"/>
      <c r="P769" s="540"/>
      <c r="Q769" s="540"/>
      <c r="R769" s="540"/>
      <c r="S769" s="540"/>
      <c r="T769" s="540"/>
      <c r="U769" s="540"/>
      <c r="V769" s="540"/>
      <c r="W769" s="540"/>
      <c r="X769" s="540"/>
      <c r="Y769" s="540"/>
      <c r="Z769" s="540"/>
      <c r="AA769" s="540"/>
      <c r="AB769" s="540"/>
      <c r="AC769" s="540"/>
      <c r="AD769" s="540"/>
      <c r="AE769" s="540"/>
      <c r="AF769" s="540"/>
      <c r="AG769" s="540"/>
      <c r="AH769" s="460"/>
      <c r="AI769" s="467"/>
      <c r="AJ769" s="519"/>
      <c r="AK769" s="519"/>
      <c r="AL769" s="519"/>
      <c r="AN769" s="521"/>
    </row>
    <row r="770" spans="1:81" s="474" customFormat="1" ht="12.75" customHeight="1">
      <c r="A770" s="530"/>
      <c r="B770" s="589"/>
      <c r="C770" s="874"/>
      <c r="D770" s="589"/>
      <c r="E770" s="589"/>
      <c r="F770" s="589"/>
      <c r="G770" s="589"/>
      <c r="H770" s="589"/>
      <c r="I770" s="589"/>
      <c r="J770" s="589"/>
      <c r="K770" s="589"/>
      <c r="L770" s="589"/>
      <c r="M770" s="589"/>
      <c r="N770" s="589"/>
      <c r="O770" s="589"/>
      <c r="P770" s="589"/>
      <c r="Q770" s="589"/>
      <c r="R770" s="589"/>
      <c r="S770" s="589"/>
      <c r="T770" s="589"/>
      <c r="U770" s="589"/>
      <c r="V770" s="589"/>
      <c r="W770" s="589"/>
      <c r="X770" s="589"/>
      <c r="Y770" s="589"/>
      <c r="Z770" s="589"/>
      <c r="AA770" s="589"/>
      <c r="AB770" s="589"/>
      <c r="AC770" s="589"/>
      <c r="AD770" s="589"/>
      <c r="AE770" s="589"/>
      <c r="AF770" s="589"/>
      <c r="AG770" s="589"/>
      <c r="AH770" s="525"/>
      <c r="AI770" s="489" t="s">
        <v>2382</v>
      </c>
      <c r="AJ770" s="1841">
        <f>VLOOKUP($H$768,$AO$758:$AP$760,2,FALSE)</f>
        <v>0</v>
      </c>
      <c r="AK770" s="1843"/>
      <c r="AL770" s="519"/>
      <c r="AN770" s="521"/>
    </row>
    <row r="771" spans="1:81" s="494" customFormat="1">
      <c r="A771" s="474"/>
      <c r="B771" s="540"/>
      <c r="C771" s="859"/>
      <c r="D771" s="540"/>
      <c r="E771" s="540"/>
      <c r="F771" s="540"/>
      <c r="G771" s="540"/>
      <c r="H771" s="540"/>
      <c r="I771" s="540"/>
      <c r="J771" s="540"/>
      <c r="K771" s="540"/>
      <c r="L771" s="540"/>
      <c r="M771" s="540"/>
      <c r="N771" s="540"/>
      <c r="O771" s="540"/>
      <c r="P771" s="540"/>
      <c r="Q771" s="540"/>
      <c r="R771" s="540"/>
      <c r="S771" s="540"/>
      <c r="T771" s="540"/>
      <c r="U771" s="540"/>
      <c r="V771" s="540"/>
      <c r="W771" s="540"/>
      <c r="X771" s="540"/>
      <c r="Y771" s="540"/>
      <c r="Z771" s="540"/>
      <c r="AA771" s="540"/>
      <c r="AB771" s="540"/>
      <c r="AC771" s="540"/>
      <c r="AD771" s="540"/>
      <c r="AE771" s="540"/>
      <c r="AF771" s="540"/>
      <c r="AG771" s="540"/>
      <c r="AH771" s="460"/>
      <c r="AI771" s="467"/>
      <c r="AJ771" s="519"/>
      <c r="AK771" s="519"/>
      <c r="AL771" s="519"/>
      <c r="AM771" s="474"/>
      <c r="AN771" s="608"/>
      <c r="AS771" s="598"/>
      <c r="AT771" s="598"/>
      <c r="AU771" s="598"/>
      <c r="AV771" s="598"/>
      <c r="AW771" s="598"/>
      <c r="AX771" s="598"/>
      <c r="AY771" s="598"/>
      <c r="AZ771" s="598"/>
      <c r="BA771" s="598"/>
      <c r="BB771" s="598"/>
      <c r="BC771" s="598"/>
      <c r="BD771" s="614"/>
      <c r="BE771" s="614"/>
      <c r="BF771" s="614"/>
      <c r="BG771" s="614"/>
      <c r="BH771" s="614"/>
      <c r="BI771" s="598"/>
      <c r="BJ771" s="598"/>
      <c r="BK771" s="598"/>
      <c r="BL771" s="598"/>
      <c r="BM771" s="598"/>
      <c r="BN771" s="598"/>
      <c r="BO771" s="598"/>
      <c r="BP771" s="598"/>
      <c r="BQ771" s="598"/>
      <c r="BR771" s="598"/>
      <c r="BS771" s="598"/>
      <c r="BT771" s="598"/>
      <c r="BU771" s="598"/>
      <c r="BV771" s="598"/>
      <c r="BW771" s="598"/>
      <c r="BX771" s="598"/>
      <c r="BY771" s="598"/>
      <c r="BZ771" s="598"/>
      <c r="CA771" s="598"/>
      <c r="CB771" s="598"/>
      <c r="CC771" s="598"/>
    </row>
    <row r="772" spans="1:81" s="494" customFormat="1">
      <c r="A772" s="474"/>
      <c r="B772" s="540"/>
      <c r="C772" s="463" t="s">
        <v>2383</v>
      </c>
      <c r="D772" s="540"/>
      <c r="E772" s="540"/>
      <c r="F772" s="540"/>
      <c r="G772" s="540"/>
      <c r="H772" s="540"/>
      <c r="I772" s="540"/>
      <c r="J772" s="540"/>
      <c r="K772" s="540"/>
      <c r="L772" s="540"/>
      <c r="M772" s="540"/>
      <c r="N772" s="540"/>
      <c r="O772" s="540"/>
      <c r="P772" s="540"/>
      <c r="Q772" s="540"/>
      <c r="R772" s="540"/>
      <c r="S772" s="540"/>
      <c r="T772" s="540"/>
      <c r="U772" s="540"/>
      <c r="V772" s="540"/>
      <c r="W772" s="540"/>
      <c r="X772" s="540"/>
      <c r="Y772" s="540"/>
      <c r="Z772" s="540"/>
      <c r="AA772" s="540"/>
      <c r="AB772" s="540"/>
      <c r="AC772" s="540"/>
      <c r="AD772" s="540"/>
      <c r="AE772" s="540"/>
      <c r="AF772" s="540"/>
      <c r="AG772" s="540"/>
      <c r="AH772" s="460"/>
      <c r="AI772" s="467"/>
      <c r="AJ772" s="519"/>
      <c r="AK772" s="519"/>
      <c r="AL772" s="519"/>
      <c r="AM772" s="474"/>
      <c r="AN772" s="608"/>
      <c r="AT772" s="598"/>
      <c r="AU772" s="598"/>
      <c r="AV772" s="598"/>
      <c r="AW772" s="598"/>
      <c r="AX772" s="598"/>
      <c r="AY772" s="598"/>
      <c r="AZ772" s="598"/>
    </row>
    <row r="773" spans="1:81" s="494" customFormat="1">
      <c r="A773" s="474"/>
      <c r="B773" s="540"/>
      <c r="C773" s="859"/>
      <c r="D773" s="540"/>
      <c r="E773" s="540"/>
      <c r="F773" s="540"/>
      <c r="G773" s="540"/>
      <c r="H773" s="540"/>
      <c r="I773" s="540"/>
      <c r="J773" s="540"/>
      <c r="K773" s="540"/>
      <c r="L773" s="540"/>
      <c r="M773" s="540"/>
      <c r="N773" s="540"/>
      <c r="O773" s="540"/>
      <c r="P773" s="540"/>
      <c r="Q773" s="540"/>
      <c r="R773" s="540"/>
      <c r="S773" s="540"/>
      <c r="T773" s="540"/>
      <c r="U773" s="540"/>
      <c r="V773" s="540"/>
      <c r="W773" s="540"/>
      <c r="X773" s="540"/>
      <c r="Y773" s="540"/>
      <c r="Z773" s="540"/>
      <c r="AA773" s="540"/>
      <c r="AB773" s="540"/>
      <c r="AC773" s="540"/>
      <c r="AD773" s="540"/>
      <c r="AE773" s="460"/>
      <c r="AF773" s="460"/>
      <c r="AG773" s="460"/>
      <c r="AH773" s="460"/>
      <c r="AI773" s="460"/>
      <c r="AJ773" s="460"/>
      <c r="AK773" s="460"/>
      <c r="AL773" s="519"/>
      <c r="AM773" s="474"/>
      <c r="AN773" s="608"/>
      <c r="AO773" s="474" t="s">
        <v>299</v>
      </c>
      <c r="AP773" s="604">
        <v>0</v>
      </c>
      <c r="AS773" s="598"/>
      <c r="AT773" s="598"/>
      <c r="AU773" s="598"/>
      <c r="AV773" s="598"/>
      <c r="AW773" s="598"/>
      <c r="AX773" s="598"/>
      <c r="AY773" s="598"/>
      <c r="AZ773" s="598"/>
      <c r="BA773" s="598"/>
      <c r="BB773" s="598"/>
      <c r="BC773" s="598"/>
      <c r="BD773" s="614"/>
      <c r="BE773" s="614"/>
      <c r="BF773" s="614"/>
      <c r="BG773" s="614"/>
      <c r="BH773" s="614"/>
      <c r="BI773" s="598"/>
      <c r="BJ773" s="598"/>
      <c r="BK773" s="598"/>
      <c r="BL773" s="598"/>
      <c r="BM773" s="598"/>
      <c r="BN773" s="598"/>
      <c r="BO773" s="598"/>
      <c r="BP773" s="598"/>
      <c r="BQ773" s="598"/>
      <c r="BR773" s="598"/>
      <c r="BS773" s="598"/>
      <c r="BT773" s="598"/>
      <c r="BU773" s="598"/>
      <c r="BV773" s="598"/>
      <c r="BW773" s="598"/>
      <c r="BX773" s="598"/>
      <c r="BY773" s="598"/>
      <c r="BZ773" s="598"/>
      <c r="CA773" s="598"/>
      <c r="CB773" s="598"/>
      <c r="CC773" s="598"/>
    </row>
    <row r="774" spans="1:81" s="494" customFormat="1" ht="13.95" customHeight="1">
      <c r="A774" s="474"/>
      <c r="B774" s="540"/>
      <c r="C774" s="859"/>
      <c r="D774" s="587" t="s">
        <v>21</v>
      </c>
      <c r="E774" s="1834" t="s">
        <v>2384</v>
      </c>
      <c r="F774" s="1834"/>
      <c r="G774" s="1834"/>
      <c r="H774" s="1834"/>
      <c r="I774" s="1834"/>
      <c r="J774" s="1834"/>
      <c r="K774" s="1834"/>
      <c r="L774" s="1834"/>
      <c r="M774" s="1834"/>
      <c r="N774" s="1834"/>
      <c r="O774" s="1834"/>
      <c r="P774" s="1834"/>
      <c r="Q774" s="1834"/>
      <c r="R774" s="1834"/>
      <c r="S774" s="1834"/>
      <c r="T774" s="1834"/>
      <c r="U774" s="1834"/>
      <c r="V774" s="1834"/>
      <c r="W774" s="1834"/>
      <c r="X774" s="1834"/>
      <c r="Y774" s="1834"/>
      <c r="Z774" s="1834"/>
      <c r="AA774" s="1834"/>
      <c r="AB774" s="1834"/>
      <c r="AC774" s="1834"/>
      <c r="AD774" s="1834"/>
      <c r="AE774" s="460"/>
      <c r="AF774" s="1914" t="s">
        <v>2034</v>
      </c>
      <c r="AG774" s="1914"/>
      <c r="AH774" s="1914"/>
      <c r="AI774" s="1914"/>
      <c r="AJ774" s="1914"/>
      <c r="AK774" s="1914"/>
      <c r="AL774" s="1914"/>
      <c r="AM774" s="537"/>
      <c r="AN774" s="608"/>
      <c r="AO774" s="535" t="s">
        <v>836</v>
      </c>
      <c r="AP774" s="474">
        <v>3</v>
      </c>
      <c r="AT774" s="598"/>
      <c r="AU774" s="598"/>
      <c r="AV774" s="598"/>
      <c r="AW774" s="598"/>
      <c r="AX774" s="598"/>
      <c r="AY774" s="598"/>
      <c r="AZ774" s="598"/>
    </row>
    <row r="775" spans="1:81" s="494" customFormat="1" ht="13.95" customHeight="1">
      <c r="A775" s="474"/>
      <c r="B775" s="540"/>
      <c r="C775" s="859"/>
      <c r="D775" s="587"/>
      <c r="E775" s="1834"/>
      <c r="F775" s="1834"/>
      <c r="G775" s="1834"/>
      <c r="H775" s="1834"/>
      <c r="I775" s="1834"/>
      <c r="J775" s="1834"/>
      <c r="K775" s="1834"/>
      <c r="L775" s="1834"/>
      <c r="M775" s="1834"/>
      <c r="N775" s="1834"/>
      <c r="O775" s="1834"/>
      <c r="P775" s="1834"/>
      <c r="Q775" s="1834"/>
      <c r="R775" s="1834"/>
      <c r="S775" s="1834"/>
      <c r="T775" s="1834"/>
      <c r="U775" s="1834"/>
      <c r="V775" s="1834"/>
      <c r="W775" s="1834"/>
      <c r="X775" s="1834"/>
      <c r="Y775" s="1834"/>
      <c r="Z775" s="1834"/>
      <c r="AA775" s="1834"/>
      <c r="AB775" s="1834"/>
      <c r="AC775" s="1834"/>
      <c r="AD775" s="1834"/>
      <c r="AE775" s="460"/>
      <c r="AF775" s="518"/>
      <c r="AG775" s="518"/>
      <c r="AH775" s="518"/>
      <c r="AI775" s="518"/>
      <c r="AJ775" s="518"/>
      <c r="AK775" s="518"/>
      <c r="AL775" s="518"/>
      <c r="AM775" s="537"/>
      <c r="AN775" s="608"/>
      <c r="AO775" s="535"/>
      <c r="AP775" s="474"/>
      <c r="AT775" s="598"/>
      <c r="AU775" s="598"/>
      <c r="AV775" s="598"/>
      <c r="AW775" s="598"/>
      <c r="AX775" s="598"/>
      <c r="AY775" s="598"/>
      <c r="AZ775" s="598"/>
    </row>
    <row r="776" spans="1:81" s="494" customFormat="1">
      <c r="A776" s="474"/>
      <c r="B776" s="540"/>
      <c r="C776" s="859"/>
      <c r="D776" s="587"/>
      <c r="E776" s="1834"/>
      <c r="F776" s="1834"/>
      <c r="G776" s="1834"/>
      <c r="H776" s="1834"/>
      <c r="I776" s="1834"/>
      <c r="J776" s="1834"/>
      <c r="K776" s="1834"/>
      <c r="L776" s="1834"/>
      <c r="M776" s="1834"/>
      <c r="N776" s="1834"/>
      <c r="O776" s="1834"/>
      <c r="P776" s="1834"/>
      <c r="Q776" s="1834"/>
      <c r="R776" s="1834"/>
      <c r="S776" s="1834"/>
      <c r="T776" s="1834"/>
      <c r="U776" s="1834"/>
      <c r="V776" s="1834"/>
      <c r="W776" s="1834"/>
      <c r="X776" s="1834"/>
      <c r="Y776" s="1834"/>
      <c r="Z776" s="1834"/>
      <c r="AA776" s="1834"/>
      <c r="AB776" s="1834"/>
      <c r="AC776" s="1834"/>
      <c r="AD776" s="1834"/>
      <c r="AE776" s="518"/>
      <c r="AF776" s="518"/>
      <c r="AG776" s="518"/>
      <c r="AH776" s="518"/>
      <c r="AI776" s="518"/>
      <c r="AJ776" s="518"/>
      <c r="AK776" s="518"/>
      <c r="AL776" s="518"/>
      <c r="AM776" s="537"/>
      <c r="AN776" s="608"/>
      <c r="AO776" s="535"/>
      <c r="AP776" s="474"/>
      <c r="AT776" s="598"/>
      <c r="AU776" s="598"/>
      <c r="AV776" s="598"/>
      <c r="AW776" s="598"/>
      <c r="AX776" s="598"/>
      <c r="AY776" s="598"/>
      <c r="AZ776" s="598"/>
    </row>
    <row r="777" spans="1:81" s="494" customFormat="1">
      <c r="A777" s="474"/>
      <c r="B777" s="540"/>
      <c r="C777" s="859"/>
      <c r="D777" s="587"/>
      <c r="E777" s="1834"/>
      <c r="F777" s="1834"/>
      <c r="G777" s="1834"/>
      <c r="H777" s="1834"/>
      <c r="I777" s="1834"/>
      <c r="J777" s="1834"/>
      <c r="K777" s="1834"/>
      <c r="L777" s="1834"/>
      <c r="M777" s="1834"/>
      <c r="N777" s="1834"/>
      <c r="O777" s="1834"/>
      <c r="P777" s="1834"/>
      <c r="Q777" s="1834"/>
      <c r="R777" s="1834"/>
      <c r="S777" s="1834"/>
      <c r="T777" s="1834"/>
      <c r="U777" s="1834"/>
      <c r="V777" s="1834"/>
      <c r="W777" s="1834"/>
      <c r="X777" s="1834"/>
      <c r="Y777" s="1834"/>
      <c r="Z777" s="1834"/>
      <c r="AA777" s="1834"/>
      <c r="AB777" s="1834"/>
      <c r="AC777" s="1834"/>
      <c r="AD777" s="1834"/>
      <c r="AE777" s="518"/>
      <c r="AF777" s="518"/>
      <c r="AG777" s="518"/>
      <c r="AH777" s="518"/>
      <c r="AI777" s="518"/>
      <c r="AJ777" s="518"/>
      <c r="AK777" s="518"/>
      <c r="AL777" s="518"/>
      <c r="AM777" s="537"/>
      <c r="AN777" s="608"/>
      <c r="AO777" s="615"/>
      <c r="AT777" s="598"/>
      <c r="AU777" s="598"/>
      <c r="AV777" s="598"/>
      <c r="AW777" s="598"/>
      <c r="AX777" s="598"/>
      <c r="AY777" s="598"/>
      <c r="AZ777" s="598"/>
    </row>
    <row r="778" spans="1:81" s="494" customFormat="1">
      <c r="A778" s="474"/>
      <c r="B778" s="540"/>
      <c r="C778" s="859"/>
      <c r="D778" s="587"/>
      <c r="E778" s="567"/>
      <c r="F778" s="567"/>
      <c r="G778" s="567"/>
      <c r="H778" s="567"/>
      <c r="I778" s="567"/>
      <c r="J778" s="567"/>
      <c r="K778" s="567"/>
      <c r="L778" s="567"/>
      <c r="M778" s="567"/>
      <c r="N778" s="567"/>
      <c r="O778" s="567"/>
      <c r="P778" s="567"/>
      <c r="Q778" s="567"/>
      <c r="R778" s="567"/>
      <c r="S778" s="567"/>
      <c r="T778" s="567"/>
      <c r="U778" s="567"/>
      <c r="V778" s="567"/>
      <c r="W778" s="567"/>
      <c r="X778" s="567"/>
      <c r="Y778" s="567"/>
      <c r="Z778" s="567"/>
      <c r="AA778" s="567"/>
      <c r="AB778" s="567"/>
      <c r="AC778" s="567"/>
      <c r="AD778" s="567"/>
      <c r="AE778" s="518"/>
      <c r="AF778" s="518"/>
      <c r="AG778" s="518"/>
      <c r="AH778" s="518"/>
      <c r="AI778" s="518"/>
      <c r="AJ778" s="518"/>
      <c r="AK778" s="518"/>
      <c r="AL778" s="518"/>
      <c r="AM778" s="537"/>
      <c r="AN778" s="608"/>
      <c r="AO778" s="615"/>
      <c r="AT778" s="598"/>
      <c r="AU778" s="598"/>
      <c r="AV778" s="598"/>
      <c r="AW778" s="598"/>
      <c r="AX778" s="598"/>
      <c r="AY778" s="598"/>
      <c r="AZ778" s="598"/>
    </row>
    <row r="779" spans="1:81" s="494" customFormat="1">
      <c r="A779" s="474"/>
      <c r="B779" s="540"/>
      <c r="C779" s="859"/>
      <c r="D779" s="460" t="s">
        <v>2310</v>
      </c>
      <c r="E779" s="855"/>
      <c r="F779" s="855"/>
      <c r="G779" s="855"/>
      <c r="H779" s="1858" t="s">
        <v>299</v>
      </c>
      <c r="I779" s="1858"/>
      <c r="J779" s="540"/>
      <c r="K779" s="540"/>
      <c r="L779" s="540"/>
      <c r="M779" s="540"/>
      <c r="N779" s="540"/>
      <c r="O779" s="540"/>
      <c r="P779" s="540"/>
      <c r="Q779" s="540"/>
      <c r="R779" s="540"/>
      <c r="S779" s="540"/>
      <c r="T779" s="540"/>
      <c r="U779" s="540"/>
      <c r="V779" s="540"/>
      <c r="W779" s="540"/>
      <c r="X779" s="540"/>
      <c r="Y779" s="540"/>
      <c r="Z779" s="540"/>
      <c r="AA779" s="540"/>
      <c r="AB779" s="540"/>
      <c r="AC779" s="540"/>
      <c r="AD779" s="540"/>
      <c r="AE779" s="540"/>
      <c r="AF779" s="540"/>
      <c r="AG779" s="540"/>
      <c r="AH779" s="460"/>
      <c r="AI779" s="467"/>
      <c r="AJ779" s="519"/>
      <c r="AK779" s="519"/>
      <c r="AL779" s="519"/>
      <c r="AM779" s="474"/>
      <c r="AN779" s="608"/>
      <c r="AS779" s="598"/>
      <c r="AT779" s="598"/>
      <c r="AU779" s="598"/>
      <c r="AV779" s="598"/>
      <c r="AW779" s="598"/>
      <c r="AX779" s="598"/>
      <c r="AY779" s="598"/>
      <c r="AZ779" s="598"/>
      <c r="BA779" s="598"/>
      <c r="BB779" s="598"/>
      <c r="BC779" s="598"/>
      <c r="BD779" s="614"/>
      <c r="BE779" s="614"/>
      <c r="BF779" s="614"/>
      <c r="BG779" s="614"/>
      <c r="BH779" s="614"/>
      <c r="BI779" s="598"/>
      <c r="BJ779" s="598"/>
      <c r="BK779" s="598"/>
      <c r="BL779" s="598"/>
      <c r="BM779" s="598"/>
      <c r="BN779" s="598"/>
      <c r="BO779" s="598"/>
      <c r="BP779" s="598"/>
      <c r="BQ779" s="598"/>
      <c r="BR779" s="598"/>
      <c r="BS779" s="598"/>
      <c r="BT779" s="598"/>
      <c r="BU779" s="598"/>
      <c r="BV779" s="598"/>
      <c r="BW779" s="598"/>
      <c r="BX779" s="598"/>
      <c r="BY779" s="598"/>
      <c r="BZ779" s="598"/>
      <c r="CA779" s="598"/>
      <c r="CB779" s="598"/>
      <c r="CC779" s="598"/>
    </row>
    <row r="780" spans="1:81" s="494" customFormat="1">
      <c r="A780" s="474"/>
      <c r="B780" s="540"/>
      <c r="C780" s="612"/>
      <c r="D780" s="475"/>
      <c r="E780" s="475"/>
      <c r="F780" s="475"/>
      <c r="G780" s="475"/>
      <c r="H780" s="475"/>
      <c r="I780" s="475"/>
      <c r="J780" s="475"/>
      <c r="K780" s="475"/>
      <c r="L780" s="475"/>
      <c r="M780" s="475"/>
      <c r="N780" s="475"/>
      <c r="O780" s="475"/>
      <c r="P780" s="475"/>
      <c r="Q780" s="475"/>
      <c r="R780" s="475"/>
      <c r="S780" s="475"/>
      <c r="T780" s="475"/>
      <c r="U780" s="475"/>
      <c r="V780" s="475"/>
      <c r="W780" s="475"/>
      <c r="X780" s="475"/>
      <c r="Y780" s="475"/>
      <c r="Z780" s="475"/>
      <c r="AA780" s="475"/>
      <c r="AB780" s="475"/>
      <c r="AC780" s="475"/>
      <c r="AD780" s="540"/>
      <c r="AE780" s="475"/>
      <c r="AF780" s="475"/>
      <c r="AG780" s="475"/>
      <c r="AH780" s="475"/>
      <c r="AI780" s="474"/>
      <c r="AJ780" s="474"/>
      <c r="AK780" s="474"/>
      <c r="AL780" s="474"/>
      <c r="AM780" s="474"/>
      <c r="AN780" s="608"/>
      <c r="AT780" s="598"/>
      <c r="AU780" s="598"/>
      <c r="AV780" s="598"/>
      <c r="AW780" s="598"/>
      <c r="AX780" s="598"/>
      <c r="AY780" s="598"/>
      <c r="AZ780" s="598"/>
    </row>
    <row r="781" spans="1:81" s="494" customFormat="1">
      <c r="A781" s="530"/>
      <c r="B781" s="589"/>
      <c r="C781" s="613"/>
      <c r="D781" s="588"/>
      <c r="E781" s="588"/>
      <c r="F781" s="588"/>
      <c r="G781" s="588"/>
      <c r="H781" s="588"/>
      <c r="I781" s="588"/>
      <c r="J781" s="588"/>
      <c r="K781" s="588"/>
      <c r="L781" s="588"/>
      <c r="M781" s="588"/>
      <c r="N781" s="588"/>
      <c r="O781" s="588"/>
      <c r="P781" s="588"/>
      <c r="Q781" s="588"/>
      <c r="R781" s="588"/>
      <c r="S781" s="588"/>
      <c r="T781" s="588"/>
      <c r="U781" s="588"/>
      <c r="V781" s="588"/>
      <c r="W781" s="588"/>
      <c r="X781" s="588"/>
      <c r="Y781" s="588"/>
      <c r="Z781" s="588"/>
      <c r="AA781" s="588"/>
      <c r="AB781" s="588"/>
      <c r="AC781" s="589"/>
      <c r="AD781" s="588"/>
      <c r="AE781" s="588"/>
      <c r="AF781" s="588"/>
      <c r="AG781" s="588"/>
      <c r="AH781" s="488"/>
      <c r="AI781" s="489" t="s">
        <v>2385</v>
      </c>
      <c r="AJ781" s="1841">
        <f>VLOOKUP($H$779,$AO$773:$AP$774,2,FALSE)</f>
        <v>0</v>
      </c>
      <c r="AK781" s="1843"/>
      <c r="AL781" s="519"/>
      <c r="AM781" s="474"/>
      <c r="AN781" s="608"/>
      <c r="AS781" s="598"/>
      <c r="AT781" s="598"/>
      <c r="AU781" s="598"/>
      <c r="AV781" s="598"/>
      <c r="AW781" s="598"/>
      <c r="AX781" s="598"/>
      <c r="AY781" s="598"/>
      <c r="AZ781" s="598"/>
      <c r="BA781" s="598"/>
      <c r="BB781" s="598"/>
      <c r="BC781" s="598"/>
      <c r="BD781" s="614"/>
      <c r="BE781" s="614"/>
      <c r="BF781" s="614"/>
      <c r="BG781" s="614"/>
      <c r="BH781" s="614"/>
      <c r="BI781" s="598"/>
      <c r="BJ781" s="598"/>
      <c r="BK781" s="598"/>
      <c r="BL781" s="598"/>
      <c r="BM781" s="598"/>
      <c r="BN781" s="598"/>
      <c r="BO781" s="598"/>
      <c r="BP781" s="598"/>
      <c r="BQ781" s="598"/>
      <c r="BR781" s="598"/>
      <c r="BS781" s="598"/>
      <c r="BT781" s="598"/>
      <c r="BU781" s="598"/>
      <c r="BV781" s="598"/>
      <c r="BW781" s="598"/>
      <c r="BX781" s="598"/>
      <c r="BY781" s="598"/>
      <c r="BZ781" s="598"/>
      <c r="CA781" s="598"/>
      <c r="CB781" s="598"/>
      <c r="CC781" s="598"/>
    </row>
    <row r="782" spans="1:81" s="474" customFormat="1" ht="12.75" customHeight="1">
      <c r="B782" s="540"/>
      <c r="C782" s="612"/>
      <c r="D782" s="475"/>
      <c r="E782" s="475"/>
      <c r="F782" s="475"/>
      <c r="G782" s="475"/>
      <c r="H782" s="475"/>
      <c r="I782" s="475"/>
      <c r="J782" s="475"/>
      <c r="K782" s="475"/>
      <c r="L782" s="475"/>
      <c r="M782" s="475"/>
      <c r="N782" s="475"/>
      <c r="O782" s="475"/>
      <c r="P782" s="475"/>
      <c r="Q782" s="475"/>
      <c r="R782" s="475"/>
      <c r="S782" s="475"/>
      <c r="T782" s="475"/>
      <c r="U782" s="475"/>
      <c r="V782" s="475"/>
      <c r="W782" s="475"/>
      <c r="X782" s="475"/>
      <c r="Y782" s="475"/>
      <c r="Z782" s="475"/>
      <c r="AA782" s="475"/>
      <c r="AB782" s="475"/>
      <c r="AC782" s="475"/>
      <c r="AD782" s="540"/>
      <c r="AE782" s="475"/>
      <c r="AF782" s="475"/>
      <c r="AG782" s="475"/>
      <c r="AH782" s="475"/>
      <c r="AN782" s="521"/>
    </row>
    <row r="783" spans="1:81" s="474" customFormat="1" ht="12.75" customHeight="1">
      <c r="A783" s="530"/>
      <c r="B783" s="588"/>
      <c r="C783" s="588"/>
      <c r="D783" s="588"/>
      <c r="E783" s="588"/>
      <c r="F783" s="588"/>
      <c r="G783" s="588"/>
      <c r="H783" s="588"/>
      <c r="I783" s="588"/>
      <c r="J783" s="588"/>
      <c r="K783" s="588"/>
      <c r="L783" s="588"/>
      <c r="M783" s="588"/>
      <c r="N783" s="588"/>
      <c r="O783" s="588"/>
      <c r="P783" s="588"/>
      <c r="Q783" s="588"/>
      <c r="R783" s="588"/>
      <c r="S783" s="588"/>
      <c r="T783" s="588"/>
      <c r="U783" s="588"/>
      <c r="V783" s="588"/>
      <c r="W783" s="588"/>
      <c r="X783" s="588"/>
      <c r="Y783" s="588"/>
      <c r="Z783" s="588"/>
      <c r="AA783" s="588"/>
      <c r="AB783" s="588"/>
      <c r="AC783" s="589"/>
      <c r="AD783" s="588"/>
      <c r="AE783" s="488"/>
      <c r="AF783" s="488"/>
      <c r="AG783" s="488"/>
      <c r="AH783" s="488"/>
      <c r="AI783" s="489"/>
      <c r="AJ783" s="489" t="s">
        <v>2386</v>
      </c>
      <c r="AK783" s="1841">
        <f>IF(($AJ$610+$AJ$629+$AJ$641+$AJ$676+$AJ$700+$AJ$714+$AJ$726+$AJ$742+$AJ$754+$AJ$770+AJ781)&gt;10,10,($AJ$610+$AJ$629+$AJ$641+$AJ$676+$AJ$700+$AJ$714+$AJ$726+$AJ$742+$AJ$754+$AJ$770+AJ781))</f>
        <v>10</v>
      </c>
      <c r="AL783" s="1842"/>
      <c r="AM783" s="1843"/>
      <c r="AN783" s="521"/>
    </row>
    <row r="784" spans="1:81" s="474" customFormat="1" ht="12.75" customHeight="1">
      <c r="B784" s="475"/>
      <c r="C784" s="475"/>
      <c r="D784" s="475"/>
      <c r="E784" s="475"/>
      <c r="F784" s="475"/>
      <c r="G784" s="475"/>
      <c r="H784" s="475"/>
      <c r="I784" s="475"/>
      <c r="J784" s="475"/>
      <c r="K784" s="475"/>
      <c r="L784" s="475"/>
      <c r="M784" s="475"/>
      <c r="N784" s="475"/>
      <c r="O784" s="475"/>
      <c r="P784" s="475"/>
      <c r="Q784" s="475"/>
      <c r="R784" s="475"/>
      <c r="S784" s="475"/>
      <c r="T784" s="475"/>
      <c r="U784" s="475"/>
      <c r="V784" s="475"/>
      <c r="W784" s="475"/>
      <c r="X784" s="475"/>
      <c r="Y784" s="475"/>
      <c r="Z784" s="475"/>
      <c r="AA784" s="475"/>
      <c r="AB784" s="475"/>
      <c r="AC784" s="540"/>
      <c r="AD784" s="475"/>
      <c r="AI784" s="467"/>
      <c r="AJ784" s="467"/>
      <c r="AK784" s="519"/>
      <c r="AL784" s="519"/>
      <c r="AM784" s="519"/>
      <c r="AN784" s="521"/>
    </row>
    <row r="785" spans="1:43">
      <c r="B785" s="474"/>
      <c r="C785" s="474"/>
      <c r="D785" s="474"/>
      <c r="E785" s="474"/>
      <c r="F785" s="474"/>
      <c r="G785" s="474"/>
      <c r="H785" s="474"/>
      <c r="I785" s="474"/>
      <c r="J785" s="474"/>
      <c r="K785" s="474"/>
      <c r="L785" s="474"/>
      <c r="M785" s="474"/>
      <c r="N785" s="474"/>
      <c r="O785" s="474"/>
      <c r="P785" s="474"/>
      <c r="Q785" s="474"/>
      <c r="R785" s="474"/>
      <c r="S785" s="474"/>
      <c r="T785" s="474"/>
      <c r="U785" s="474"/>
      <c r="V785" s="474"/>
      <c r="W785" s="474"/>
      <c r="X785" s="474"/>
      <c r="Y785" s="474"/>
      <c r="Z785" s="474"/>
      <c r="AA785" s="474"/>
      <c r="AB785" s="474"/>
      <c r="AC785" s="474"/>
      <c r="AD785" s="474"/>
      <c r="AE785" s="474"/>
      <c r="AF785" s="474"/>
      <c r="AG785" s="474"/>
      <c r="AH785" s="474"/>
      <c r="AI785" s="474"/>
      <c r="AJ785" s="474"/>
      <c r="AK785" s="474"/>
      <c r="AL785" s="474"/>
      <c r="AM785" s="474"/>
    </row>
    <row r="786" spans="1:43">
      <c r="A786" s="1905" t="s">
        <v>2387</v>
      </c>
      <c r="B786" s="1906"/>
      <c r="C786" s="1906"/>
      <c r="D786" s="1906"/>
      <c r="E786" s="1906"/>
      <c r="F786" s="1906"/>
      <c r="G786" s="1906"/>
      <c r="H786" s="1906"/>
      <c r="I786" s="1906"/>
      <c r="J786" s="1906"/>
      <c r="K786" s="1906"/>
      <c r="L786" s="1906"/>
      <c r="M786" s="1906"/>
      <c r="N786" s="1906"/>
      <c r="O786" s="1906"/>
      <c r="P786" s="1906"/>
      <c r="Q786" s="1906"/>
      <c r="R786" s="1906"/>
      <c r="S786" s="1906"/>
      <c r="T786" s="1906"/>
      <c r="U786" s="1906"/>
      <c r="V786" s="1906"/>
      <c r="W786" s="1906"/>
      <c r="X786" s="1906"/>
      <c r="Y786" s="1906"/>
      <c r="Z786" s="1906"/>
      <c r="AA786" s="1906"/>
      <c r="AB786" s="1906"/>
      <c r="AC786" s="1906"/>
      <c r="AD786" s="1906"/>
      <c r="AE786" s="1906"/>
      <c r="AF786" s="1906"/>
      <c r="AG786" s="1906"/>
      <c r="AH786" s="1906"/>
      <c r="AI786" s="1906"/>
      <c r="AJ786" s="1906"/>
      <c r="AK786" s="1906"/>
      <c r="AL786" s="1906"/>
      <c r="AM786" s="1906"/>
    </row>
    <row r="787" spans="1:43">
      <c r="A787" s="1907"/>
      <c r="B787" s="1907"/>
      <c r="C787" s="1907"/>
      <c r="D787" s="1907"/>
      <c r="E787" s="1907"/>
      <c r="F787" s="1907"/>
      <c r="G787" s="1907"/>
      <c r="H787" s="1907"/>
      <c r="I787" s="1907"/>
      <c r="J787" s="1907"/>
      <c r="K787" s="1907"/>
      <c r="L787" s="1907"/>
      <c r="M787" s="1907"/>
      <c r="N787" s="1907"/>
      <c r="O787" s="1907"/>
      <c r="P787" s="1907"/>
      <c r="Q787" s="1907"/>
      <c r="R787" s="1907"/>
      <c r="S787" s="1907"/>
      <c r="T787" s="1907"/>
      <c r="U787" s="1907"/>
      <c r="V787" s="1907"/>
      <c r="W787" s="1907"/>
      <c r="X787" s="1907"/>
      <c r="Y787" s="1907"/>
      <c r="Z787" s="1907"/>
      <c r="AA787" s="1907"/>
      <c r="AB787" s="1907"/>
      <c r="AC787" s="1907"/>
      <c r="AD787" s="1907"/>
      <c r="AE787" s="1907"/>
      <c r="AF787" s="1907"/>
      <c r="AG787" s="1907"/>
      <c r="AH787" s="1907"/>
      <c r="AI787" s="1907"/>
      <c r="AJ787" s="1907"/>
      <c r="AK787" s="1907"/>
      <c r="AL787" s="1907"/>
      <c r="AM787" s="1907"/>
      <c r="AO787" s="740"/>
      <c r="AP787" s="740"/>
      <c r="AQ787" s="740"/>
    </row>
    <row r="788" spans="1:43">
      <c r="A788" s="474"/>
      <c r="B788" s="495"/>
      <c r="C788" s="496"/>
      <c r="D788" s="496"/>
      <c r="E788" s="496"/>
      <c r="F788" s="496"/>
      <c r="G788" s="496"/>
      <c r="H788" s="496"/>
      <c r="I788" s="497"/>
      <c r="J788" s="497"/>
      <c r="K788" s="497"/>
      <c r="L788" s="497"/>
      <c r="M788" s="497"/>
      <c r="N788" s="497"/>
      <c r="O788" s="497"/>
      <c r="P788" s="497"/>
      <c r="Q788" s="497"/>
      <c r="S788" s="463"/>
      <c r="T788" s="463"/>
      <c r="U788" s="463"/>
      <c r="V788" s="463"/>
      <c r="W788" s="463"/>
      <c r="X788" s="463"/>
      <c r="Y788" s="463"/>
      <c r="Z788" s="463"/>
      <c r="AA788" s="463"/>
      <c r="AB788" s="463"/>
      <c r="AC788" s="463"/>
      <c r="AD788" s="463"/>
      <c r="AE788" s="463"/>
      <c r="AG788" s="463"/>
      <c r="AH788" s="463"/>
      <c r="AI788" s="463"/>
      <c r="AJ788" s="463"/>
      <c r="AK788" s="474"/>
      <c r="AL788" s="474"/>
      <c r="AM788" s="461"/>
      <c r="AO788" s="740"/>
      <c r="AP788" s="740"/>
      <c r="AQ788" s="740"/>
    </row>
    <row r="789" spans="1:43">
      <c r="A789" s="1844"/>
      <c r="B789" s="1844"/>
      <c r="C789" s="1844"/>
      <c r="D789" s="1844"/>
      <c r="E789" s="1844"/>
      <c r="F789" s="1844"/>
      <c r="G789" s="1844"/>
      <c r="H789" s="1844"/>
      <c r="I789" s="1844"/>
      <c r="J789" s="1844"/>
      <c r="K789" s="1844"/>
      <c r="L789" s="1844"/>
      <c r="M789" s="1844"/>
      <c r="N789" s="1844"/>
      <c r="O789" s="1844"/>
      <c r="P789" s="1844"/>
      <c r="Q789" s="1844"/>
      <c r="R789" s="1844"/>
      <c r="S789" s="1844"/>
      <c r="T789" s="1844"/>
      <c r="U789" s="1844"/>
      <c r="V789" s="1844"/>
      <c r="W789" s="1844"/>
      <c r="X789" s="1844"/>
      <c r="Y789" s="1844"/>
      <c r="Z789" s="1844"/>
      <c r="AA789" s="1844"/>
      <c r="AB789" s="1844"/>
      <c r="AC789" s="1844"/>
      <c r="AD789" s="1844"/>
      <c r="AE789" s="1844"/>
      <c r="AF789" s="1844"/>
      <c r="AG789" s="1844"/>
      <c r="AH789" s="1844"/>
      <c r="AI789" s="1844"/>
      <c r="AJ789" s="1844"/>
      <c r="AK789" s="1844"/>
      <c r="AL789" s="1844"/>
      <c r="AM789" s="1844"/>
      <c r="AP789" s="740"/>
      <c r="AQ789" s="740"/>
    </row>
    <row r="790" spans="1:43">
      <c r="A790" s="1844"/>
      <c r="B790" s="1844"/>
      <c r="C790" s="1844"/>
      <c r="D790" s="1844"/>
      <c r="E790" s="1844"/>
      <c r="F790" s="1844"/>
      <c r="G790" s="1844"/>
      <c r="H790" s="1844"/>
      <c r="I790" s="1844"/>
      <c r="J790" s="1844"/>
      <c r="K790" s="1844"/>
      <c r="L790" s="1844"/>
      <c r="M790" s="1844"/>
      <c r="N790" s="1844"/>
      <c r="O790" s="1844"/>
      <c r="P790" s="1844"/>
      <c r="Q790" s="1844"/>
      <c r="R790" s="1844"/>
      <c r="S790" s="1844"/>
      <c r="T790" s="1844"/>
      <c r="U790" s="1844"/>
      <c r="V790" s="1844"/>
      <c r="W790" s="1844"/>
      <c r="X790" s="1844"/>
      <c r="Y790" s="1844"/>
      <c r="Z790" s="1844"/>
      <c r="AA790" s="1844"/>
      <c r="AB790" s="1844"/>
      <c r="AC790" s="1844"/>
      <c r="AD790" s="1844"/>
      <c r="AE790" s="1844"/>
      <c r="AF790" s="1844"/>
      <c r="AG790" s="1844"/>
      <c r="AH790" s="1844"/>
      <c r="AI790" s="1844"/>
      <c r="AJ790" s="1844"/>
      <c r="AK790" s="1844"/>
      <c r="AL790" s="1844"/>
      <c r="AM790" s="1844"/>
      <c r="AO790" s="740"/>
      <c r="AQ790" s="740"/>
    </row>
    <row r="791" spans="1:43">
      <c r="A791" s="741"/>
      <c r="B791" s="591"/>
      <c r="C791" s="591"/>
      <c r="D791" s="591"/>
      <c r="E791" s="591"/>
      <c r="F791" s="591"/>
      <c r="G791" s="591"/>
      <c r="H791" s="591"/>
      <c r="I791" s="591"/>
      <c r="J791" s="591"/>
      <c r="K791" s="591"/>
      <c r="L791" s="591"/>
      <c r="M791" s="591"/>
      <c r="N791" s="591"/>
      <c r="O791" s="591"/>
      <c r="P791" s="591"/>
      <c r="Q791" s="591"/>
      <c r="R791" s="591"/>
      <c r="S791" s="593"/>
      <c r="T791" s="1908" t="s">
        <v>2388</v>
      </c>
      <c r="U791" s="1909"/>
      <c r="V791" s="1909"/>
      <c r="W791" s="1909"/>
      <c r="X791" s="1909"/>
      <c r="Y791" s="1910"/>
      <c r="Z791" s="1908" t="s">
        <v>2389</v>
      </c>
      <c r="AA791" s="1909"/>
      <c r="AB791" s="1909"/>
      <c r="AC791" s="1909"/>
      <c r="AD791" s="1909"/>
      <c r="AE791" s="1910"/>
      <c r="AF791" s="1908" t="s">
        <v>2390</v>
      </c>
      <c r="AG791" s="1909"/>
      <c r="AH791" s="1909"/>
      <c r="AI791" s="1909"/>
      <c r="AJ791" s="1909"/>
      <c r="AK791" s="1910"/>
      <c r="AL791" s="742"/>
      <c r="AM791" s="520"/>
      <c r="AO791" s="740"/>
      <c r="AP791" s="740"/>
      <c r="AQ791" s="740"/>
    </row>
    <row r="792" spans="1:43">
      <c r="A792" s="743"/>
      <c r="B792" s="618"/>
      <c r="C792" s="618"/>
      <c r="D792" s="618"/>
      <c r="E792" s="618"/>
      <c r="F792" s="618"/>
      <c r="G792" s="618"/>
      <c r="H792" s="618"/>
      <c r="I792" s="618"/>
      <c r="J792" s="618"/>
      <c r="K792" s="618"/>
      <c r="L792" s="618"/>
      <c r="M792" s="618"/>
      <c r="N792" s="618"/>
      <c r="O792" s="618"/>
      <c r="P792" s="618"/>
      <c r="Q792" s="618"/>
      <c r="R792" s="618"/>
      <c r="S792" s="632"/>
      <c r="T792" s="1911"/>
      <c r="U792" s="1912"/>
      <c r="V792" s="1912"/>
      <c r="W792" s="1912"/>
      <c r="X792" s="1912"/>
      <c r="Y792" s="1913"/>
      <c r="Z792" s="1911"/>
      <c r="AA792" s="1912"/>
      <c r="AB792" s="1912"/>
      <c r="AC792" s="1912"/>
      <c r="AD792" s="1912"/>
      <c r="AE792" s="1913"/>
      <c r="AF792" s="1911"/>
      <c r="AG792" s="1912"/>
      <c r="AH792" s="1912"/>
      <c r="AI792" s="1912"/>
      <c r="AJ792" s="1912"/>
      <c r="AK792" s="1913"/>
      <c r="AL792" s="742"/>
      <c r="AM792" s="520"/>
      <c r="AO792" s="740"/>
      <c r="AP792" s="740"/>
      <c r="AQ792" s="740"/>
    </row>
    <row r="793" spans="1:43">
      <c r="A793" s="743" t="s">
        <v>52</v>
      </c>
      <c r="B793" s="1865" t="s">
        <v>1952</v>
      </c>
      <c r="C793" s="1865"/>
      <c r="D793" s="1865"/>
      <c r="E793" s="1865"/>
      <c r="F793" s="1865"/>
      <c r="G793" s="1865"/>
      <c r="H793" s="1865"/>
      <c r="I793" s="1865"/>
      <c r="J793" s="1865"/>
      <c r="K793" s="1865"/>
      <c r="L793" s="1865"/>
      <c r="M793" s="1865"/>
      <c r="N793" s="1865"/>
      <c r="O793" s="1865"/>
      <c r="P793" s="1865"/>
      <c r="Q793" s="1865"/>
      <c r="R793" s="1865"/>
      <c r="S793" s="1866"/>
      <c r="T793" s="1893">
        <f>AK56</f>
        <v>0</v>
      </c>
      <c r="U793" s="1869"/>
      <c r="V793" s="1869"/>
      <c r="W793" s="1869"/>
      <c r="X793" s="1869"/>
      <c r="Y793" s="1870"/>
      <c r="Z793" s="1868">
        <v>20</v>
      </c>
      <c r="AA793" s="1869"/>
      <c r="AB793" s="1869"/>
      <c r="AC793" s="1869"/>
      <c r="AD793" s="1869"/>
      <c r="AE793" s="1870"/>
      <c r="AF793" s="1854">
        <f>IF(T793&gt;Z793,Z793,T793)</f>
        <v>0</v>
      </c>
      <c r="AG793" s="1854"/>
      <c r="AH793" s="1854"/>
      <c r="AI793" s="1854"/>
      <c r="AJ793" s="1854"/>
      <c r="AK793" s="1854"/>
      <c r="AL793" s="742"/>
      <c r="AM793" s="520"/>
      <c r="AO793" s="740"/>
      <c r="AP793" s="740"/>
      <c r="AQ793" s="740"/>
    </row>
    <row r="794" spans="1:43">
      <c r="A794" s="743" t="s">
        <v>2241</v>
      </c>
      <c r="B794" s="1865" t="s">
        <v>784</v>
      </c>
      <c r="C794" s="1865"/>
      <c r="D794" s="1865"/>
      <c r="E794" s="1865"/>
      <c r="F794" s="1865"/>
      <c r="G794" s="1865"/>
      <c r="H794" s="1865"/>
      <c r="I794" s="1865"/>
      <c r="J794" s="1865"/>
      <c r="K794" s="1865"/>
      <c r="L794" s="1865"/>
      <c r="M794" s="1865"/>
      <c r="N794" s="1865"/>
      <c r="O794" s="1865"/>
      <c r="P794" s="1865"/>
      <c r="Q794" s="1865"/>
      <c r="R794" s="1865"/>
      <c r="S794" s="1866"/>
      <c r="T794" s="1893">
        <f>AK78</f>
        <v>10</v>
      </c>
      <c r="U794" s="1869"/>
      <c r="V794" s="1869"/>
      <c r="W794" s="1869"/>
      <c r="X794" s="1869"/>
      <c r="Y794" s="1870"/>
      <c r="Z794" s="1868">
        <v>10</v>
      </c>
      <c r="AA794" s="1869"/>
      <c r="AB794" s="1869"/>
      <c r="AC794" s="1869"/>
      <c r="AD794" s="1869"/>
      <c r="AE794" s="1870"/>
      <c r="AF794" s="1854">
        <f>IF(T794&gt;Z794,Z794,T794)</f>
        <v>10</v>
      </c>
      <c r="AG794" s="1854"/>
      <c r="AH794" s="1854"/>
      <c r="AI794" s="1854"/>
      <c r="AJ794" s="1854"/>
      <c r="AK794" s="1854"/>
      <c r="AL794" s="742"/>
      <c r="AM794" s="520"/>
      <c r="AO794" s="740"/>
      <c r="AP794" s="740"/>
      <c r="AQ794" s="740"/>
    </row>
    <row r="795" spans="1:43">
      <c r="A795" s="743" t="s">
        <v>2250</v>
      </c>
      <c r="B795" s="1865" t="s">
        <v>1990</v>
      </c>
      <c r="C795" s="1865"/>
      <c r="D795" s="1865"/>
      <c r="E795" s="1865"/>
      <c r="F795" s="1865"/>
      <c r="G795" s="1865"/>
      <c r="H795" s="1865"/>
      <c r="I795" s="1865"/>
      <c r="J795" s="1865"/>
      <c r="K795" s="1865"/>
      <c r="L795" s="1865"/>
      <c r="M795" s="1865"/>
      <c r="N795" s="1865"/>
      <c r="O795" s="1865"/>
      <c r="P795" s="1865"/>
      <c r="Q795" s="1865"/>
      <c r="R795" s="1865"/>
      <c r="S795" s="1866"/>
      <c r="T795" s="1893">
        <f ca="1">AK103</f>
        <v>20</v>
      </c>
      <c r="U795" s="1869"/>
      <c r="V795" s="1869"/>
      <c r="W795" s="1869"/>
      <c r="X795" s="1869"/>
      <c r="Y795" s="1870"/>
      <c r="Z795" s="1868">
        <v>20</v>
      </c>
      <c r="AA795" s="1869"/>
      <c r="AB795" s="1869"/>
      <c r="AC795" s="1869"/>
      <c r="AD795" s="1869"/>
      <c r="AE795" s="1870"/>
      <c r="AF795" s="1854">
        <f ca="1">IF(T795&gt;Z795,Z795,T795)</f>
        <v>20</v>
      </c>
      <c r="AG795" s="1854"/>
      <c r="AH795" s="1854"/>
      <c r="AI795" s="1854"/>
      <c r="AJ795" s="1854"/>
      <c r="AK795" s="1854"/>
      <c r="AL795" s="742"/>
      <c r="AM795" s="520"/>
      <c r="AO795" s="740"/>
      <c r="AP795" s="740"/>
      <c r="AQ795" s="740"/>
    </row>
    <row r="796" spans="1:43">
      <c r="A796" s="743" t="s">
        <v>2391</v>
      </c>
      <c r="B796" s="1865" t="s">
        <v>2001</v>
      </c>
      <c r="C796" s="1865"/>
      <c r="D796" s="1865"/>
      <c r="E796" s="1865"/>
      <c r="F796" s="1865"/>
      <c r="G796" s="1865"/>
      <c r="H796" s="1865"/>
      <c r="I796" s="1865"/>
      <c r="J796" s="1865"/>
      <c r="K796" s="1865"/>
      <c r="L796" s="1865"/>
      <c r="M796" s="1865"/>
      <c r="N796" s="1865"/>
      <c r="O796" s="1865"/>
      <c r="P796" s="1865"/>
      <c r="Q796" s="1865"/>
      <c r="R796" s="1865"/>
      <c r="S796" s="1866"/>
      <c r="T796" s="1893">
        <f>AK137</f>
        <v>10</v>
      </c>
      <c r="U796" s="1869"/>
      <c r="V796" s="1869"/>
      <c r="W796" s="1869"/>
      <c r="X796" s="1869"/>
      <c r="Y796" s="1870"/>
      <c r="Z796" s="1868">
        <v>10</v>
      </c>
      <c r="AA796" s="1869"/>
      <c r="AB796" s="1869"/>
      <c r="AC796" s="1869"/>
      <c r="AD796" s="1869"/>
      <c r="AE796" s="1870"/>
      <c r="AF796" s="1854">
        <f>IF(T796&gt;Z796,Z796,T796)</f>
        <v>10</v>
      </c>
      <c r="AG796" s="1854"/>
      <c r="AH796" s="1854"/>
      <c r="AI796" s="1854"/>
      <c r="AJ796" s="1854"/>
      <c r="AK796" s="1854"/>
      <c r="AL796" s="742"/>
      <c r="AM796" s="520"/>
      <c r="AO796" s="740"/>
      <c r="AP796" s="740"/>
      <c r="AQ796" s="740"/>
    </row>
    <row r="797" spans="1:43">
      <c r="A797" s="744" t="s">
        <v>2392</v>
      </c>
      <c r="B797" s="1865" t="s">
        <v>2393</v>
      </c>
      <c r="C797" s="1865"/>
      <c r="D797" s="1865"/>
      <c r="E797" s="1865"/>
      <c r="F797" s="1865"/>
      <c r="G797" s="1865"/>
      <c r="H797" s="1865"/>
      <c r="I797" s="1865"/>
      <c r="J797" s="1865"/>
      <c r="K797" s="1865"/>
      <c r="L797" s="1865"/>
      <c r="M797" s="1865"/>
      <c r="N797" s="1865"/>
      <c r="O797" s="1865"/>
      <c r="P797" s="1865"/>
      <c r="Q797" s="1865"/>
      <c r="R797" s="1865"/>
      <c r="S797" s="1866"/>
      <c r="T797" s="1867">
        <f>SUM(T798:Y799)</f>
        <v>10</v>
      </c>
      <c r="U797" s="1867"/>
      <c r="V797" s="1867"/>
      <c r="W797" s="1867"/>
      <c r="X797" s="1867"/>
      <c r="Y797" s="1867"/>
      <c r="Z797" s="1854">
        <v>10</v>
      </c>
      <c r="AA797" s="1854"/>
      <c r="AB797" s="1854"/>
      <c r="AC797" s="1854"/>
      <c r="AD797" s="1854"/>
      <c r="AE797" s="1854"/>
      <c r="AF797" s="1854">
        <f>IF(T797&gt;Z797,Z797,T797)</f>
        <v>10</v>
      </c>
      <c r="AG797" s="1854"/>
      <c r="AH797" s="1854"/>
      <c r="AI797" s="1854"/>
      <c r="AJ797" s="1854"/>
      <c r="AK797" s="1854"/>
      <c r="AL797" s="742"/>
      <c r="AM797" s="520"/>
    </row>
    <row r="798" spans="1:43">
      <c r="A798" s="459"/>
      <c r="B798" s="525"/>
      <c r="C798" s="1871" t="s">
        <v>2394</v>
      </c>
      <c r="D798" s="1871"/>
      <c r="E798" s="1871"/>
      <c r="F798" s="1871"/>
      <c r="G798" s="1871"/>
      <c r="H798" s="1871"/>
      <c r="I798" s="1871"/>
      <c r="J798" s="1871"/>
      <c r="K798" s="1871"/>
      <c r="L798" s="1871"/>
      <c r="M798" s="1871"/>
      <c r="N798" s="1871"/>
      <c r="O798" s="1871"/>
      <c r="P798" s="1871"/>
      <c r="Q798" s="1871"/>
      <c r="R798" s="1871"/>
      <c r="S798" s="1872"/>
      <c r="T798" s="1873">
        <f>AJ155</f>
        <v>7</v>
      </c>
      <c r="U798" s="1873"/>
      <c r="V798" s="1873"/>
      <c r="W798" s="1873"/>
      <c r="X798" s="1873"/>
      <c r="Y798" s="1873"/>
      <c r="Z798" s="1874">
        <v>7</v>
      </c>
      <c r="AA798" s="1874"/>
      <c r="AB798" s="1874"/>
      <c r="AC798" s="1874"/>
      <c r="AD798" s="1874"/>
      <c r="AE798" s="1874"/>
      <c r="AF798" s="1875"/>
      <c r="AG798" s="1875"/>
      <c r="AH798" s="1875"/>
      <c r="AI798" s="1875"/>
      <c r="AJ798" s="1875"/>
      <c r="AK798" s="1875"/>
      <c r="AL798" s="742"/>
      <c r="AM798" s="520"/>
    </row>
    <row r="799" spans="1:43">
      <c r="A799" s="524"/>
      <c r="B799" s="525"/>
      <c r="C799" s="1871" t="s">
        <v>2395</v>
      </c>
      <c r="D799" s="1871"/>
      <c r="E799" s="1871"/>
      <c r="F799" s="1871"/>
      <c r="G799" s="1871"/>
      <c r="H799" s="1871"/>
      <c r="I799" s="1871"/>
      <c r="J799" s="1871"/>
      <c r="K799" s="1871"/>
      <c r="L799" s="1871"/>
      <c r="M799" s="1871"/>
      <c r="N799" s="1871"/>
      <c r="O799" s="1871"/>
      <c r="P799" s="1871"/>
      <c r="Q799" s="1871"/>
      <c r="R799" s="1871"/>
      <c r="S799" s="1872"/>
      <c r="T799" s="1873">
        <f>AJ169</f>
        <v>3</v>
      </c>
      <c r="U799" s="1873"/>
      <c r="V799" s="1873"/>
      <c r="W799" s="1873"/>
      <c r="X799" s="1873"/>
      <c r="Y799" s="1873"/>
      <c r="Z799" s="1874">
        <v>3</v>
      </c>
      <c r="AA799" s="1874"/>
      <c r="AB799" s="1874"/>
      <c r="AC799" s="1874"/>
      <c r="AD799" s="1874"/>
      <c r="AE799" s="1874"/>
      <c r="AF799" s="1875"/>
      <c r="AG799" s="1875"/>
      <c r="AH799" s="1875"/>
      <c r="AI799" s="1875"/>
      <c r="AJ799" s="1875"/>
      <c r="AK799" s="1875"/>
      <c r="AL799" s="742"/>
      <c r="AM799" s="520"/>
      <c r="AO799" s="474"/>
    </row>
    <row r="800" spans="1:43">
      <c r="A800" s="744" t="s">
        <v>2046</v>
      </c>
      <c r="B800" s="1865" t="s">
        <v>2396</v>
      </c>
      <c r="C800" s="1865"/>
      <c r="D800" s="1865"/>
      <c r="E800" s="1865"/>
      <c r="F800" s="1865"/>
      <c r="G800" s="1865"/>
      <c r="H800" s="1865"/>
      <c r="I800" s="1865"/>
      <c r="J800" s="1865"/>
      <c r="K800" s="1865"/>
      <c r="L800" s="1865"/>
      <c r="M800" s="1865"/>
      <c r="N800" s="1865"/>
      <c r="O800" s="1865"/>
      <c r="P800" s="1865"/>
      <c r="Q800" s="1865"/>
      <c r="R800" s="1865"/>
      <c r="S800" s="1866"/>
      <c r="T800" s="1867">
        <f>AK180</f>
        <v>10</v>
      </c>
      <c r="U800" s="1867"/>
      <c r="V800" s="1867"/>
      <c r="W800" s="1867"/>
      <c r="X800" s="1867"/>
      <c r="Y800" s="1867"/>
      <c r="Z800" s="1854">
        <v>10</v>
      </c>
      <c r="AA800" s="1854"/>
      <c r="AB800" s="1854"/>
      <c r="AC800" s="1854"/>
      <c r="AD800" s="1854"/>
      <c r="AE800" s="1854"/>
      <c r="AF800" s="1854">
        <f>IF(T800&gt;Z800,Z800,T800)</f>
        <v>10</v>
      </c>
      <c r="AG800" s="1854"/>
      <c r="AH800" s="1854"/>
      <c r="AI800" s="1854"/>
      <c r="AJ800" s="1854"/>
      <c r="AK800" s="1854"/>
      <c r="AL800" s="742"/>
      <c r="AM800" s="520"/>
    </row>
    <row r="801" spans="1:81">
      <c r="A801" s="743" t="s">
        <v>2056</v>
      </c>
      <c r="B801" s="1865" t="s">
        <v>2057</v>
      </c>
      <c r="C801" s="1865"/>
      <c r="D801" s="1865"/>
      <c r="E801" s="1865"/>
      <c r="F801" s="1865"/>
      <c r="G801" s="1865"/>
      <c r="H801" s="1865"/>
      <c r="I801" s="1865"/>
      <c r="J801" s="1865"/>
      <c r="K801" s="1865"/>
      <c r="L801" s="1865"/>
      <c r="M801" s="1865"/>
      <c r="N801" s="1865"/>
      <c r="O801" s="1865"/>
      <c r="P801" s="1865"/>
      <c r="Q801" s="1865"/>
      <c r="R801" s="1865"/>
      <c r="S801" s="1866"/>
      <c r="T801" s="1867">
        <f>AK262</f>
        <v>8</v>
      </c>
      <c r="U801" s="1867"/>
      <c r="V801" s="1867"/>
      <c r="W801" s="1867"/>
      <c r="X801" s="1867"/>
      <c r="Y801" s="1867"/>
      <c r="Z801" s="1868">
        <v>8</v>
      </c>
      <c r="AA801" s="1869"/>
      <c r="AB801" s="1869"/>
      <c r="AC801" s="1869"/>
      <c r="AD801" s="1869"/>
      <c r="AE801" s="1870"/>
      <c r="AF801" s="1854">
        <f>IF(T801&gt;Z801,Z801,T801)</f>
        <v>8</v>
      </c>
      <c r="AG801" s="1854"/>
      <c r="AH801" s="1854"/>
      <c r="AI801" s="1854"/>
      <c r="AJ801" s="1854"/>
      <c r="AK801" s="1854"/>
      <c r="AL801" s="742"/>
      <c r="AM801" s="520"/>
    </row>
    <row r="802" spans="1:81" s="458" customFormat="1" hidden="1">
      <c r="A802" s="744" t="s">
        <v>1056</v>
      </c>
      <c r="B802" s="1865" t="s">
        <v>2397</v>
      </c>
      <c r="C802" s="1865"/>
      <c r="D802" s="1865"/>
      <c r="E802" s="1865"/>
      <c r="F802" s="1865"/>
      <c r="G802" s="1865"/>
      <c r="H802" s="1865"/>
      <c r="I802" s="1865"/>
      <c r="J802" s="1865"/>
      <c r="K802" s="1865"/>
      <c r="L802" s="1865"/>
      <c r="M802" s="1865"/>
      <c r="N802" s="1865"/>
      <c r="O802" s="1865"/>
      <c r="P802" s="1865"/>
      <c r="Q802" s="1865"/>
      <c r="R802" s="1865"/>
      <c r="S802" s="1866"/>
      <c r="T802" s="1867">
        <f>IF(AK524&gt;5,5,AK524)</f>
        <v>0</v>
      </c>
      <c r="U802" s="1867"/>
      <c r="V802" s="1867"/>
      <c r="W802" s="1867"/>
      <c r="X802" s="1867"/>
      <c r="Y802" s="1867"/>
      <c r="Z802" s="1854">
        <v>5</v>
      </c>
      <c r="AA802" s="1854"/>
      <c r="AB802" s="1854"/>
      <c r="AC802" s="1854"/>
      <c r="AD802" s="1854"/>
      <c r="AE802" s="1854"/>
      <c r="AF802" s="1854">
        <f>IF(T802&gt;Z802,5,T802)</f>
        <v>0</v>
      </c>
      <c r="AG802" s="1854"/>
      <c r="AH802" s="1854"/>
      <c r="AI802" s="1854"/>
      <c r="AJ802" s="1854"/>
      <c r="AK802" s="1854"/>
      <c r="AL802" s="742"/>
      <c r="AM802" s="520"/>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8" customFormat="1">
      <c r="A803" s="743" t="s">
        <v>2109</v>
      </c>
      <c r="B803" s="1865" t="s">
        <v>2398</v>
      </c>
      <c r="C803" s="1865"/>
      <c r="D803" s="1865"/>
      <c r="E803" s="1865"/>
      <c r="F803" s="1865"/>
      <c r="G803" s="1865"/>
      <c r="H803" s="1865"/>
      <c r="I803" s="1865"/>
      <c r="J803" s="1865"/>
      <c r="K803" s="1865"/>
      <c r="L803" s="1865"/>
      <c r="M803" s="1865"/>
      <c r="N803" s="1865"/>
      <c r="O803" s="1865"/>
      <c r="P803" s="1865"/>
      <c r="Q803" s="1865"/>
      <c r="R803" s="1865"/>
      <c r="S803" s="1866"/>
      <c r="T803" s="1867">
        <f>AK274</f>
        <v>10</v>
      </c>
      <c r="U803" s="1867"/>
      <c r="V803" s="1867"/>
      <c r="W803" s="1867"/>
      <c r="X803" s="1867"/>
      <c r="Y803" s="1867"/>
      <c r="Z803" s="1854">
        <v>10</v>
      </c>
      <c r="AA803" s="1854"/>
      <c r="AB803" s="1854"/>
      <c r="AC803" s="1854"/>
      <c r="AD803" s="1854"/>
      <c r="AE803" s="1854"/>
      <c r="AF803" s="1876">
        <f>IF(T803&gt;Z803,Z803,T803)</f>
        <v>10</v>
      </c>
      <c r="AG803" s="1877"/>
      <c r="AH803" s="1877"/>
      <c r="AI803" s="1877"/>
      <c r="AJ803" s="1877"/>
      <c r="AK803" s="1878"/>
      <c r="AL803" s="742"/>
      <c r="AM803" s="52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8" customFormat="1">
      <c r="A804" s="744" t="s">
        <v>2113</v>
      </c>
      <c r="B804" s="1865" t="s">
        <v>2399</v>
      </c>
      <c r="C804" s="1865"/>
      <c r="D804" s="1865"/>
      <c r="E804" s="1865"/>
      <c r="F804" s="1865"/>
      <c r="G804" s="1865"/>
      <c r="H804" s="1865"/>
      <c r="I804" s="1865"/>
      <c r="J804" s="1865"/>
      <c r="K804" s="1865"/>
      <c r="L804" s="1865"/>
      <c r="M804" s="1865"/>
      <c r="N804" s="1865"/>
      <c r="O804" s="1865"/>
      <c r="P804" s="1865"/>
      <c r="Q804" s="1865"/>
      <c r="R804" s="1865"/>
      <c r="S804" s="1866"/>
      <c r="T804" s="1867">
        <f>AK327</f>
        <v>10</v>
      </c>
      <c r="U804" s="1867"/>
      <c r="V804" s="1867"/>
      <c r="W804" s="1867"/>
      <c r="X804" s="1867"/>
      <c r="Y804" s="1867"/>
      <c r="Z804" s="1876">
        <v>10</v>
      </c>
      <c r="AA804" s="1877"/>
      <c r="AB804" s="1877"/>
      <c r="AC804" s="1877"/>
      <c r="AD804" s="1877"/>
      <c r="AE804" s="1878"/>
      <c r="AF804" s="1876">
        <f>IF(T804&gt;Z804,Z804,T804)</f>
        <v>10</v>
      </c>
      <c r="AG804" s="1877"/>
      <c r="AH804" s="1877"/>
      <c r="AI804" s="1877"/>
      <c r="AJ804" s="1877"/>
      <c r="AK804" s="1878"/>
      <c r="AL804" s="463"/>
      <c r="AM804" s="520"/>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8" customFormat="1" hidden="1">
      <c r="A805" s="744"/>
      <c r="B805" s="745"/>
      <c r="C805" s="746" t="s">
        <v>2400</v>
      </c>
      <c r="D805" s="747"/>
      <c r="E805" s="747"/>
      <c r="F805" s="747"/>
      <c r="G805" s="747"/>
      <c r="H805" s="747"/>
      <c r="I805" s="747"/>
      <c r="J805" s="747"/>
      <c r="K805" s="747"/>
      <c r="L805" s="747"/>
      <c r="M805" s="747"/>
      <c r="N805" s="747"/>
      <c r="O805" s="747"/>
      <c r="P805" s="747"/>
      <c r="Q805" s="747"/>
      <c r="R805" s="745"/>
      <c r="S805" s="748"/>
      <c r="T805" s="1873">
        <f>AK327</f>
        <v>10</v>
      </c>
      <c r="U805" s="1873"/>
      <c r="V805" s="1873"/>
      <c r="W805" s="1873"/>
      <c r="X805" s="1873"/>
      <c r="Y805" s="1873"/>
      <c r="Z805" s="1841">
        <v>20</v>
      </c>
      <c r="AA805" s="1842"/>
      <c r="AB805" s="1842"/>
      <c r="AC805" s="1842"/>
      <c r="AD805" s="1842"/>
      <c r="AE805" s="1843"/>
      <c r="AF805" s="1875"/>
      <c r="AG805" s="1875"/>
      <c r="AH805" s="1875"/>
      <c r="AI805" s="1875"/>
      <c r="AJ805" s="1875"/>
      <c r="AK805" s="1875"/>
      <c r="AL805" s="463"/>
      <c r="AM805" s="520"/>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8" customFormat="1">
      <c r="A806" s="744" t="s">
        <v>2143</v>
      </c>
      <c r="B806" s="1865" t="s">
        <v>2144</v>
      </c>
      <c r="C806" s="1865"/>
      <c r="D806" s="1865"/>
      <c r="E806" s="1865"/>
      <c r="F806" s="1865"/>
      <c r="G806" s="1865"/>
      <c r="H806" s="1865"/>
      <c r="I806" s="1865"/>
      <c r="J806" s="1865"/>
      <c r="K806" s="1865"/>
      <c r="L806" s="1865"/>
      <c r="M806" s="1865"/>
      <c r="N806" s="1865"/>
      <c r="O806" s="1865"/>
      <c r="P806" s="1865"/>
      <c r="Q806" s="1865"/>
      <c r="R806" s="1865"/>
      <c r="S806" s="1866"/>
      <c r="T806" s="1867">
        <f>AK458</f>
        <v>10</v>
      </c>
      <c r="U806" s="1867"/>
      <c r="V806" s="1867"/>
      <c r="W806" s="1867"/>
      <c r="X806" s="1867"/>
      <c r="Y806" s="1867"/>
      <c r="Z806" s="1876">
        <v>10</v>
      </c>
      <c r="AA806" s="1877"/>
      <c r="AB806" s="1877"/>
      <c r="AC806" s="1877"/>
      <c r="AD806" s="1877"/>
      <c r="AE806" s="1878"/>
      <c r="AF806" s="1854">
        <f>IF(T806&gt;Z806,Z806,T806)</f>
        <v>10</v>
      </c>
      <c r="AG806" s="1854"/>
      <c r="AH806" s="1854"/>
      <c r="AI806" s="1854"/>
      <c r="AJ806" s="1854"/>
      <c r="AK806" s="1854"/>
      <c r="AL806" s="463"/>
      <c r="AM806" s="520"/>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8" customFormat="1">
      <c r="A807" s="744" t="s">
        <v>2260</v>
      </c>
      <c r="B807" s="1865" t="s">
        <v>2261</v>
      </c>
      <c r="C807" s="1865"/>
      <c r="D807" s="1865"/>
      <c r="E807" s="1865"/>
      <c r="F807" s="1865"/>
      <c r="G807" s="1865"/>
      <c r="H807" s="1865"/>
      <c r="I807" s="1865"/>
      <c r="J807" s="1865"/>
      <c r="K807" s="1865"/>
      <c r="L807" s="1865"/>
      <c r="M807" s="1865"/>
      <c r="N807" s="1865"/>
      <c r="O807" s="1865"/>
      <c r="P807" s="1865"/>
      <c r="Q807" s="1865"/>
      <c r="R807" s="1865"/>
      <c r="S807" s="1866"/>
      <c r="T807" s="1867">
        <f>AK548</f>
        <v>12</v>
      </c>
      <c r="U807" s="1867"/>
      <c r="V807" s="1867"/>
      <c r="W807" s="1867"/>
      <c r="X807" s="1867"/>
      <c r="Y807" s="1867"/>
      <c r="Z807" s="1876">
        <v>12</v>
      </c>
      <c r="AA807" s="1877"/>
      <c r="AB807" s="1877"/>
      <c r="AC807" s="1877"/>
      <c r="AD807" s="1877"/>
      <c r="AE807" s="1878"/>
      <c r="AF807" s="1854">
        <f>IF(T807&gt;Z807,Z807,T807)</f>
        <v>12</v>
      </c>
      <c r="AG807" s="1854"/>
      <c r="AH807" s="1854"/>
      <c r="AI807" s="1854"/>
      <c r="AJ807" s="1854"/>
      <c r="AK807" s="1854"/>
      <c r="AL807" s="463"/>
      <c r="AM807" s="520"/>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8" customFormat="1">
      <c r="A808" s="744" t="s">
        <v>2401</v>
      </c>
      <c r="B808" s="1865" t="s">
        <v>2402</v>
      </c>
      <c r="C808" s="1865"/>
      <c r="D808" s="1865"/>
      <c r="E808" s="1865"/>
      <c r="F808" s="1865"/>
      <c r="G808" s="1865"/>
      <c r="H808" s="1865"/>
      <c r="I808" s="1865"/>
      <c r="J808" s="1865"/>
      <c r="K808" s="1865"/>
      <c r="L808" s="1865"/>
      <c r="M808" s="1865"/>
      <c r="N808" s="1865"/>
      <c r="O808" s="1865"/>
      <c r="P808" s="1865"/>
      <c r="Q808" s="1865"/>
      <c r="R808" s="1865"/>
      <c r="S808" s="1866"/>
      <c r="T808" s="1867">
        <f>AK783</f>
        <v>10</v>
      </c>
      <c r="U808" s="1867"/>
      <c r="V808" s="1867"/>
      <c r="W808" s="1867"/>
      <c r="X808" s="1867"/>
      <c r="Y808" s="1867"/>
      <c r="Z808" s="1876">
        <v>10</v>
      </c>
      <c r="AA808" s="1877"/>
      <c r="AB808" s="1877"/>
      <c r="AC808" s="1877"/>
      <c r="AD808" s="1877"/>
      <c r="AE808" s="1878"/>
      <c r="AF808" s="1854">
        <f>IF(T808&gt;Z808,Z808,T808)</f>
        <v>10</v>
      </c>
      <c r="AG808" s="1854"/>
      <c r="AH808" s="1854"/>
      <c r="AI808" s="1854"/>
      <c r="AJ808" s="1854"/>
      <c r="AK808" s="1854"/>
      <c r="AL808" s="463"/>
      <c r="AM808" s="520"/>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8" customFormat="1">
      <c r="A809" s="1879" t="s">
        <v>2403</v>
      </c>
      <c r="B809" s="1865"/>
      <c r="C809" s="1865"/>
      <c r="D809" s="1865"/>
      <c r="E809" s="1865"/>
      <c r="F809" s="1865"/>
      <c r="G809" s="1865"/>
      <c r="H809" s="1865"/>
      <c r="I809" s="1865"/>
      <c r="J809" s="1865"/>
      <c r="K809" s="1865"/>
      <c r="L809" s="1865"/>
      <c r="M809" s="1865"/>
      <c r="N809" s="1865"/>
      <c r="O809" s="1865"/>
      <c r="P809" s="1865"/>
      <c r="Q809" s="1865"/>
      <c r="R809" s="1865"/>
      <c r="S809" s="1866"/>
      <c r="T809" s="1880"/>
      <c r="U809" s="1880"/>
      <c r="V809" s="1880"/>
      <c r="W809" s="1880"/>
      <c r="X809" s="1880"/>
      <c r="Y809" s="1880"/>
      <c r="Z809" s="1874" t="s">
        <v>2404</v>
      </c>
      <c r="AA809" s="1874"/>
      <c r="AB809" s="1874"/>
      <c r="AC809" s="1874"/>
      <c r="AD809" s="1874"/>
      <c r="AE809" s="1874"/>
      <c r="AF809" s="1876">
        <f>IF(T809&gt;0,T809,0)</f>
        <v>0</v>
      </c>
      <c r="AG809" s="1877"/>
      <c r="AH809" s="1877"/>
      <c r="AI809" s="1877"/>
      <c r="AJ809" s="1877"/>
      <c r="AK809" s="1878"/>
      <c r="AL809" s="515"/>
      <c r="AM809" s="520"/>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8" customFormat="1" ht="15.6">
      <c r="A810" s="1881" t="s">
        <v>2405</v>
      </c>
      <c r="B810" s="1882"/>
      <c r="C810" s="1882"/>
      <c r="D810" s="1882"/>
      <c r="E810" s="1882"/>
      <c r="F810" s="1882"/>
      <c r="G810" s="1882"/>
      <c r="H810" s="1882"/>
      <c r="I810" s="1882"/>
      <c r="J810" s="1882"/>
      <c r="K810" s="1882"/>
      <c r="L810" s="1882"/>
      <c r="M810" s="1882"/>
      <c r="N810" s="1882"/>
      <c r="O810" s="1882"/>
      <c r="P810" s="1882"/>
      <c r="Q810" s="1882"/>
      <c r="R810" s="1882"/>
      <c r="S810" s="1882"/>
      <c r="T810" s="1882"/>
      <c r="U810" s="1882"/>
      <c r="V810" s="1882"/>
      <c r="W810" s="1882"/>
      <c r="X810" s="1882"/>
      <c r="Y810" s="1882"/>
      <c r="Z810" s="1882"/>
      <c r="AA810" s="1882"/>
      <c r="AB810" s="1882"/>
      <c r="AC810" s="1882"/>
      <c r="AD810" s="1882"/>
      <c r="AE810" s="1883"/>
      <c r="AF810" s="1887">
        <f ca="1">SUM(AF793:AK808)-AF809</f>
        <v>120</v>
      </c>
      <c r="AG810" s="1888"/>
      <c r="AH810" s="1888"/>
      <c r="AI810" s="1888"/>
      <c r="AJ810" s="1888"/>
      <c r="AK810" s="1889"/>
      <c r="AL810" s="749"/>
      <c r="AM810" s="474"/>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8" customFormat="1" ht="15.6">
      <c r="A811" s="1884"/>
      <c r="B811" s="1885"/>
      <c r="C811" s="1885"/>
      <c r="D811" s="1885"/>
      <c r="E811" s="1885"/>
      <c r="F811" s="1885"/>
      <c r="G811" s="1885"/>
      <c r="H811" s="1885"/>
      <c r="I811" s="1885"/>
      <c r="J811" s="1885"/>
      <c r="K811" s="1885"/>
      <c r="L811" s="1885"/>
      <c r="M811" s="1885"/>
      <c r="N811" s="1885"/>
      <c r="O811" s="1885"/>
      <c r="P811" s="1885"/>
      <c r="Q811" s="1885"/>
      <c r="R811" s="1885"/>
      <c r="S811" s="1885"/>
      <c r="T811" s="1885"/>
      <c r="U811" s="1885"/>
      <c r="V811" s="1885"/>
      <c r="W811" s="1885"/>
      <c r="X811" s="1885"/>
      <c r="Y811" s="1885"/>
      <c r="Z811" s="1885"/>
      <c r="AA811" s="1885"/>
      <c r="AB811" s="1885"/>
      <c r="AC811" s="1885"/>
      <c r="AD811" s="1885"/>
      <c r="AE811" s="1886"/>
      <c r="AF811" s="1890"/>
      <c r="AG811" s="1891"/>
      <c r="AH811" s="1891"/>
      <c r="AI811" s="1891"/>
      <c r="AJ811" s="1891"/>
      <c r="AK811" s="1892"/>
      <c r="AL811" s="749"/>
      <c r="AM811" s="474"/>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8" customFormat="1">
      <c r="A812" s="587"/>
      <c r="B812" s="587"/>
      <c r="C812" s="587"/>
      <c r="D812" s="587"/>
      <c r="E812" s="587"/>
      <c r="F812" s="587"/>
      <c r="G812" s="587"/>
      <c r="H812" s="587"/>
      <c r="I812" s="587"/>
      <c r="J812" s="587"/>
      <c r="K812" s="587"/>
      <c r="L812" s="587"/>
      <c r="M812" s="587"/>
      <c r="N812" s="587"/>
      <c r="O812" s="587"/>
      <c r="P812" s="587"/>
      <c r="Q812" s="587"/>
      <c r="R812" s="587"/>
      <c r="S812" s="587"/>
      <c r="T812" s="587"/>
      <c r="U812" s="587"/>
      <c r="V812" s="587"/>
      <c r="W812" s="587"/>
      <c r="X812" s="587"/>
      <c r="Y812" s="587"/>
      <c r="Z812" s="587"/>
      <c r="AA812" s="587"/>
      <c r="AB812" s="587"/>
      <c r="AC812" s="587"/>
      <c r="AD812" s="587"/>
      <c r="AE812" s="587"/>
      <c r="AF812" s="587"/>
      <c r="AG812" s="587"/>
      <c r="AH812" s="587"/>
      <c r="AI812" s="587"/>
      <c r="AJ812" s="587"/>
      <c r="AK812" s="587"/>
      <c r="AL812" s="587"/>
      <c r="AM812" s="750"/>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112" workbookViewId="0">
      <selection activeCell="H20" sqref="H20"/>
    </sheetView>
  </sheetViews>
  <sheetFormatPr defaultColWidth="9.33203125" defaultRowHeight="13.8"/>
  <cols>
    <col min="1" max="1" width="2.44140625" style="959" customWidth="1"/>
    <col min="2" max="9" width="14.6640625" style="959" customWidth="1"/>
    <col min="10" max="10" width="2.33203125" style="959" customWidth="1"/>
    <col min="11" max="11" width="11.6640625" style="960" customWidth="1"/>
    <col min="12" max="12" width="10.6640625" style="959" customWidth="1"/>
    <col min="13" max="13" width="10.44140625" style="959" customWidth="1"/>
    <col min="14" max="14" width="10.6640625" style="959" customWidth="1"/>
    <col min="15" max="16384" width="9.33203125" style="959"/>
  </cols>
  <sheetData>
    <row r="1" spans="1:13" ht="30" customHeight="1">
      <c r="A1" s="2068" t="s">
        <v>2406</v>
      </c>
      <c r="B1" s="2068"/>
      <c r="C1" s="2068"/>
      <c r="D1" s="2068"/>
      <c r="E1" s="2068"/>
      <c r="F1" s="2068"/>
      <c r="G1" s="2068"/>
      <c r="H1" s="2068"/>
      <c r="I1" s="2068"/>
      <c r="J1" s="2068"/>
    </row>
    <row r="2" spans="1:13" ht="15" customHeight="1" thickBot="1">
      <c r="A2" s="961"/>
      <c r="B2" s="961"/>
      <c r="I2" s="962"/>
      <c r="K2" s="963"/>
    </row>
    <row r="3" spans="1:13" s="966" customFormat="1" ht="20.100000000000001" customHeight="1">
      <c r="A3" s="1019"/>
      <c r="B3" s="1020"/>
      <c r="C3" s="1021"/>
      <c r="D3" s="1026"/>
      <c r="E3" s="1021"/>
      <c r="F3" s="1022" t="s">
        <v>2407</v>
      </c>
      <c r="G3" s="1021"/>
      <c r="H3" s="1023">
        <f>E16</f>
        <v>38383030</v>
      </c>
      <c r="I3" s="1024"/>
    </row>
    <row r="4" spans="1:13" s="966" customFormat="1" ht="20.100000000000001" customHeight="1">
      <c r="B4" s="1013"/>
      <c r="D4" s="1027"/>
      <c r="F4" s="1011" t="s">
        <v>2408</v>
      </c>
      <c r="G4" s="1010" t="s">
        <v>2409</v>
      </c>
      <c r="H4" s="1012">
        <f>I16</f>
        <v>42631074.457026146</v>
      </c>
      <c r="I4" s="1014"/>
      <c r="K4" s="970"/>
    </row>
    <row r="5" spans="1:13" s="966" customFormat="1" ht="20.100000000000001" customHeight="1" thickBot="1">
      <c r="B5" s="1015"/>
      <c r="C5" s="1016"/>
      <c r="D5" s="1028"/>
      <c r="E5" s="1017"/>
      <c r="F5" s="1028" t="s">
        <v>2410</v>
      </c>
      <c r="G5" s="1029"/>
      <c r="H5" s="1025">
        <f>H3/H4</f>
        <v>0.90035333354526759</v>
      </c>
      <c r="I5" s="1018"/>
      <c r="K5" s="970"/>
    </row>
    <row r="6" spans="1:13" s="966" customFormat="1" ht="15" customHeight="1">
      <c r="B6" s="967"/>
      <c r="C6" s="968"/>
      <c r="F6" s="969"/>
      <c r="K6" s="970"/>
    </row>
    <row r="7" spans="1:13" s="966" customFormat="1" ht="15" customHeight="1">
      <c r="E7" s="971"/>
      <c r="F7" s="969"/>
      <c r="K7" s="972"/>
    </row>
    <row r="8" spans="1:13" s="966" customFormat="1" ht="15" customHeight="1">
      <c r="A8" s="973"/>
      <c r="B8" s="2069" t="s">
        <v>2411</v>
      </c>
      <c r="C8" s="2070"/>
      <c r="D8" s="2070"/>
      <c r="E8" s="2071"/>
      <c r="G8" s="2072" t="s">
        <v>2412</v>
      </c>
      <c r="H8" s="2073"/>
      <c r="I8" s="2074"/>
      <c r="K8" s="972"/>
    </row>
    <row r="9" spans="1:13" ht="15" customHeight="1">
      <c r="A9" s="961"/>
      <c r="B9" s="2063" t="s">
        <v>2413</v>
      </c>
      <c r="C9" s="2063"/>
      <c r="D9" s="2063"/>
      <c r="E9" s="974">
        <f>G31</f>
        <v>5037500</v>
      </c>
      <c r="G9" s="2066" t="s">
        <v>2414</v>
      </c>
      <c r="H9" s="2066"/>
      <c r="I9" s="975">
        <f>Application!AM554</f>
        <v>37929000</v>
      </c>
      <c r="K9" s="976"/>
      <c r="M9" s="977"/>
    </row>
    <row r="10" spans="1:13" ht="15" customHeight="1" thickBot="1">
      <c r="A10" s="961"/>
      <c r="B10" s="2063" t="s">
        <v>2415</v>
      </c>
      <c r="C10" s="2063"/>
      <c r="D10" s="2063"/>
      <c r="E10" s="975">
        <f>G40</f>
        <v>22274280</v>
      </c>
      <c r="G10" s="2066" t="s">
        <v>2416</v>
      </c>
      <c r="H10" s="2066"/>
      <c r="I10" s="1061">
        <f>'Basis &amp; Credits'!AB78</f>
        <v>16093606</v>
      </c>
      <c r="M10" s="977"/>
    </row>
    <row r="11" spans="1:13" ht="15" customHeight="1">
      <c r="A11" s="978"/>
      <c r="B11" s="2063" t="s">
        <v>2417</v>
      </c>
      <c r="C11" s="2063"/>
      <c r="D11" s="2063"/>
      <c r="E11" s="975">
        <f>G49</f>
        <v>500000</v>
      </c>
      <c r="G11" s="2066" t="s">
        <v>2418</v>
      </c>
      <c r="H11" s="2066"/>
      <c r="I11" s="1060">
        <f>I9+I10</f>
        <v>54022606</v>
      </c>
      <c r="M11" s="977"/>
    </row>
    <row r="12" spans="1:13" ht="15" customHeight="1">
      <c r="A12" s="964"/>
      <c r="B12" s="2063" t="s">
        <v>2419</v>
      </c>
      <c r="C12" s="2063"/>
      <c r="D12" s="2063"/>
      <c r="E12" s="975">
        <f>G58</f>
        <v>1000000</v>
      </c>
      <c r="G12" s="1062" t="s">
        <v>2420</v>
      </c>
      <c r="H12" s="1063"/>
      <c r="M12" s="977"/>
    </row>
    <row r="13" spans="1:13" ht="15" customHeight="1">
      <c r="A13" s="961"/>
      <c r="B13" s="2063" t="s">
        <v>2421</v>
      </c>
      <c r="C13" s="2063"/>
      <c r="D13" s="2063"/>
      <c r="E13" s="980">
        <f>G83</f>
        <v>6548750</v>
      </c>
      <c r="G13" s="2067" t="s">
        <v>1833</v>
      </c>
      <c r="H13" s="2067"/>
      <c r="I13" s="979">
        <f>15%*(AND(G111="Yes",G113&lt;&gt;""))</f>
        <v>0.15</v>
      </c>
      <c r="M13" s="977"/>
    </row>
    <row r="14" spans="1:13" ht="15" customHeight="1">
      <c r="A14" s="961"/>
      <c r="B14" s="2063" t="s">
        <v>2422</v>
      </c>
      <c r="C14" s="2063"/>
      <c r="D14" s="2063"/>
      <c r="E14" s="975">
        <f>IF(G96&gt;G106,G96,0)</f>
        <v>3022500</v>
      </c>
      <c r="G14" s="1058" t="s">
        <v>2423</v>
      </c>
      <c r="H14" s="1058"/>
      <c r="I14" s="979">
        <f>IF(Application!AJ1031&gt;0,10%,IF(Application!AJ1035&gt;0,5%,0))</f>
        <v>0</v>
      </c>
      <c r="M14" s="977"/>
    </row>
    <row r="15" spans="1:13" ht="15" customHeight="1" thickBot="1">
      <c r="A15" s="961"/>
      <c r="B15" s="2064" t="s">
        <v>2424</v>
      </c>
      <c r="C15" s="2064"/>
      <c r="D15" s="2064"/>
      <c r="E15" s="1030">
        <f>IF(E14&gt;0,0,G106)</f>
        <v>0</v>
      </c>
      <c r="G15" s="2061" t="s">
        <v>2425</v>
      </c>
      <c r="H15" s="2062"/>
      <c r="I15" s="1032">
        <f>G123</f>
        <v>6.0866013071895424E-2</v>
      </c>
      <c r="M15" s="977"/>
    </row>
    <row r="16" spans="1:13" ht="15" customHeight="1">
      <c r="A16" s="961"/>
      <c r="B16" s="2065" t="s">
        <v>2426</v>
      </c>
      <c r="C16" s="2065"/>
      <c r="D16" s="2065"/>
      <c r="E16" s="1031">
        <f>SUM(E9:E15)</f>
        <v>38383030</v>
      </c>
      <c r="G16" s="1059" t="s">
        <v>2427</v>
      </c>
      <c r="H16" s="1059"/>
      <c r="I16" s="1033">
        <f>I11-((I11*I13)+(I11*I14)+(I11*I15))</f>
        <v>42631074.457026146</v>
      </c>
    </row>
    <row r="17" spans="1:20" ht="15" customHeight="1">
      <c r="A17" s="961"/>
      <c r="B17" s="961"/>
      <c r="E17" s="981"/>
      <c r="H17" s="982"/>
      <c r="I17" s="983"/>
    </row>
    <row r="18" spans="1:20" ht="15" customHeight="1">
      <c r="B18" s="984" t="str">
        <f>B9</f>
        <v>A. Unit Production Benefit</v>
      </c>
      <c r="C18" s="985"/>
      <c r="D18" s="985"/>
      <c r="E18" s="985"/>
      <c r="F18" s="985"/>
      <c r="G18" s="985"/>
      <c r="H18" s="985"/>
      <c r="I18" s="986"/>
      <c r="M18" s="981">
        <f>SUM(Cdlac[Quantity])</f>
        <v>100</v>
      </c>
      <c r="O18" s="1004" t="s">
        <v>980</v>
      </c>
      <c r="P18" s="959">
        <f>MATCH(Application!T189,Application!BV490:BV547,0)</f>
        <v>19</v>
      </c>
      <c r="S18" s="981">
        <f>SUM(Cdlac[Population])</f>
        <v>75</v>
      </c>
    </row>
    <row r="19" spans="1:20" ht="15" customHeight="1">
      <c r="A19" s="961"/>
      <c r="B19" s="961"/>
      <c r="I19" s="987"/>
      <c r="L19" s="959" t="s">
        <v>2428</v>
      </c>
      <c r="M19" s="959" t="s">
        <v>2429</v>
      </c>
      <c r="N19" s="959" t="s">
        <v>2430</v>
      </c>
      <c r="O19" s="959" t="s">
        <v>2431</v>
      </c>
      <c r="P19" s="959" t="s">
        <v>2432</v>
      </c>
      <c r="Q19" s="959" t="s">
        <v>2433</v>
      </c>
      <c r="R19" s="959" t="s">
        <v>2434</v>
      </c>
      <c r="S19" s="959" t="s">
        <v>2435</v>
      </c>
      <c r="T19" s="959" t="s">
        <v>1043</v>
      </c>
    </row>
    <row r="20" spans="1:20" ht="15" customHeight="1">
      <c r="A20" s="964"/>
      <c r="C20" s="2059" t="s">
        <v>2436</v>
      </c>
      <c r="D20" s="2059" t="s">
        <v>2437</v>
      </c>
      <c r="E20" s="2059" t="s">
        <v>2438</v>
      </c>
      <c r="F20" s="2059" t="s">
        <v>2439</v>
      </c>
      <c r="G20" s="2059" t="s">
        <v>2440</v>
      </c>
      <c r="H20" s="988"/>
      <c r="I20" s="987"/>
      <c r="L20" s="959">
        <f>IFERROR(MIN(4,MATCH(Application!B718,UnitSizes,0)-1),"")</f>
        <v>1</v>
      </c>
      <c r="M20" s="981">
        <f>Application!G718</f>
        <v>50</v>
      </c>
      <c r="N20" s="989">
        <f>Application!AC718</f>
        <v>0.3</v>
      </c>
      <c r="O20" s="989">
        <f>IF(Cdlac[[#This Row],[Quantity]]&gt;0,IF(Cdlac[[#This Row],[Federal]],30%,IF($G$36,40%,Cdlac[[#This Row],[iAMI]])),"")</f>
        <v>0.3</v>
      </c>
      <c r="P20" s="981" cm="1">
        <f t="array" ref="P20">IF(Cdlac[[#This Row],[Quantity]]&gt;0,INDEX(TcacRents,$P$18,Cdlac[[#This Row],[Bedrooms]]+1)*Cdlac[[#This Row],[AMI]],"")</f>
        <v>780</v>
      </c>
      <c r="Q20" s="981" cm="1">
        <f t="array" ref="Q20">IF(Cdlac[[#This Row],[Quantity]]&gt;0,INDEX(HudFmrs,$P$18,Cdlac[[#This Row],[Bedrooms]]+1),"")</f>
        <v>2006</v>
      </c>
      <c r="R20" s="981">
        <f>IF(Cdlac[[#This Row],[Quantity]]&gt;0,MAX(0,Cdlac[[#This Row],[Fair Market Rent]]-Cdlac[[#This Row],[Restricted Rent]]),"")</f>
        <v>1226</v>
      </c>
      <c r="S20" s="959">
        <f>IF(Cdlac[[#This Row],[Quantity]]&gt;0,AND(Application!AK718&lt;&gt;"N/A",Application!AK718&lt;&gt;"")*Cdlac[[#This Row],[Quantity]],"")</f>
        <v>50</v>
      </c>
      <c r="T20" s="959" t="b">
        <f>AND('Subsidy Contract Calculation'!F4&gt;0,'Subsidy Contract Calculation'!C4="Federal",Cdlac[[#This Row],[Quantity]]&gt;0)</f>
        <v>1</v>
      </c>
    </row>
    <row r="21" spans="1:20" ht="15" customHeight="1">
      <c r="A21" s="964"/>
      <c r="C21" s="2060"/>
      <c r="D21" s="2060"/>
      <c r="E21" s="2060"/>
      <c r="F21" s="2060"/>
      <c r="G21" s="2060"/>
      <c r="H21" s="988"/>
      <c r="I21" s="987"/>
      <c r="L21" s="959">
        <f>IFERROR(MIN(4,MATCH(Application!B719,UnitSizes,0)-1),"")</f>
        <v>1</v>
      </c>
      <c r="M21" s="981">
        <f>Application!G719</f>
        <v>25</v>
      </c>
      <c r="N21" s="989">
        <f>Application!AC719</f>
        <v>0.6</v>
      </c>
      <c r="O21" s="989">
        <f>IF(Cdlac[[#This Row],[Quantity]]&gt;0,IF(Cdlac[[#This Row],[Federal]],30%,IF($G$36,40%,Cdlac[[#This Row],[iAMI]])),"")</f>
        <v>0.3</v>
      </c>
      <c r="P21" s="981" cm="1">
        <f t="array" ref="P21">IF(Cdlac[[#This Row],[Quantity]]&gt;0,INDEX(TcacRents,$P$18,Cdlac[[#This Row],[Bedrooms]]+1)*Cdlac[[#This Row],[AMI]],"")</f>
        <v>780</v>
      </c>
      <c r="Q21" s="981" cm="1">
        <f t="array" ref="Q21">IF(Cdlac[[#This Row],[Quantity]]&gt;0,INDEX(HudFmrs,$P$18,Cdlac[[#This Row],[Bedrooms]]+1),"")</f>
        <v>2006</v>
      </c>
      <c r="R21" s="981">
        <f>IF(Cdlac[[#This Row],[Quantity]]&gt;0,MAX(0,Cdlac[[#This Row],[Fair Market Rent]]-Cdlac[[#This Row],[Restricted Rent]]),"")</f>
        <v>1226</v>
      </c>
      <c r="S21" s="959">
        <f>IF(Cdlac[[#This Row],[Quantity]]&gt;0,AND(Application!AK719&lt;&gt;"N/A",Application!AK719&lt;&gt;"")*Cdlac[[#This Row],[Quantity]],"")</f>
        <v>25</v>
      </c>
      <c r="T21" s="959" t="b">
        <f>AND('Subsidy Contract Calculation'!F5&gt;0,'Subsidy Contract Calculation'!C5="Federal",Cdlac[[#This Row],[Quantity]]&gt;0)</f>
        <v>1</v>
      </c>
    </row>
    <row r="22" spans="1:20" ht="15" customHeight="1">
      <c r="C22" s="990">
        <v>0</v>
      </c>
      <c r="D22" s="991">
        <v>0.9</v>
      </c>
      <c r="E22" s="990">
        <f>SUMIFS(Cdlac[Quantity],Cdlac[Bedrooms],C22)</f>
        <v>0</v>
      </c>
      <c r="F22" s="990">
        <f>E22</f>
        <v>0</v>
      </c>
      <c r="G22" s="990">
        <f>D22*F22</f>
        <v>0</v>
      </c>
      <c r="L22" s="959">
        <f>IFERROR(MIN(4,MATCH(Application!B720,UnitSizes,0)-1),"")</f>
        <v>1</v>
      </c>
      <c r="M22" s="981">
        <f>Application!G720</f>
        <v>22</v>
      </c>
      <c r="N22" s="989">
        <f>Application!AC720</f>
        <v>0.8</v>
      </c>
      <c r="O22" s="989">
        <f>IF(Cdlac[[#This Row],[Quantity]]&gt;0,IF(Cdlac[[#This Row],[Federal]],30%,IF($G$36,40%,Cdlac[[#This Row],[iAMI]])),"")</f>
        <v>0.3</v>
      </c>
      <c r="P22" s="981" cm="1">
        <f t="array" ref="P22">IF(Cdlac[[#This Row],[Quantity]]&gt;0,INDEX(TcacRents,$P$18,Cdlac[[#This Row],[Bedrooms]]+1)*Cdlac[[#This Row],[AMI]],"")</f>
        <v>780</v>
      </c>
      <c r="Q22" s="981" cm="1">
        <f t="array" ref="Q22">IF(Cdlac[[#This Row],[Quantity]]&gt;0,INDEX(HudFmrs,$P$18,Cdlac[[#This Row],[Bedrooms]]+1),"")</f>
        <v>2006</v>
      </c>
      <c r="R22" s="981">
        <f>IF(Cdlac[[#This Row],[Quantity]]&gt;0,MAX(0,Cdlac[[#This Row],[Fair Market Rent]]-Cdlac[[#This Row],[Restricted Rent]]),"")</f>
        <v>1226</v>
      </c>
      <c r="S22" s="959">
        <f>IF(Cdlac[[#This Row],[Quantity]]&gt;0,AND(Application!AK720&lt;&gt;"N/A",Application!AK720&lt;&gt;"")*Cdlac[[#This Row],[Quantity]],"")</f>
        <v>0</v>
      </c>
      <c r="T22" s="959" t="b">
        <f>AND('Subsidy Contract Calculation'!F6&gt;0,'Subsidy Contract Calculation'!C6="Federal",Cdlac[[#This Row],[Quantity]]&gt;0)</f>
        <v>1</v>
      </c>
    </row>
    <row r="23" spans="1:20" ht="15" customHeight="1">
      <c r="C23" s="990">
        <v>1</v>
      </c>
      <c r="D23" s="991">
        <v>1</v>
      </c>
      <c r="E23" s="990">
        <f>SUMIFS(Cdlac[Quantity],Cdlac[Bedrooms],C23)</f>
        <v>97</v>
      </c>
      <c r="F23" s="990">
        <f>E23</f>
        <v>97</v>
      </c>
      <c r="G23" s="990">
        <f>D23*F23</f>
        <v>97</v>
      </c>
      <c r="L23" s="959">
        <f>IFERROR(MIN(4,MATCH(Application!B721,UnitSizes,0)-1),"")</f>
        <v>2</v>
      </c>
      <c r="M23" s="981">
        <f>Application!G721</f>
        <v>3</v>
      </c>
      <c r="N23" s="989">
        <f>Application!AC721</f>
        <v>0.8</v>
      </c>
      <c r="O23" s="989">
        <f>IF(Cdlac[[#This Row],[Quantity]]&gt;0,IF(Cdlac[[#This Row],[Federal]],30%,IF($G$36,40%,Cdlac[[#This Row],[iAMI]])),"")</f>
        <v>0.3</v>
      </c>
      <c r="P23" s="981" cm="1">
        <f t="array" ref="P23">IF(Cdlac[[#This Row],[Quantity]]&gt;0,INDEX(TcacRents,$P$18,Cdlac[[#This Row],[Bedrooms]]+1)*Cdlac[[#This Row],[AMI]],"")</f>
        <v>936</v>
      </c>
      <c r="Q23" s="981" cm="1">
        <f t="array" ref="Q23">IF(Cdlac[[#This Row],[Quantity]]&gt;0,INDEX(HudFmrs,$P$18,Cdlac[[#This Row],[Bedrooms]]+1),"")</f>
        <v>2544</v>
      </c>
      <c r="R23" s="981">
        <f>IF(Cdlac[[#This Row],[Quantity]]&gt;0,MAX(0,Cdlac[[#This Row],[Fair Market Rent]]-Cdlac[[#This Row],[Restricted Rent]]),"")</f>
        <v>1608</v>
      </c>
      <c r="S23" s="959">
        <f>IF(Cdlac[[#This Row],[Quantity]]&gt;0,AND(Application!AK721&lt;&gt;"N/A",Application!AK721&lt;&gt;"")*Cdlac[[#This Row],[Quantity]],"")</f>
        <v>0</v>
      </c>
      <c r="T23" s="959" t="b">
        <f>AND('Subsidy Contract Calculation'!F7&gt;0,'Subsidy Contract Calculation'!C7="Federal",Cdlac[[#This Row],[Quantity]]&gt;0)</f>
        <v>1</v>
      </c>
    </row>
    <row r="24" spans="1:20" ht="15" customHeight="1">
      <c r="A24" s="992"/>
      <c r="C24" s="993">
        <v>2</v>
      </c>
      <c r="D24" s="991">
        <v>1.25</v>
      </c>
      <c r="E24" s="990">
        <f>SUMIFS(Cdlac[Quantity],Cdlac[Bedrooms],C24)</f>
        <v>3</v>
      </c>
      <c r="F24" s="993">
        <f>SUM(E24:E26)-SUM(F25:F26)</f>
        <v>3</v>
      </c>
      <c r="G24" s="990">
        <f>D24*F24</f>
        <v>3.75</v>
      </c>
      <c r="H24" s="992"/>
      <c r="I24" s="992"/>
      <c r="L24" s="959" t="str">
        <f>IFERROR(MIN(4,MATCH(Application!B722,UnitSizes,0)-1),"")</f>
        <v/>
      </c>
      <c r="M24" s="981">
        <f>Application!G722</f>
        <v>0</v>
      </c>
      <c r="N24" s="989">
        <f>Application!AC722</f>
        <v>0</v>
      </c>
      <c r="O24" s="989" t="str">
        <f>IF(Cdlac[[#This Row],[Quantity]]&gt;0,IF(Cdlac[[#This Row],[Federal]],30%,IF($G$36,40%,Cdlac[[#This Row],[iAMI]])),"")</f>
        <v/>
      </c>
      <c r="P24" s="981" t="str" cm="1">
        <f t="array" ref="P24">IF(Cdlac[[#This Row],[Quantity]]&gt;0,INDEX(TcacRents,$P$18,Cdlac[[#This Row],[Bedrooms]]+1)*Cdlac[[#This Row],[AMI]],"")</f>
        <v/>
      </c>
      <c r="Q24" s="981" t="str" cm="1">
        <f t="array" ref="Q24">IF(Cdlac[[#This Row],[Quantity]]&gt;0,INDEX(HudFmrs,$P$18,Cdlac[[#This Row],[Bedrooms]]+1),"")</f>
        <v/>
      </c>
      <c r="R24" s="981" t="str">
        <f>IF(Cdlac[[#This Row],[Quantity]]&gt;0,MAX(0,Cdlac[[#This Row],[Fair Market Rent]]-Cdlac[[#This Row],[Restricted Rent]]),"")</f>
        <v/>
      </c>
      <c r="S24" s="959" t="str">
        <f>IF(Cdlac[[#This Row],[Quantity]]&gt;0,AND(Application!AK722&lt;&gt;"N/A",Application!AK722&lt;&gt;"")*Cdlac[[#This Row],[Quantity]],"")</f>
        <v/>
      </c>
      <c r="T24" s="959" t="b">
        <f>AND('Subsidy Contract Calculation'!F8&gt;0,'Subsidy Contract Calculation'!C8="Federal",Cdlac[[#This Row],[Quantity]]&gt;0)</f>
        <v>0</v>
      </c>
    </row>
    <row r="25" spans="1:20" ht="15" customHeight="1">
      <c r="A25" s="992"/>
      <c r="C25" s="993">
        <v>3</v>
      </c>
      <c r="D25" s="991">
        <f>1.5+0.25*0</f>
        <v>1.5</v>
      </c>
      <c r="E25" s="990">
        <f>SUMIFS(Cdlac[Quantity],Cdlac[Bedrooms],C25)</f>
        <v>0</v>
      </c>
      <c r="F25" s="993">
        <f>MIN(E25,ROUNDDOWN(E27*30%,0))</f>
        <v>0</v>
      </c>
      <c r="G25" s="990">
        <f>D25*F25</f>
        <v>0</v>
      </c>
      <c r="H25" s="992"/>
      <c r="I25" s="992"/>
      <c r="L25" s="959" t="str">
        <f>IFERROR(MIN(4,MATCH(Application!B723,UnitSizes,0)-1),"")</f>
        <v/>
      </c>
      <c r="M25" s="981">
        <f>Application!G723</f>
        <v>0</v>
      </c>
      <c r="N25" s="989">
        <f>Application!AC723</f>
        <v>0</v>
      </c>
      <c r="O25" s="989" t="str">
        <f>IF(Cdlac[[#This Row],[Quantity]]&gt;0,IF(Cdlac[[#This Row],[Federal]],30%,IF($G$36,40%,Cdlac[[#This Row],[iAMI]])),"")</f>
        <v/>
      </c>
      <c r="P25" s="981" t="str" cm="1">
        <f t="array" ref="P25">IF(Cdlac[[#This Row],[Quantity]]&gt;0,INDEX(TcacRents,$P$18,Cdlac[[#This Row],[Bedrooms]]+1)*Cdlac[[#This Row],[AMI]],"")</f>
        <v/>
      </c>
      <c r="Q25" s="981" t="str" cm="1">
        <f t="array" ref="Q25">IF(Cdlac[[#This Row],[Quantity]]&gt;0,INDEX(HudFmrs,$P$18,Cdlac[[#This Row],[Bedrooms]]+1),"")</f>
        <v/>
      </c>
      <c r="R25" s="981" t="str">
        <f>IF(Cdlac[[#This Row],[Quantity]]&gt;0,MAX(0,Cdlac[[#This Row],[Fair Market Rent]]-Cdlac[[#This Row],[Restricted Rent]]),"")</f>
        <v/>
      </c>
      <c r="S25" s="959" t="str">
        <f>IF(Cdlac[[#This Row],[Quantity]]&gt;0,AND(Application!AK723&lt;&gt;"N/A",Application!AK723&lt;&gt;"")*Cdlac[[#This Row],[Quantity]],"")</f>
        <v/>
      </c>
      <c r="T25" s="959" t="b">
        <f>AND('Subsidy Contract Calculation'!F9&gt;0,'Subsidy Contract Calculation'!C9="Federal",Cdlac[[#This Row],[Quantity]]&gt;0)</f>
        <v>0</v>
      </c>
    </row>
    <row r="26" spans="1:20" ht="15" customHeight="1" thickBot="1">
      <c r="A26" s="992"/>
      <c r="C26" s="1005">
        <v>4</v>
      </c>
      <c r="D26" s="1006">
        <f>1.75+0.25*0</f>
        <v>1.75</v>
      </c>
      <c r="E26" s="1007">
        <f>SUMIFS(Cdlac[Quantity],Cdlac[Bedrooms],C26)</f>
        <v>0</v>
      </c>
      <c r="F26" s="1005">
        <f>MIN(E26,ROUNDDOWN(E27*10%,0))</f>
        <v>0</v>
      </c>
      <c r="G26" s="1007">
        <f>D26*F26</f>
        <v>0</v>
      </c>
      <c r="H26" s="992"/>
      <c r="I26" s="992"/>
      <c r="L26" s="959" t="str">
        <f>IFERROR(MIN(4,MATCH(Application!B724,UnitSizes,0)-1),"")</f>
        <v/>
      </c>
      <c r="M26" s="981">
        <f>Application!G724</f>
        <v>0</v>
      </c>
      <c r="N26" s="989">
        <f>Application!AC724</f>
        <v>0</v>
      </c>
      <c r="O26" s="989" t="str">
        <f>IF(Cdlac[[#This Row],[Quantity]]&gt;0,IF(Cdlac[[#This Row],[Federal]],30%,IF($G$36,40%,Cdlac[[#This Row],[iAMI]])),"")</f>
        <v/>
      </c>
      <c r="P26" s="981" t="str" cm="1">
        <f t="array" ref="P26">IF(Cdlac[[#This Row],[Quantity]]&gt;0,INDEX(TcacRents,$P$18,Cdlac[[#This Row],[Bedrooms]]+1)*Cdlac[[#This Row],[AMI]],"")</f>
        <v/>
      </c>
      <c r="Q26" s="981" t="str" cm="1">
        <f t="array" ref="Q26">IF(Cdlac[[#This Row],[Quantity]]&gt;0,INDEX(HudFmrs,$P$18,Cdlac[[#This Row],[Bedrooms]]+1),"")</f>
        <v/>
      </c>
      <c r="R26" s="981" t="str">
        <f>IF(Cdlac[[#This Row],[Quantity]]&gt;0,MAX(0,Cdlac[[#This Row],[Fair Market Rent]]-Cdlac[[#This Row],[Restricted Rent]]),"")</f>
        <v/>
      </c>
      <c r="S26" s="959" t="str">
        <f>IF(Cdlac[[#This Row],[Quantity]]&gt;0,AND(Application!AK724&lt;&gt;"N/A",Application!AK724&lt;&gt;"")*Cdlac[[#This Row],[Quantity]],"")</f>
        <v/>
      </c>
      <c r="T26" s="959" t="b">
        <f>AND('Subsidy Contract Calculation'!F10&gt;0,'Subsidy Contract Calculation'!C10="Federal",Cdlac[[#This Row],[Quantity]]&gt;0)</f>
        <v>0</v>
      </c>
    </row>
    <row r="27" spans="1:20" ht="15" customHeight="1">
      <c r="A27" s="992"/>
      <c r="C27" s="2075" t="s">
        <v>2441</v>
      </c>
      <c r="D27" s="2076"/>
      <c r="E27" s="1008">
        <f>SUM(E22:E26)</f>
        <v>100</v>
      </c>
      <c r="F27" s="1008">
        <f>SUM(F22:F26)</f>
        <v>100</v>
      </c>
      <c r="G27" s="1009">
        <f>SUMPRODUCT(D22:D26,F22:F26)</f>
        <v>100.75</v>
      </c>
      <c r="H27" s="992"/>
      <c r="I27" s="992"/>
      <c r="L27" s="959" t="str">
        <f>IFERROR(MIN(4,MATCH(Application!B725,UnitSizes,0)-1),"")</f>
        <v/>
      </c>
      <c r="M27" s="981">
        <f>Application!G725</f>
        <v>0</v>
      </c>
      <c r="N27" s="989">
        <f>Application!AC725</f>
        <v>0</v>
      </c>
      <c r="O27" s="989" t="str">
        <f>IF(Cdlac[[#This Row],[Quantity]]&gt;0,IF(Cdlac[[#This Row],[Federal]],30%,IF($G$36,40%,Cdlac[[#This Row],[iAMI]])),"")</f>
        <v/>
      </c>
      <c r="P27" s="981" t="str" cm="1">
        <f t="array" ref="P27">IF(Cdlac[[#This Row],[Quantity]]&gt;0,INDEX(TcacRents,$P$18,Cdlac[[#This Row],[Bedrooms]]+1)*Cdlac[[#This Row],[AMI]],"")</f>
        <v/>
      </c>
      <c r="Q27" s="981" t="str" cm="1">
        <f t="array" ref="Q27">IF(Cdlac[[#This Row],[Quantity]]&gt;0,INDEX(HudFmrs,$P$18,Cdlac[[#This Row],[Bedrooms]]+1),"")</f>
        <v/>
      </c>
      <c r="R27" s="981" t="str">
        <f>IF(Cdlac[[#This Row],[Quantity]]&gt;0,MAX(0,Cdlac[[#This Row],[Fair Market Rent]]-Cdlac[[#This Row],[Restricted Rent]]),"")</f>
        <v/>
      </c>
      <c r="S27" s="959" t="str">
        <f>IF(Cdlac[[#This Row],[Quantity]]&gt;0,AND(Application!AK725&lt;&gt;"N/A",Application!AK725&lt;&gt;"")*Cdlac[[#This Row],[Quantity]],"")</f>
        <v/>
      </c>
      <c r="T27" s="959" t="b">
        <f>AND('Subsidy Contract Calculation'!F11&gt;0,'Subsidy Contract Calculation'!C11="Federal",Cdlac[[#This Row],[Quantity]]&gt;0)</f>
        <v>0</v>
      </c>
    </row>
    <row r="28" spans="1:20" ht="15" customHeight="1">
      <c r="A28" s="992"/>
      <c r="C28" s="992"/>
      <c r="D28" s="992"/>
      <c r="E28" s="992"/>
      <c r="F28" s="992"/>
      <c r="G28" s="992"/>
      <c r="H28" s="992"/>
      <c r="I28" s="992"/>
      <c r="L28" s="959" t="str">
        <f>IFERROR(MIN(4,MATCH(Application!B726,UnitSizes,0)-1),"")</f>
        <v/>
      </c>
      <c r="M28" s="981">
        <f>Application!G726</f>
        <v>0</v>
      </c>
      <c r="N28" s="989">
        <f>Application!AC726</f>
        <v>0</v>
      </c>
      <c r="O28" s="989" t="str">
        <f>IF(Cdlac[[#This Row],[Quantity]]&gt;0,IF(Cdlac[[#This Row],[Federal]],30%,IF($G$36,40%,Cdlac[[#This Row],[iAMI]])),"")</f>
        <v/>
      </c>
      <c r="P28" s="981" t="str" cm="1">
        <f t="array" ref="P28">IF(Cdlac[[#This Row],[Quantity]]&gt;0,INDEX(TcacRents,$P$18,Cdlac[[#This Row],[Bedrooms]]+1)*Cdlac[[#This Row],[AMI]],"")</f>
        <v/>
      </c>
      <c r="Q28" s="981" t="str" cm="1">
        <f t="array" ref="Q28">IF(Cdlac[[#This Row],[Quantity]]&gt;0,INDEX(HudFmrs,$P$18,Cdlac[[#This Row],[Bedrooms]]+1),"")</f>
        <v/>
      </c>
      <c r="R28" s="981" t="str">
        <f>IF(Cdlac[[#This Row],[Quantity]]&gt;0,MAX(0,Cdlac[[#This Row],[Fair Market Rent]]-Cdlac[[#This Row],[Restricted Rent]]),"")</f>
        <v/>
      </c>
      <c r="S28" s="959" t="str">
        <f>IF(Cdlac[[#This Row],[Quantity]]&gt;0,AND(Application!AK726&lt;&gt;"N/A",Application!AK726&lt;&gt;"")*Cdlac[[#This Row],[Quantity]],"")</f>
        <v/>
      </c>
      <c r="T28" s="959" t="b">
        <f>AND('Subsidy Contract Calculation'!F12&gt;0,'Subsidy Contract Calculation'!C12="Federal",Cdlac[[#This Row],[Quantity]]&gt;0)</f>
        <v>0</v>
      </c>
    </row>
    <row r="29" spans="1:20" ht="15" customHeight="1">
      <c r="A29" s="992"/>
      <c r="E29" s="1038" t="s">
        <v>2440</v>
      </c>
      <c r="G29" s="1035">
        <f>G27</f>
        <v>100.75</v>
      </c>
      <c r="H29" s="992"/>
      <c r="I29" s="992"/>
      <c r="L29" s="959" t="str">
        <f>IFERROR(MIN(4,MATCH(Application!B727,UnitSizes,0)-1),"")</f>
        <v/>
      </c>
      <c r="M29" s="981">
        <f>Application!G727</f>
        <v>0</v>
      </c>
      <c r="N29" s="989">
        <f>Application!AC727</f>
        <v>0</v>
      </c>
      <c r="O29" s="989" t="str">
        <f>IF(Cdlac[[#This Row],[Quantity]]&gt;0,IF(Cdlac[[#This Row],[Federal]],30%,IF($G$36,40%,Cdlac[[#This Row],[iAMI]])),"")</f>
        <v/>
      </c>
      <c r="P29" s="981" t="str" cm="1">
        <f t="array" ref="P29">IF(Cdlac[[#This Row],[Quantity]]&gt;0,INDEX(TcacRents,$P$18,Cdlac[[#This Row],[Bedrooms]]+1)*Cdlac[[#This Row],[AMI]],"")</f>
        <v/>
      </c>
      <c r="Q29" s="981" t="str" cm="1">
        <f t="array" ref="Q29">IF(Cdlac[[#This Row],[Quantity]]&gt;0,INDEX(HudFmrs,$P$18,Cdlac[[#This Row],[Bedrooms]]+1),"")</f>
        <v/>
      </c>
      <c r="R29" s="981" t="str">
        <f>IF(Cdlac[[#This Row],[Quantity]]&gt;0,MAX(0,Cdlac[[#This Row],[Fair Market Rent]]-Cdlac[[#This Row],[Restricted Rent]]),"")</f>
        <v/>
      </c>
      <c r="S29" s="959" t="str">
        <f>IF(Cdlac[[#This Row],[Quantity]]&gt;0,AND(Application!AK727&lt;&gt;"N/A",Application!AK727&lt;&gt;"")*Cdlac[[#This Row],[Quantity]],"")</f>
        <v/>
      </c>
      <c r="T29" s="959" t="b">
        <f>AND('Subsidy Contract Calculation'!F13&gt;0,'Subsidy Contract Calculation'!C13="Federal",Cdlac[[#This Row],[Quantity]]&gt;0)</f>
        <v>0</v>
      </c>
    </row>
    <row r="30" spans="1:20" ht="15" customHeight="1">
      <c r="A30" s="992"/>
      <c r="E30" s="1038" t="s">
        <v>2442</v>
      </c>
      <c r="F30" s="1034" t="s">
        <v>2443</v>
      </c>
      <c r="G30" s="1036">
        <v>50000</v>
      </c>
      <c r="H30" s="992"/>
      <c r="I30" s="992"/>
      <c r="L30" s="959" t="str">
        <f>IFERROR(MIN(4,MATCH(Application!B728,UnitSizes,0)-1),"")</f>
        <v/>
      </c>
      <c r="M30" s="981">
        <f>Application!G728</f>
        <v>0</v>
      </c>
      <c r="N30" s="989">
        <f>Application!AC728</f>
        <v>0</v>
      </c>
      <c r="O30" s="989" t="str">
        <f>IF(Cdlac[[#This Row],[Quantity]]&gt;0,IF(Cdlac[[#This Row],[Federal]],30%,IF($G$36,40%,Cdlac[[#This Row],[iAMI]])),"")</f>
        <v/>
      </c>
      <c r="P30" s="981" t="str" cm="1">
        <f t="array" ref="P30">IF(Cdlac[[#This Row],[Quantity]]&gt;0,INDEX(TcacRents,$P$18,Cdlac[[#This Row],[Bedrooms]]+1)*Cdlac[[#This Row],[AMI]],"")</f>
        <v/>
      </c>
      <c r="Q30" s="981" t="str" cm="1">
        <f t="array" ref="Q30">IF(Cdlac[[#This Row],[Quantity]]&gt;0,INDEX(HudFmrs,$P$18,Cdlac[[#This Row],[Bedrooms]]+1),"")</f>
        <v/>
      </c>
      <c r="R30" s="981" t="str">
        <f>IF(Cdlac[[#This Row],[Quantity]]&gt;0,MAX(0,Cdlac[[#This Row],[Fair Market Rent]]-Cdlac[[#This Row],[Restricted Rent]]),"")</f>
        <v/>
      </c>
      <c r="S30" s="959" t="str">
        <f>IF(Cdlac[[#This Row],[Quantity]]&gt;0,AND(Application!AK728&lt;&gt;"N/A",Application!AK728&lt;&gt;"")*Cdlac[[#This Row],[Quantity]],"")</f>
        <v/>
      </c>
      <c r="T30" s="959" t="b">
        <f>AND('Subsidy Contract Calculation'!F14&gt;0,'Subsidy Contract Calculation'!C14="Federal",Cdlac[[#This Row],[Quantity]]&gt;0)</f>
        <v>0</v>
      </c>
    </row>
    <row r="31" spans="1:20" ht="15" customHeight="1">
      <c r="A31" s="992"/>
      <c r="E31" s="1039" t="s">
        <v>2444</v>
      </c>
      <c r="F31" s="961"/>
      <c r="G31" s="1040">
        <f>G30*G29</f>
        <v>5037500</v>
      </c>
      <c r="H31" s="992"/>
      <c r="I31" s="992"/>
      <c r="L31" s="959" t="str">
        <f>IFERROR(MIN(4,MATCH(Application!B729,UnitSizes,0)-1),"")</f>
        <v/>
      </c>
      <c r="M31" s="981">
        <f>Application!G729</f>
        <v>0</v>
      </c>
      <c r="N31" s="989">
        <f>Application!AC729</f>
        <v>0</v>
      </c>
      <c r="O31" s="989" t="str">
        <f>IF(Cdlac[[#This Row],[Quantity]]&gt;0,IF(Cdlac[[#This Row],[Federal]],30%,IF($G$36,40%,Cdlac[[#This Row],[iAMI]])),"")</f>
        <v/>
      </c>
      <c r="P31" s="981" t="str" cm="1">
        <f t="array" ref="P31">IF(Cdlac[[#This Row],[Quantity]]&gt;0,INDEX(TcacRents,$P$18,Cdlac[[#This Row],[Bedrooms]]+1)*Cdlac[[#This Row],[AMI]],"")</f>
        <v/>
      </c>
      <c r="Q31" s="981" t="str" cm="1">
        <f t="array" ref="Q31">IF(Cdlac[[#This Row],[Quantity]]&gt;0,INDEX(HudFmrs,$P$18,Cdlac[[#This Row],[Bedrooms]]+1),"")</f>
        <v/>
      </c>
      <c r="R31" s="981" t="str">
        <f>IF(Cdlac[[#This Row],[Quantity]]&gt;0,MAX(0,Cdlac[[#This Row],[Fair Market Rent]]-Cdlac[[#This Row],[Restricted Rent]]),"")</f>
        <v/>
      </c>
      <c r="S31" s="959" t="str">
        <f>IF(Cdlac[[#This Row],[Quantity]]&gt;0,AND(Application!AK729&lt;&gt;"N/A",Application!AK729&lt;&gt;"")*Cdlac[[#This Row],[Quantity]],"")</f>
        <v/>
      </c>
      <c r="T31" s="959" t="b">
        <f>AND('Subsidy Contract Calculation'!F15&gt;0,'Subsidy Contract Calculation'!C15="Federal",Cdlac[[#This Row],[Quantity]]&gt;0)</f>
        <v>0</v>
      </c>
    </row>
    <row r="32" spans="1:20" ht="15" customHeight="1">
      <c r="A32" s="992"/>
      <c r="B32" s="992"/>
      <c r="C32" s="992"/>
      <c r="D32" s="992"/>
      <c r="E32" s="992"/>
      <c r="F32" s="992"/>
      <c r="G32" s="992"/>
      <c r="H32" s="992"/>
      <c r="I32" s="992"/>
      <c r="L32" s="959" t="str">
        <f>IFERROR(MIN(4,MATCH(Application!B730,UnitSizes,0)-1),"")</f>
        <v/>
      </c>
      <c r="M32" s="981">
        <f>Application!G730</f>
        <v>0</v>
      </c>
      <c r="N32" s="989">
        <f>Application!AC730</f>
        <v>0</v>
      </c>
      <c r="O32" s="989" t="str">
        <f>IF(Cdlac[[#This Row],[Quantity]]&gt;0,IF(Cdlac[[#This Row],[Federal]],30%,IF($G$36,40%,Cdlac[[#This Row],[iAMI]])),"")</f>
        <v/>
      </c>
      <c r="P32" s="981" t="str" cm="1">
        <f t="array" ref="P32">IF(Cdlac[[#This Row],[Quantity]]&gt;0,INDEX(TcacRents,$P$18,Cdlac[[#This Row],[Bedrooms]]+1)*Cdlac[[#This Row],[AMI]],"")</f>
        <v/>
      </c>
      <c r="Q32" s="981" t="str" cm="1">
        <f t="array" ref="Q32">IF(Cdlac[[#This Row],[Quantity]]&gt;0,INDEX(HudFmrs,$P$18,Cdlac[[#This Row],[Bedrooms]]+1),"")</f>
        <v/>
      </c>
      <c r="R32" s="981" t="str">
        <f>IF(Cdlac[[#This Row],[Quantity]]&gt;0,MAX(0,Cdlac[[#This Row],[Fair Market Rent]]-Cdlac[[#This Row],[Restricted Rent]]),"")</f>
        <v/>
      </c>
      <c r="S32" s="959" t="str">
        <f>IF(Cdlac[[#This Row],[Quantity]]&gt;0,AND(Application!AK730&lt;&gt;"N/A",Application!AK730&lt;&gt;"")*Cdlac[[#This Row],[Quantity]],"")</f>
        <v/>
      </c>
      <c r="T32" s="959" t="b">
        <f>AND('Subsidy Contract Calculation'!F16&gt;0,'Subsidy Contract Calculation'!C16="Federal",Cdlac[[#This Row],[Quantity]]&gt;0)</f>
        <v>0</v>
      </c>
    </row>
    <row r="33" spans="2:20" ht="15" customHeight="1">
      <c r="B33" s="984" t="str">
        <f>B10</f>
        <v>B. Rent Savings Benefit</v>
      </c>
      <c r="C33" s="985"/>
      <c r="D33" s="985"/>
      <c r="E33" s="985"/>
      <c r="F33" s="985"/>
      <c r="G33" s="985"/>
      <c r="H33" s="985"/>
      <c r="I33" s="986"/>
      <c r="L33" s="959" t="str">
        <f>IFERROR(MIN(4,MATCH(Application!B731,UnitSizes,0)-1),"")</f>
        <v/>
      </c>
      <c r="M33" s="981">
        <f>Application!G731</f>
        <v>0</v>
      </c>
      <c r="N33" s="989">
        <f>Application!AC731</f>
        <v>0</v>
      </c>
      <c r="O33" s="989" t="str">
        <f>IF(Cdlac[[#This Row],[Quantity]]&gt;0,IF(Cdlac[[#This Row],[Federal]],30%,IF($G$36,40%,Cdlac[[#This Row],[iAMI]])),"")</f>
        <v/>
      </c>
      <c r="P33" s="981" t="str" cm="1">
        <f t="array" ref="P33">IF(Cdlac[[#This Row],[Quantity]]&gt;0,INDEX(TcacRents,$P$18,Cdlac[[#This Row],[Bedrooms]]+1)*Cdlac[[#This Row],[AMI]],"")</f>
        <v/>
      </c>
      <c r="Q33" s="981" t="str" cm="1">
        <f t="array" ref="Q33">IF(Cdlac[[#This Row],[Quantity]]&gt;0,INDEX(HudFmrs,$P$18,Cdlac[[#This Row],[Bedrooms]]+1),"")</f>
        <v/>
      </c>
      <c r="R33" s="981" t="str">
        <f>IF(Cdlac[[#This Row],[Quantity]]&gt;0,MAX(0,Cdlac[[#This Row],[Fair Market Rent]]-Cdlac[[#This Row],[Restricted Rent]]),"")</f>
        <v/>
      </c>
      <c r="S33" s="959" t="str">
        <f>IF(Cdlac[[#This Row],[Quantity]]&gt;0,AND(Application!AK731&lt;&gt;"N/A",Application!AK731&lt;&gt;"")*Cdlac[[#This Row],[Quantity]],"")</f>
        <v/>
      </c>
      <c r="T33" s="959" t="b">
        <f>AND('Subsidy Contract Calculation'!F17&gt;0,'Subsidy Contract Calculation'!C17="Federal",Cdlac[[#This Row],[Quantity]]&gt;0)</f>
        <v>0</v>
      </c>
    </row>
    <row r="34" spans="2:20" ht="15" customHeight="1">
      <c r="L34" s="959" t="str">
        <f>IFERROR(MIN(4,MATCH(Application!B732,UnitSizes,0)-1),"")</f>
        <v/>
      </c>
      <c r="M34" s="981">
        <f>Application!G732</f>
        <v>0</v>
      </c>
      <c r="N34" s="989">
        <f>Application!AC732</f>
        <v>0</v>
      </c>
      <c r="O34" s="989" t="str">
        <f>IF(Cdlac[[#This Row],[Quantity]]&gt;0,IF(Cdlac[[#This Row],[Federal]],30%,IF($G$36,40%,Cdlac[[#This Row],[iAMI]])),"")</f>
        <v/>
      </c>
      <c r="P34" s="981" t="str" cm="1">
        <f t="array" ref="P34">IF(Cdlac[[#This Row],[Quantity]]&gt;0,INDEX(TcacRents,$P$18,Cdlac[[#This Row],[Bedrooms]]+1)*Cdlac[[#This Row],[AMI]],"")</f>
        <v/>
      </c>
      <c r="Q34" s="981" t="str" cm="1">
        <f t="array" ref="Q34">IF(Cdlac[[#This Row],[Quantity]]&gt;0,INDEX(HudFmrs,$P$18,Cdlac[[#This Row],[Bedrooms]]+1),"")</f>
        <v/>
      </c>
      <c r="R34" s="981" t="str">
        <f>IF(Cdlac[[#This Row],[Quantity]]&gt;0,MAX(0,Cdlac[[#This Row],[Fair Market Rent]]-Cdlac[[#This Row],[Restricted Rent]]),"")</f>
        <v/>
      </c>
      <c r="S34" s="959" t="str">
        <f>IF(Cdlac[[#This Row],[Quantity]]&gt;0,AND(Application!AK732&lt;&gt;"N/A",Application!AK732&lt;&gt;"")*Cdlac[[#This Row],[Quantity]],"")</f>
        <v/>
      </c>
      <c r="T34" s="959" t="b">
        <f>AND('Subsidy Contract Calculation'!F18&gt;0,'Subsidy Contract Calculation'!C18="Federal",Cdlac[[#This Row],[Quantity]]&gt;0)</f>
        <v>0</v>
      </c>
    </row>
    <row r="35" spans="2:20" ht="15" customHeight="1">
      <c r="E35" s="1004" t="s">
        <v>2445</v>
      </c>
      <c r="G35" s="1041" t="e" cm="1">
        <f t="array" ref="G35">SUMPRODUCT(Cdlac[Quantity],Cdlac[iAMI],IF(Cdlac[Federal],0,1))/SUMIFS(Cdlac[Quantity],Cdlac[Federal],FALSE)</f>
        <v>#DIV/0!</v>
      </c>
      <c r="L35" s="959" t="str">
        <f>IFERROR(MIN(4,MATCH(Application!B733,UnitSizes,0)-1),"")</f>
        <v/>
      </c>
      <c r="M35" s="981">
        <f>Application!G733</f>
        <v>0</v>
      </c>
      <c r="N35" s="989">
        <f>Application!AC733</f>
        <v>0</v>
      </c>
      <c r="O35" s="989" t="str">
        <f>IF(Cdlac[[#This Row],[Quantity]]&gt;0,IF(Cdlac[[#This Row],[Federal]],30%,IF($G$36,40%,Cdlac[[#This Row],[iAMI]])),"")</f>
        <v/>
      </c>
      <c r="P35" s="981" t="str" cm="1">
        <f t="array" ref="P35">IF(Cdlac[[#This Row],[Quantity]]&gt;0,INDEX(TcacRents,$P$18,Cdlac[[#This Row],[Bedrooms]]+1)*Cdlac[[#This Row],[AMI]],"")</f>
        <v/>
      </c>
      <c r="Q35" s="981" t="str" cm="1">
        <f t="array" ref="Q35">IF(Cdlac[[#This Row],[Quantity]]&gt;0,INDEX(HudFmrs,$P$18,Cdlac[[#This Row],[Bedrooms]]+1),"")</f>
        <v/>
      </c>
      <c r="R35" s="981" t="str">
        <f>IF(Cdlac[[#This Row],[Quantity]]&gt;0,MAX(0,Cdlac[[#This Row],[Fair Market Rent]]-Cdlac[[#This Row],[Restricted Rent]]),"")</f>
        <v/>
      </c>
      <c r="S35" s="959" t="str">
        <f>IF(Cdlac[[#This Row],[Quantity]]&gt;0,AND(Application!AK733&lt;&gt;"N/A",Application!AK733&lt;&gt;"")*Cdlac[[#This Row],[Quantity]],"")</f>
        <v/>
      </c>
      <c r="T35" s="959" t="b">
        <f>AND('Subsidy Contract Calculation'!F19&gt;0,'Subsidy Contract Calculation'!C19="Federal",Cdlac[[#This Row],[Quantity]]&gt;0)</f>
        <v>0</v>
      </c>
    </row>
    <row r="36" spans="2:20" ht="15" customHeight="1">
      <c r="E36" s="1004" t="s">
        <v>2446</v>
      </c>
      <c r="G36" s="999" t="e">
        <f>G35&lt;40%</f>
        <v>#DIV/0!</v>
      </c>
      <c r="L36" s="959" t="str">
        <f>IFERROR(MIN(4,MATCH(Application!B734,UnitSizes,0)-1),"")</f>
        <v/>
      </c>
      <c r="M36" s="981">
        <f>Application!G734</f>
        <v>0</v>
      </c>
      <c r="N36" s="989">
        <f>Application!AC734</f>
        <v>0</v>
      </c>
      <c r="O36" s="989" t="str">
        <f>IF(Cdlac[[#This Row],[Quantity]]&gt;0,IF(Cdlac[[#This Row],[Federal]],30%,IF($G$36,40%,Cdlac[[#This Row],[iAMI]])),"")</f>
        <v/>
      </c>
      <c r="P36" s="981" t="str" cm="1">
        <f t="array" ref="P36">IF(Cdlac[[#This Row],[Quantity]]&gt;0,INDEX(TcacRents,$P$18,Cdlac[[#This Row],[Bedrooms]]+1)*Cdlac[[#This Row],[AMI]],"")</f>
        <v/>
      </c>
      <c r="Q36" s="981" t="str" cm="1">
        <f t="array" ref="Q36">IF(Cdlac[[#This Row],[Quantity]]&gt;0,INDEX(HudFmrs,$P$18,Cdlac[[#This Row],[Bedrooms]]+1),"")</f>
        <v/>
      </c>
      <c r="R36" s="981" t="str">
        <f>IF(Cdlac[[#This Row],[Quantity]]&gt;0,MAX(0,Cdlac[[#This Row],[Fair Market Rent]]-Cdlac[[#This Row],[Restricted Rent]]),"")</f>
        <v/>
      </c>
      <c r="S36" s="959" t="str">
        <f>IF(Cdlac[[#This Row],[Quantity]]&gt;0,AND(Application!AK734&lt;&gt;"N/A",Application!AK734&lt;&gt;"")*Cdlac[[#This Row],[Quantity]],"")</f>
        <v/>
      </c>
      <c r="T36" s="959" t="b">
        <f>AND('Subsidy Contract Calculation'!F20&gt;0,'Subsidy Contract Calculation'!C20="Federal",Cdlac[[#This Row],[Quantity]]&gt;0)</f>
        <v>0</v>
      </c>
    </row>
    <row r="37" spans="2:20" ht="15" customHeight="1">
      <c r="L37" s="959" t="str">
        <f>IFERROR(MIN(4,MATCH(Application!B735,UnitSizes,0)-1),"")</f>
        <v/>
      </c>
      <c r="M37" s="981">
        <f>Application!G735</f>
        <v>0</v>
      </c>
      <c r="N37" s="989">
        <f>Application!AC735</f>
        <v>0</v>
      </c>
      <c r="O37" s="989" t="str">
        <f>IF(Cdlac[[#This Row],[Quantity]]&gt;0,IF(Cdlac[[#This Row],[Federal]],30%,IF($G$36,40%,Cdlac[[#This Row],[iAMI]])),"")</f>
        <v/>
      </c>
      <c r="P37" s="981" t="str" cm="1">
        <f t="array" ref="P37">IF(Cdlac[[#This Row],[Quantity]]&gt;0,INDEX(TcacRents,$P$18,Cdlac[[#This Row],[Bedrooms]]+1)*Cdlac[[#This Row],[AMI]],"")</f>
        <v/>
      </c>
      <c r="Q37" s="981" t="str" cm="1">
        <f t="array" ref="Q37">IF(Cdlac[[#This Row],[Quantity]]&gt;0,INDEX(HudFmrs,$P$18,Cdlac[[#This Row],[Bedrooms]]+1),"")</f>
        <v/>
      </c>
      <c r="R37" s="981" t="str">
        <f>IF(Cdlac[[#This Row],[Quantity]]&gt;0,MAX(0,Cdlac[[#This Row],[Fair Market Rent]]-Cdlac[[#This Row],[Restricted Rent]]),"")</f>
        <v/>
      </c>
      <c r="S37" s="959" t="str">
        <f>IF(Cdlac[[#This Row],[Quantity]]&gt;0,AND(Application!AK735&lt;&gt;"N/A",Application!AK735&lt;&gt;"")*Cdlac[[#This Row],[Quantity]],"")</f>
        <v/>
      </c>
      <c r="T37" s="959" t="b">
        <f>AND('Subsidy Contract Calculation'!F21&gt;0,'Subsidy Contract Calculation'!C21="Federal",Cdlac[[#This Row],[Quantity]]&gt;0)</f>
        <v>0</v>
      </c>
    </row>
    <row r="38" spans="2:20" ht="15" customHeight="1">
      <c r="E38" s="1004" t="s">
        <v>2447</v>
      </c>
      <c r="G38" s="996">
        <f>SUMPRODUCT(Cdlac[Quantity],Cdlac[Delta])</f>
        <v>123746</v>
      </c>
      <c r="L38" s="959" t="str">
        <f>IFERROR(MIN(4,MATCH(Application!B736,UnitSizes,0)-1),"")</f>
        <v/>
      </c>
      <c r="M38" s="981">
        <f>Application!G736</f>
        <v>0</v>
      </c>
      <c r="N38" s="989">
        <f>Application!AC736</f>
        <v>0</v>
      </c>
      <c r="O38" s="989" t="str">
        <f>IF(Cdlac[[#This Row],[Quantity]]&gt;0,IF(Cdlac[[#This Row],[Federal]],30%,IF($G$36,40%,Cdlac[[#This Row],[iAMI]])),"")</f>
        <v/>
      </c>
      <c r="P38" s="981" t="str" cm="1">
        <f t="array" ref="P38">IF(Cdlac[[#This Row],[Quantity]]&gt;0,INDEX(TcacRents,$P$18,Cdlac[[#This Row],[Bedrooms]]+1)*Cdlac[[#This Row],[AMI]],"")</f>
        <v/>
      </c>
      <c r="Q38" s="981" t="str" cm="1">
        <f t="array" ref="Q38">IF(Cdlac[[#This Row],[Quantity]]&gt;0,INDEX(HudFmrs,$P$18,Cdlac[[#This Row],[Bedrooms]]+1),"")</f>
        <v/>
      </c>
      <c r="R38" s="981" t="str">
        <f>IF(Cdlac[[#This Row],[Quantity]]&gt;0,MAX(0,Cdlac[[#This Row],[Fair Market Rent]]-Cdlac[[#This Row],[Restricted Rent]]),"")</f>
        <v/>
      </c>
      <c r="S38" s="959" t="str">
        <f>IF(Cdlac[[#This Row],[Quantity]]&gt;0,AND(Application!AK736&lt;&gt;"N/A",Application!AK736&lt;&gt;"")*Cdlac[[#This Row],[Quantity]],"")</f>
        <v/>
      </c>
      <c r="T38" s="959" t="b">
        <f>AND('Subsidy Contract Calculation'!F22&gt;0,'Subsidy Contract Calculation'!C22="Federal",Cdlac[[#This Row],[Quantity]]&gt;0)</f>
        <v>0</v>
      </c>
    </row>
    <row r="39" spans="2:20" ht="15" customHeight="1">
      <c r="E39" s="1038" t="s">
        <v>2448</v>
      </c>
      <c r="F39" s="1034" t="s">
        <v>2443</v>
      </c>
      <c r="G39" s="1042">
        <f>12*15</f>
        <v>180</v>
      </c>
      <c r="L39" s="959" t="str">
        <f>IFERROR(MIN(4,MATCH(Application!B737,UnitSizes,0)-1),"")</f>
        <v/>
      </c>
      <c r="M39" s="981">
        <f>Application!G737</f>
        <v>0</v>
      </c>
      <c r="N39" s="989">
        <f>Application!AC737</f>
        <v>0</v>
      </c>
      <c r="O39" s="989" t="str">
        <f>IF(Cdlac[[#This Row],[Quantity]]&gt;0,IF(Cdlac[[#This Row],[Federal]],30%,IF($G$36,40%,Cdlac[[#This Row],[iAMI]])),"")</f>
        <v/>
      </c>
      <c r="P39" s="981" t="str" cm="1">
        <f t="array" ref="P39">IF(Cdlac[[#This Row],[Quantity]]&gt;0,INDEX(TcacRents,$P$18,Cdlac[[#This Row],[Bedrooms]]+1)*Cdlac[[#This Row],[AMI]],"")</f>
        <v/>
      </c>
      <c r="Q39" s="981" t="str" cm="1">
        <f t="array" ref="Q39">IF(Cdlac[[#This Row],[Quantity]]&gt;0,INDEX(HudFmrs,$P$18,Cdlac[[#This Row],[Bedrooms]]+1),"")</f>
        <v/>
      </c>
      <c r="R39" s="981" t="str">
        <f>IF(Cdlac[[#This Row],[Quantity]]&gt;0,MAX(0,Cdlac[[#This Row],[Fair Market Rent]]-Cdlac[[#This Row],[Restricted Rent]]),"")</f>
        <v/>
      </c>
      <c r="S39" s="959" t="str">
        <f>IF(Cdlac[[#This Row],[Quantity]]&gt;0,AND(Application!AK737&lt;&gt;"N/A",Application!AK737&lt;&gt;"")*Cdlac[[#This Row],[Quantity]],"")</f>
        <v/>
      </c>
      <c r="T39" s="959" t="b">
        <f>AND('Subsidy Contract Calculation'!F23&gt;0,'Subsidy Contract Calculation'!C23="Federal",Cdlac[[#This Row],[Quantity]]&gt;0)</f>
        <v>0</v>
      </c>
    </row>
    <row r="40" spans="2:20" ht="15" customHeight="1">
      <c r="E40" s="1043" t="s">
        <v>2449</v>
      </c>
      <c r="F40" s="961"/>
      <c r="G40" s="1044">
        <f>G38*G39</f>
        <v>22274280</v>
      </c>
      <c r="L40" s="959" t="str">
        <f>IFERROR(MIN(4,MATCH(Application!B738,UnitSizes,0)-1),"")</f>
        <v/>
      </c>
      <c r="M40" s="981">
        <f>Application!G738</f>
        <v>0</v>
      </c>
      <c r="N40" s="989">
        <f>Application!AC738</f>
        <v>0</v>
      </c>
      <c r="O40" s="989" t="str">
        <f>IF(Cdlac[[#This Row],[Quantity]]&gt;0,IF(Cdlac[[#This Row],[Federal]],30%,IF($G$36,40%,Cdlac[[#This Row],[iAMI]])),"")</f>
        <v/>
      </c>
      <c r="P40" s="981" t="str" cm="1">
        <f t="array" ref="P40">IF(Cdlac[[#This Row],[Quantity]]&gt;0,INDEX(TcacRents,$P$18,Cdlac[[#This Row],[Bedrooms]]+1)*Cdlac[[#This Row],[AMI]],"")</f>
        <v/>
      </c>
      <c r="Q40" s="981" t="str" cm="1">
        <f t="array" ref="Q40">IF(Cdlac[[#This Row],[Quantity]]&gt;0,INDEX(HudFmrs,$P$18,Cdlac[[#This Row],[Bedrooms]]+1),"")</f>
        <v/>
      </c>
      <c r="R40" s="981" t="str">
        <f>IF(Cdlac[[#This Row],[Quantity]]&gt;0,MAX(0,Cdlac[[#This Row],[Fair Market Rent]]-Cdlac[[#This Row],[Restricted Rent]]),"")</f>
        <v/>
      </c>
      <c r="S40" s="959" t="str">
        <f>IF(Cdlac[[#This Row],[Quantity]]&gt;0,AND(Application!AK738&lt;&gt;"N/A",Application!AK738&lt;&gt;"")*Cdlac[[#This Row],[Quantity]],"")</f>
        <v/>
      </c>
      <c r="T40" s="959" t="b">
        <f>AND('Subsidy Contract Calculation'!F24&gt;0,'Subsidy Contract Calculation'!C24="Federal",Cdlac[[#This Row],[Quantity]]&gt;0)</f>
        <v>0</v>
      </c>
    </row>
    <row r="41" spans="2:20" ht="15" customHeight="1">
      <c r="L41" s="959" t="str">
        <f>IFERROR(MIN(4,MATCH(Application!B739,UnitSizes,0)-1),"")</f>
        <v/>
      </c>
      <c r="M41" s="981">
        <f>Application!G739</f>
        <v>0</v>
      </c>
      <c r="N41" s="989">
        <f>Application!AC739</f>
        <v>0</v>
      </c>
      <c r="O41" s="989" t="str">
        <f>IF(Cdlac[[#This Row],[Quantity]]&gt;0,IF(Cdlac[[#This Row],[Federal]],30%,IF($G$36,40%,Cdlac[[#This Row],[iAMI]])),"")</f>
        <v/>
      </c>
      <c r="P41" s="981" t="str" cm="1">
        <f t="array" ref="P41">IF(Cdlac[[#This Row],[Quantity]]&gt;0,INDEX(TcacRents,$P$18,Cdlac[[#This Row],[Bedrooms]]+1)*Cdlac[[#This Row],[AMI]],"")</f>
        <v/>
      </c>
      <c r="Q41" s="981" t="str" cm="1">
        <f t="array" ref="Q41">IF(Cdlac[[#This Row],[Quantity]]&gt;0,INDEX(HudFmrs,$P$18,Cdlac[[#This Row],[Bedrooms]]+1),"")</f>
        <v/>
      </c>
      <c r="R41" s="981" t="str">
        <f>IF(Cdlac[[#This Row],[Quantity]]&gt;0,MAX(0,Cdlac[[#This Row],[Fair Market Rent]]-Cdlac[[#This Row],[Restricted Rent]]),"")</f>
        <v/>
      </c>
      <c r="S41" s="959" t="str">
        <f>IF(Cdlac[[#This Row],[Quantity]]&gt;0,AND(Application!AK739&lt;&gt;"N/A",Application!AK739&lt;&gt;"")*Cdlac[[#This Row],[Quantity]],"")</f>
        <v/>
      </c>
      <c r="T41" s="959" t="b">
        <f>AND('Subsidy Contract Calculation'!F25&gt;0,'Subsidy Contract Calculation'!C25="Federal",Cdlac[[#This Row],[Quantity]]&gt;0)</f>
        <v>0</v>
      </c>
    </row>
    <row r="42" spans="2:20" ht="15" customHeight="1">
      <c r="B42" s="984" t="str">
        <f>B11</f>
        <v>C. Special Needs Population Benefit</v>
      </c>
      <c r="C42" s="985"/>
      <c r="D42" s="985"/>
      <c r="E42" s="985"/>
      <c r="F42" s="985"/>
      <c r="G42" s="985"/>
      <c r="H42" s="985"/>
      <c r="I42" s="986"/>
      <c r="L42" s="959" t="str">
        <f>IFERROR(MIN(4,MATCH(Application!B740,UnitSizes,0)-1),"")</f>
        <v/>
      </c>
      <c r="M42" s="981">
        <f>Application!G740</f>
        <v>0</v>
      </c>
      <c r="N42" s="989">
        <f>Application!AC740</f>
        <v>0</v>
      </c>
      <c r="O42" s="989" t="str">
        <f>IF(Cdlac[[#This Row],[Quantity]]&gt;0,IF(Cdlac[[#This Row],[Federal]],30%,IF($G$36,40%,Cdlac[[#This Row],[iAMI]])),"")</f>
        <v/>
      </c>
      <c r="P42" s="981" t="str" cm="1">
        <f t="array" ref="P42">IF(Cdlac[[#This Row],[Quantity]]&gt;0,INDEX(TcacRents,$P$18,Cdlac[[#This Row],[Bedrooms]]+1)*Cdlac[[#This Row],[AMI]],"")</f>
        <v/>
      </c>
      <c r="Q42" s="981" t="str" cm="1">
        <f t="array" ref="Q42">IF(Cdlac[[#This Row],[Quantity]]&gt;0,INDEX(HudFmrs,$P$18,Cdlac[[#This Row],[Bedrooms]]+1),"")</f>
        <v/>
      </c>
      <c r="R42" s="981" t="str">
        <f>IF(Cdlac[[#This Row],[Quantity]]&gt;0,MAX(0,Cdlac[[#This Row],[Fair Market Rent]]-Cdlac[[#This Row],[Restricted Rent]]),"")</f>
        <v/>
      </c>
      <c r="S42" s="959" t="str">
        <f>IF(Cdlac[[#This Row],[Quantity]]&gt;0,AND(Application!AK740&lt;&gt;"N/A",Application!AK740&lt;&gt;"")*Cdlac[[#This Row],[Quantity]],"")</f>
        <v/>
      </c>
      <c r="T42" s="959" t="b">
        <f>AND('Subsidy Contract Calculation'!F26&gt;0,'Subsidy Contract Calculation'!C26="Federal",Cdlac[[#This Row],[Quantity]]&gt;0)</f>
        <v>0</v>
      </c>
    </row>
    <row r="43" spans="2:20" ht="15" customHeight="1">
      <c r="L43" s="959" t="str">
        <f>IFERROR(MIN(4,MATCH(Application!B741,UnitSizes,0)-1),"")</f>
        <v/>
      </c>
      <c r="M43" s="981">
        <f>Application!G741</f>
        <v>0</v>
      </c>
      <c r="N43" s="989">
        <f>Application!AC741</f>
        <v>0</v>
      </c>
      <c r="O43" s="989" t="str">
        <f>IF(Cdlac[[#This Row],[Quantity]]&gt;0,IF(Cdlac[[#This Row],[Federal]],30%,IF($G$36,40%,Cdlac[[#This Row],[iAMI]])),"")</f>
        <v/>
      </c>
      <c r="P43" s="981" t="str" cm="1">
        <f t="array" ref="P43">IF(Cdlac[[#This Row],[Quantity]]&gt;0,INDEX(TcacRents,$P$18,Cdlac[[#This Row],[Bedrooms]]+1)*Cdlac[[#This Row],[AMI]],"")</f>
        <v/>
      </c>
      <c r="Q43" s="981" t="str" cm="1">
        <f t="array" ref="Q43">IF(Cdlac[[#This Row],[Quantity]]&gt;0,INDEX(HudFmrs,$P$18,Cdlac[[#This Row],[Bedrooms]]+1),"")</f>
        <v/>
      </c>
      <c r="R43" s="981" t="str">
        <f>IF(Cdlac[[#This Row],[Quantity]]&gt;0,MAX(0,Cdlac[[#This Row],[Fair Market Rent]]-Cdlac[[#This Row],[Restricted Rent]]),"")</f>
        <v/>
      </c>
      <c r="S43" s="959" t="str">
        <f>IF(Cdlac[[#This Row],[Quantity]]&gt;0,AND(Application!AK741&lt;&gt;"N/A",Application!AK741&lt;&gt;"")*Cdlac[[#This Row],[Quantity]],"")</f>
        <v/>
      </c>
      <c r="T43" s="959" t="b">
        <f>AND('Subsidy Contract Calculation'!F27&gt;0,'Subsidy Contract Calculation'!C27="Federal",Cdlac[[#This Row],[Quantity]]&gt;0)</f>
        <v>0</v>
      </c>
    </row>
    <row r="44" spans="2:20" ht="15" customHeight="1">
      <c r="E44" s="1038" t="s">
        <v>2450</v>
      </c>
      <c r="G44" s="1046">
        <f>S18</f>
        <v>75</v>
      </c>
      <c r="L44" s="959" t="str">
        <f>IFERROR(MIN(4,MATCH(Application!B752,UnitSizes,0)-1),"")</f>
        <v/>
      </c>
      <c r="M44" s="981">
        <f>Application!G752</f>
        <v>0</v>
      </c>
      <c r="N44" s="989">
        <f>Application!AC752</f>
        <v>0</v>
      </c>
      <c r="O44" s="1000" t="str">
        <f>IF(Cdlac[[#This Row],[Quantity]]&gt;0,IF(Cdlac[[#This Row],[Federal]],30%,IF($G$36,40%,Cdlac[[#This Row],[iAMI]])),"")</f>
        <v/>
      </c>
      <c r="P44" s="981" t="str" cm="1">
        <f t="array" ref="P44">IF(Cdlac[[#This Row],[Quantity]]&gt;0,INDEX(TcacRents,$P$18,Cdlac[[#This Row],[Bedrooms]]+1)*Cdlac[[#This Row],[AMI]],"")</f>
        <v/>
      </c>
      <c r="Q44" s="981" t="str" cm="1">
        <f t="array" ref="Q44">IF(Cdlac[[#This Row],[Quantity]]&gt;0,INDEX(HudFmrs,$P$18,Cdlac[[#This Row],[Bedrooms]]+1),"")</f>
        <v/>
      </c>
      <c r="R44" s="981" t="str">
        <f>IF(Cdlac[[#This Row],[Quantity]]&gt;0,MAX(0,Cdlac[[#This Row],[Fair Market Rent]]-Cdlac[[#This Row],[Restricted Rent]]),"")</f>
        <v/>
      </c>
      <c r="S44" s="959" t="str">
        <f>IF(Cdlac[[#This Row],[Quantity]]&gt;0,AND(Application!AK752&lt;&gt;"N/A",Application!AK752&lt;&gt;"")*Cdlac[[#This Row],[Quantity]],"")</f>
        <v/>
      </c>
      <c r="T44" s="959" t="b">
        <f>AND('Subsidy Contract Calculation'!F38&gt;0,'Subsidy Contract Calculation'!C38="Federal",Cdlac[[#This Row],[Quantity]]&gt;0)</f>
        <v>0</v>
      </c>
    </row>
    <row r="45" spans="2:20" ht="15" customHeight="1">
      <c r="E45" s="1038" t="s">
        <v>2451</v>
      </c>
      <c r="G45" s="1046">
        <f>ROUNDDOWN(E27*50%,0)</f>
        <v>50</v>
      </c>
    </row>
    <row r="46" spans="2:20" ht="15" customHeight="1">
      <c r="E46" s="1038"/>
      <c r="G46" s="1046"/>
    </row>
    <row r="47" spans="2:20" ht="15" customHeight="1">
      <c r="E47" s="1038" t="s">
        <v>2452</v>
      </c>
      <c r="G47" s="1035">
        <f>MIN(G44:G45)</f>
        <v>50</v>
      </c>
    </row>
    <row r="48" spans="2:20" ht="15" customHeight="1">
      <c r="E48" s="1038" t="s">
        <v>2442</v>
      </c>
      <c r="F48" s="1034" t="s">
        <v>2443</v>
      </c>
      <c r="G48" s="1045">
        <v>10000</v>
      </c>
    </row>
    <row r="49" spans="2:14" ht="15" customHeight="1">
      <c r="E49" s="1039" t="s">
        <v>2453</v>
      </c>
      <c r="F49" s="961"/>
      <c r="G49" s="1044">
        <f>G47*G48</f>
        <v>500000</v>
      </c>
    </row>
    <row r="50" spans="2:14" ht="15" customHeight="1"/>
    <row r="51" spans="2:14" ht="15" customHeight="1">
      <c r="B51" s="984" t="str">
        <f>B12</f>
        <v>D. Extremely Low Income Benefit</v>
      </c>
      <c r="C51" s="985"/>
      <c r="D51" s="985"/>
      <c r="E51" s="985"/>
      <c r="F51" s="985"/>
      <c r="G51" s="985"/>
      <c r="H51" s="985"/>
      <c r="I51" s="986"/>
    </row>
    <row r="52" spans="2:14" ht="15" customHeight="1"/>
    <row r="53" spans="2:14" ht="15" customHeight="1">
      <c r="E53" s="1038" t="s">
        <v>2454</v>
      </c>
      <c r="G53" s="997">
        <f>SUMIFS(Cdlac[Quantity],Cdlac[iAMI],"&lt;=30%")</f>
        <v>50</v>
      </c>
    </row>
    <row r="54" spans="2:14" ht="15" customHeight="1">
      <c r="E54" s="1038" t="s">
        <v>2451</v>
      </c>
      <c r="G54" s="997">
        <f>ROUNDDOWN(E27*50%,0)</f>
        <v>50</v>
      </c>
    </row>
    <row r="55" spans="2:14" ht="15" customHeight="1">
      <c r="E55" s="1038"/>
      <c r="G55" s="997"/>
    </row>
    <row r="56" spans="2:14" ht="15" customHeight="1">
      <c r="E56" s="1038" t="s">
        <v>2452</v>
      </c>
      <c r="G56" s="1035">
        <f>MIN(G53:G54)</f>
        <v>50</v>
      </c>
    </row>
    <row r="57" spans="2:14" ht="15" customHeight="1">
      <c r="E57" s="1038" t="s">
        <v>2442</v>
      </c>
      <c r="F57" s="1034" t="s">
        <v>2443</v>
      </c>
      <c r="G57" s="1045">
        <v>20000</v>
      </c>
    </row>
    <row r="58" spans="2:14" ht="15" customHeight="1">
      <c r="E58" s="1039" t="s">
        <v>2455</v>
      </c>
      <c r="F58" s="961"/>
      <c r="G58" s="1044">
        <f>G56*G57</f>
        <v>1000000</v>
      </c>
    </row>
    <row r="59" spans="2:14" ht="15" customHeight="1"/>
    <row r="60" spans="2:14" ht="15" customHeight="1">
      <c r="B60" s="984" t="str">
        <f>B13</f>
        <v>E. Sustainability Benefit</v>
      </c>
      <c r="C60" s="985"/>
      <c r="D60" s="985"/>
      <c r="E60" s="985"/>
      <c r="F60" s="985"/>
      <c r="G60" s="985"/>
      <c r="H60" s="985"/>
      <c r="I60" s="986"/>
    </row>
    <row r="61" spans="2:14" ht="15" customHeight="1" thickBot="1"/>
    <row r="62" spans="2:14" ht="15" customHeight="1">
      <c r="E62" s="1004" t="s">
        <v>2456</v>
      </c>
      <c r="G62" s="1035">
        <f>VLOOKUP('Points System'!$H$595,'Points System'!$AO$575:$AP$580,2,FALSE)</f>
        <v>7</v>
      </c>
      <c r="L62" s="1048" t="str">
        <f>'Points System'!H627</f>
        <v>(i)</v>
      </c>
      <c r="M62" s="2077" t="s">
        <v>2320</v>
      </c>
      <c r="N62" s="2078"/>
    </row>
    <row r="63" spans="2:14" ht="15" customHeight="1">
      <c r="E63" s="1004" t="s">
        <v>2442</v>
      </c>
      <c r="F63" s="1034" t="s">
        <v>2443</v>
      </c>
      <c r="G63" s="994">
        <v>4000</v>
      </c>
      <c r="L63" s="1049" t="str">
        <f>'Points System'!H639</f>
        <v>(ii)</v>
      </c>
      <c r="M63" s="2079" t="s">
        <v>2457</v>
      </c>
      <c r="N63" s="2080"/>
    </row>
    <row r="64" spans="2:14" ht="15" customHeight="1">
      <c r="E64" s="1004" t="s">
        <v>2458</v>
      </c>
      <c r="F64" s="1034" t="s">
        <v>2443</v>
      </c>
      <c r="G64" s="1047">
        <f>G27</f>
        <v>100.75</v>
      </c>
      <c r="L64" s="1049" t="str">
        <f>'Points System'!H674</f>
        <v>(iv)</v>
      </c>
      <c r="M64" s="2079" t="s">
        <v>2459</v>
      </c>
      <c r="N64" s="2080"/>
    </row>
    <row r="65" spans="2:14" ht="15" customHeight="1">
      <c r="E65" s="1039" t="s">
        <v>2460</v>
      </c>
      <c r="F65" s="961"/>
      <c r="G65" s="1044">
        <f>G62*G63*G64</f>
        <v>2821000</v>
      </c>
      <c r="L65" s="1049" t="str">
        <f>IF(OR('Points System'!H698="(ii)",'Points System'!H698="(i)"),"(i)","N/A")</f>
        <v>N/A</v>
      </c>
      <c r="M65" s="2079" t="s">
        <v>2461</v>
      </c>
      <c r="N65" s="2080"/>
    </row>
    <row r="66" spans="2:14" ht="15" customHeight="1">
      <c r="C66" s="995"/>
      <c r="G66" s="1035"/>
      <c r="L66" s="1050" t="str">
        <f>'Points System'!H712</f>
        <v>N/A</v>
      </c>
      <c r="M66" s="2079" t="s">
        <v>2361</v>
      </c>
      <c r="N66" s="2080"/>
    </row>
    <row r="67" spans="2:14" ht="15" customHeight="1">
      <c r="E67" s="1004" t="s">
        <v>2462</v>
      </c>
      <c r="G67" s="1047">
        <f>COUNTIFS(L62:L69,"(i)")</f>
        <v>3</v>
      </c>
      <c r="L67" s="1049" t="str">
        <f>'Points System'!H724</f>
        <v>(i)</v>
      </c>
      <c r="M67" s="2079" t="s">
        <v>2463</v>
      </c>
      <c r="N67" s="2080"/>
    </row>
    <row r="68" spans="2:14" ht="15" customHeight="1">
      <c r="E68" s="1004" t="s">
        <v>2442</v>
      </c>
      <c r="F68" s="1034" t="s">
        <v>2443</v>
      </c>
      <c r="G68" s="1045">
        <v>4000</v>
      </c>
      <c r="L68" s="1049" t="str">
        <f>'Points System'!H740</f>
        <v>(i)</v>
      </c>
      <c r="M68" s="2079" t="s">
        <v>2464</v>
      </c>
      <c r="N68" s="2080"/>
    </row>
    <row r="69" spans="2:14" ht="15" customHeight="1" thickBot="1">
      <c r="E69" s="1039" t="s">
        <v>2465</v>
      </c>
      <c r="F69" s="961"/>
      <c r="G69" s="1044">
        <f>G64*G67*G68</f>
        <v>1209000</v>
      </c>
      <c r="L69" s="1051" t="str">
        <f>'Points System'!H752</f>
        <v>(ii)</v>
      </c>
      <c r="M69" s="2088" t="s">
        <v>2365</v>
      </c>
      <c r="N69" s="2089"/>
    </row>
    <row r="70" spans="2:14" ht="15" customHeight="1"/>
    <row r="71" spans="2:14" ht="15" customHeight="1">
      <c r="C71" s="998" t="s">
        <v>2466</v>
      </c>
    </row>
    <row r="72" spans="2:14" ht="15" customHeight="1">
      <c r="C72" s="995" t="s">
        <v>2467</v>
      </c>
      <c r="G72" s="958"/>
    </row>
    <row r="73" spans="2:14" ht="15" customHeight="1">
      <c r="C73" s="995" t="s">
        <v>2468</v>
      </c>
      <c r="G73" s="958"/>
    </row>
    <row r="74" spans="2:14" ht="15" customHeight="1">
      <c r="C74" s="995" t="s">
        <v>2469</v>
      </c>
      <c r="G74" s="958" t="s">
        <v>836</v>
      </c>
    </row>
    <row r="75" spans="2:14" ht="15" customHeight="1">
      <c r="C75" s="995" t="s">
        <v>2470</v>
      </c>
      <c r="G75" s="958"/>
    </row>
    <row r="76" spans="2:14" ht="15" customHeight="1"/>
    <row r="77" spans="2:14" ht="15" customHeight="1">
      <c r="B77" s="996"/>
      <c r="C77" s="995"/>
      <c r="E77" s="1004" t="s">
        <v>2471</v>
      </c>
      <c r="G77" s="997" t="b">
        <f>COUNTIFS(G72:G75,"Yes")&gt;=1</f>
        <v>1</v>
      </c>
    </row>
    <row r="78" spans="2:14" ht="15" customHeight="1">
      <c r="E78" s="995"/>
    </row>
    <row r="79" spans="2:14" ht="15" customHeight="1">
      <c r="E79" s="1004" t="s">
        <v>2458</v>
      </c>
      <c r="F79" s="1034" t="s">
        <v>2443</v>
      </c>
      <c r="G79" s="1035">
        <f>G27</f>
        <v>100.75</v>
      </c>
    </row>
    <row r="80" spans="2:14" ht="15" customHeight="1">
      <c r="E80" s="1004" t="s">
        <v>2442</v>
      </c>
      <c r="F80" s="1034" t="s">
        <v>2443</v>
      </c>
      <c r="G80" s="1045">
        <v>25000</v>
      </c>
    </row>
    <row r="81" spans="2:14" ht="15" customHeight="1">
      <c r="E81" s="1039" t="s">
        <v>2472</v>
      </c>
      <c r="F81" s="961"/>
      <c r="G81" s="1044">
        <f>G77*G80*G64</f>
        <v>2518750</v>
      </c>
    </row>
    <row r="82" spans="2:14" ht="15" customHeight="1">
      <c r="C82" s="995"/>
      <c r="E82" s="995"/>
    </row>
    <row r="83" spans="2:14" ht="15" customHeight="1">
      <c r="E83" s="1039" t="s">
        <v>2473</v>
      </c>
      <c r="G83" s="1044">
        <f>G81+G69+G65</f>
        <v>6548750</v>
      </c>
    </row>
    <row r="84" spans="2:14" ht="15" customHeight="1"/>
    <row r="85" spans="2:14" ht="15" customHeight="1">
      <c r="B85" s="984" t="str">
        <f>B14</f>
        <v>F. Opportunity Benefit</v>
      </c>
      <c r="C85" s="985"/>
      <c r="D85" s="985"/>
      <c r="E85" s="985"/>
      <c r="F85" s="985"/>
      <c r="G85" s="985"/>
      <c r="H85" s="985"/>
      <c r="I85" s="986"/>
    </row>
    <row r="86" spans="2:14" ht="15" customHeight="1" thickBot="1"/>
    <row r="87" spans="2:14" ht="15" customHeight="1">
      <c r="C87" s="995" t="s">
        <v>2474</v>
      </c>
      <c r="G87" s="958" t="s">
        <v>836</v>
      </c>
      <c r="L87" s="2090" t="s">
        <v>928</v>
      </c>
      <c r="M87" s="2091"/>
      <c r="N87" s="1052">
        <v>30000</v>
      </c>
    </row>
    <row r="88" spans="2:14" ht="15" customHeight="1">
      <c r="C88" s="995" t="s">
        <v>2475</v>
      </c>
      <c r="G88" s="999" t="str">
        <f>IF(Application!D211="Large Family","Yes","No")</f>
        <v>No</v>
      </c>
      <c r="L88" s="2084" t="s">
        <v>932</v>
      </c>
      <c r="M88" s="2085"/>
      <c r="N88" s="1053">
        <v>20000</v>
      </c>
    </row>
    <row r="89" spans="2:14" ht="15" customHeight="1" thickBot="1">
      <c r="C89" s="995" t="s">
        <v>2476</v>
      </c>
      <c r="G89" s="958" t="s">
        <v>836</v>
      </c>
      <c r="L89" s="2086" t="s">
        <v>939</v>
      </c>
      <c r="M89" s="2087"/>
      <c r="N89" s="1054">
        <v>10000</v>
      </c>
    </row>
    <row r="90" spans="2:14" ht="15" customHeight="1">
      <c r="C90" s="995" t="s">
        <v>2477</v>
      </c>
      <c r="G90" s="959" t="str">
        <f>Application!T193</f>
        <v>Highest Resource</v>
      </c>
    </row>
    <row r="91" spans="2:14" ht="15" customHeight="1">
      <c r="C91" s="995"/>
    </row>
    <row r="92" spans="2:14" ht="15" customHeight="1">
      <c r="E92" s="1004" t="s">
        <v>2471</v>
      </c>
      <c r="G92" s="997" t="b">
        <f>AND(COUNTIFS(G88:G89,"Yes")&gt;=1,G87="Yes")</f>
        <v>1</v>
      </c>
    </row>
    <row r="93" spans="2:14" ht="15" customHeight="1">
      <c r="E93" s="1004"/>
      <c r="G93" s="997"/>
    </row>
    <row r="94" spans="2:14" ht="15" customHeight="1">
      <c r="E94" s="1004" t="s">
        <v>2442</v>
      </c>
      <c r="G94" s="996">
        <f>IFERROR(INDEX(N87:N89,MATCH(LEFT(G90,17),L87:L89,0)),0)</f>
        <v>30000</v>
      </c>
    </row>
    <row r="95" spans="2:14" ht="15" customHeight="1">
      <c r="E95" s="1004" t="str">
        <f>E64</f>
        <v>Bedroom-Adjusted Low-Income Units</v>
      </c>
      <c r="F95" s="1034" t="s">
        <v>2443</v>
      </c>
      <c r="G95" s="1035">
        <f>G27</f>
        <v>100.75</v>
      </c>
    </row>
    <row r="96" spans="2:14" ht="15" customHeight="1">
      <c r="D96" s="961"/>
      <c r="E96" s="1039" t="s">
        <v>2478</v>
      </c>
      <c r="F96" s="961"/>
      <c r="G96" s="1044">
        <f>G95*G94*G92</f>
        <v>3022500</v>
      </c>
    </row>
    <row r="97" spans="2:9" ht="15" customHeight="1"/>
    <row r="98" spans="2:9" ht="15" customHeight="1">
      <c r="B98" s="984" t="s">
        <v>2479</v>
      </c>
      <c r="C98" s="985"/>
      <c r="D98" s="985"/>
      <c r="E98" s="985"/>
      <c r="F98" s="985"/>
      <c r="G98" s="985"/>
      <c r="H98" s="985"/>
      <c r="I98" s="986"/>
    </row>
    <row r="99" spans="2:9" ht="15" customHeight="1"/>
    <row r="100" spans="2:9" ht="15" customHeight="1">
      <c r="F100" s="1037" t="s">
        <v>2480</v>
      </c>
      <c r="G100" s="958" t="s">
        <v>892</v>
      </c>
    </row>
    <row r="101" spans="2:9" ht="15" customHeight="1">
      <c r="F101" s="1037"/>
    </row>
    <row r="102" spans="2:9" ht="15" customHeight="1">
      <c r="E102" s="1004" t="s">
        <v>2471</v>
      </c>
      <c r="G102" s="997" t="b">
        <f>G100="Yes"</f>
        <v>0</v>
      </c>
    </row>
    <row r="103" spans="2:9" ht="15" customHeight="1"/>
    <row r="104" spans="2:9" ht="15" customHeight="1">
      <c r="E104" s="1004" t="str">
        <f>E64</f>
        <v>Bedroom-Adjusted Low-Income Units</v>
      </c>
      <c r="G104" s="1035">
        <f>G27</f>
        <v>100.75</v>
      </c>
    </row>
    <row r="105" spans="2:9" ht="15" customHeight="1">
      <c r="E105" s="1004" t="s">
        <v>2442</v>
      </c>
      <c r="F105" s="1034" t="s">
        <v>2443</v>
      </c>
      <c r="G105" s="965">
        <v>20000</v>
      </c>
    </row>
    <row r="106" spans="2:9" ht="15" customHeight="1">
      <c r="E106" s="1039" t="s">
        <v>2481</v>
      </c>
      <c r="F106" s="961"/>
      <c r="G106" s="1044">
        <f>G102*G105*G104</f>
        <v>0</v>
      </c>
    </row>
    <row r="107" spans="2:9" ht="15" customHeight="1"/>
    <row r="108" spans="2:9" ht="15" customHeight="1">
      <c r="B108" s="984" t="s">
        <v>1833</v>
      </c>
      <c r="C108" s="985"/>
      <c r="D108" s="985"/>
      <c r="E108" s="985"/>
      <c r="F108" s="985"/>
      <c r="G108" s="985"/>
      <c r="H108" s="985"/>
      <c r="I108" s="986"/>
    </row>
    <row r="109" spans="2:9" ht="15" customHeight="1"/>
    <row r="110" spans="2:9" ht="15" customHeight="1">
      <c r="C110" s="2081" t="s">
        <v>2482</v>
      </c>
      <c r="D110" s="2081"/>
      <c r="E110" s="2081"/>
      <c r="F110" s="2081"/>
    </row>
    <row r="111" spans="2:9" ht="15" customHeight="1">
      <c r="C111" s="2081"/>
      <c r="D111" s="2081"/>
      <c r="E111" s="2081"/>
      <c r="F111" s="2081"/>
      <c r="G111" s="958" t="s">
        <v>836</v>
      </c>
    </row>
    <row r="112" spans="2:9" ht="15" customHeight="1"/>
    <row r="113" spans="2:9" ht="15" customHeight="1">
      <c r="C113" s="959" t="s">
        <v>2483</v>
      </c>
      <c r="G113" s="2082" t="s">
        <v>1717</v>
      </c>
      <c r="H113" s="2082"/>
    </row>
    <row r="114" spans="2:9" ht="15" customHeight="1">
      <c r="G114" s="2082"/>
      <c r="H114" s="2082"/>
    </row>
    <row r="115" spans="2:9" ht="15" customHeight="1">
      <c r="G115" s="2083"/>
      <c r="H115" s="2083"/>
    </row>
    <row r="116" spans="2:9" ht="15" customHeight="1">
      <c r="G116" s="1142"/>
      <c r="H116" s="1142"/>
    </row>
    <row r="117" spans="2:9" ht="15" customHeight="1">
      <c r="B117" s="984" t="s">
        <v>2484</v>
      </c>
      <c r="C117" s="985"/>
      <c r="D117" s="985"/>
      <c r="E117" s="985"/>
      <c r="F117" s="985"/>
      <c r="G117" s="985"/>
      <c r="H117" s="985"/>
      <c r="I117" s="986"/>
    </row>
    <row r="118" spans="2:9" ht="15" customHeight="1"/>
    <row r="119" spans="2:9" ht="15" customHeight="1">
      <c r="E119" s="1004" t="s">
        <v>980</v>
      </c>
      <c r="G119" s="959" t="str">
        <f>IF(Application!T189="","",Application!T189)</f>
        <v>Los Angeles</v>
      </c>
    </row>
    <row r="120" spans="2:9" ht="15" customHeight="1">
      <c r="E120" s="1004"/>
      <c r="G120" s="996"/>
    </row>
    <row r="121" spans="2:9" ht="15" customHeight="1">
      <c r="E121" s="1004" t="str">
        <f>"2-Bedroom "&amp;G119&amp;" County Basis Limit"</f>
        <v>2-Bedroom Los Angeles County Basis Limit</v>
      </c>
      <c r="G121" s="996">
        <f>Application!R987</f>
        <v>608800</v>
      </c>
    </row>
    <row r="122" spans="2:9" ht="15" customHeight="1">
      <c r="E122" s="1004" t="s">
        <v>2485</v>
      </c>
      <c r="G122" s="996">
        <f>MEDIAN((Application!BR806:BR863))</f>
        <v>489600</v>
      </c>
    </row>
    <row r="123" spans="2:9" ht="15" customHeight="1">
      <c r="D123" s="961"/>
      <c r="E123" s="1039" t="s">
        <v>2486</v>
      </c>
      <c r="F123" s="1055"/>
      <c r="G123" s="1056">
        <f>((G121-G122)/G122)*0.25</f>
        <v>6.0866013071895424E-2</v>
      </c>
      <c r="H123" s="957"/>
      <c r="I123" s="957"/>
    </row>
    <row r="124" spans="2:9" ht="15" customHeight="1">
      <c r="D124" s="960"/>
      <c r="E124" s="96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99cd591-4257-4c18-8769-c80073dddf61" xsi:nil="true"/>
    <lcf76f155ced4ddcb4097134ff3c332f xmlns="ef110956-ef39-4772-9c13-f964c595474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E27D3058EC9AB4691674692BC1E2EBB" ma:contentTypeVersion="12" ma:contentTypeDescription="Create a new document." ma:contentTypeScope="" ma:versionID="eb51b9200c115189ce721ac1f4b048d7">
  <xsd:schema xmlns:xsd="http://www.w3.org/2001/XMLSchema" xmlns:xs="http://www.w3.org/2001/XMLSchema" xmlns:p="http://schemas.microsoft.com/office/2006/metadata/properties" xmlns:ns2="ef110956-ef39-4772-9c13-f964c5954740" xmlns:ns3="399cd591-4257-4c18-8769-c80073dddf61" targetNamespace="http://schemas.microsoft.com/office/2006/metadata/properties" ma:root="true" ma:fieldsID="cf7b78ef496c5a2173cc6096cae8a611" ns2:_="" ns3:_="">
    <xsd:import namespace="ef110956-ef39-4772-9c13-f964c5954740"/>
    <xsd:import namespace="399cd591-4257-4c18-8769-c80073dddf6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ServiceDateTaken" minOccurs="0"/>
                <xsd:element ref="ns2:MediaLengthInSeconds" minOccurs="0"/>
                <xsd:element ref="ns2:MediaServiceSearchPropertie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110956-ef39-4772-9c13-f964c59547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df9595af-3e2b-4dc5-897c-46e45bc1495e"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99cd591-4257-4c18-8769-c80073dddf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91c890b-17c6-4ce1-b15b-b5aff581fd1f}" ma:internalName="TaxCatchAll" ma:showField="CatchAllData" ma:web="399cd591-4257-4c18-8769-c80073dddf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F4235C2-CDE7-4F1F-8999-4C89724A0FD3}">
  <ds:schemaRefs>
    <ds:schemaRef ds:uri="http://schemas.microsoft.com/office/2006/metadata/properties"/>
    <ds:schemaRef ds:uri="http://schemas.microsoft.com/office/infopath/2007/PartnerControls"/>
    <ds:schemaRef ds:uri="399cd591-4257-4c18-8769-c80073dddf61"/>
    <ds:schemaRef ds:uri="ef110956-ef39-4772-9c13-f964c5954740"/>
  </ds:schemaRefs>
</ds:datastoreItem>
</file>

<file path=customXml/itemProps2.xml><?xml version="1.0" encoding="utf-8"?>
<ds:datastoreItem xmlns:ds="http://schemas.openxmlformats.org/officeDocument/2006/customXml" ds:itemID="{3CC2DB67-DB5C-49DC-971F-42FDAD8137D3}">
  <ds:schemaRefs>
    <ds:schemaRef ds:uri="http://schemas.microsoft.com/sharepoint/v3/contenttype/forms"/>
  </ds:schemaRefs>
</ds:datastoreItem>
</file>

<file path=customXml/itemProps3.xml><?xml version="1.0" encoding="utf-8"?>
<ds:datastoreItem xmlns:ds="http://schemas.openxmlformats.org/officeDocument/2006/customXml" ds:itemID="{DA470CAB-46F6-412D-B9F1-97FA62A497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110956-ef39-4772-9c13-f964c5954740"/>
    <ds:schemaRef ds:uri="399cd591-4257-4c18-8769-c80073dddf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Danielle Peppito</cp:lastModifiedBy>
  <cp:revision/>
  <dcterms:created xsi:type="dcterms:W3CDTF">2007-12-27T18:26:28Z</dcterms:created>
  <dcterms:modified xsi:type="dcterms:W3CDTF">2024-08-24T03:14:49Z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0x0101005E27D3058EC9AB4691674692BC1E2EBB</vt:lpwstr>
  </property>
  <property fmtid="{D5CDD505-2E9C-101B-9397-08002B2CF9AE}" pid="3" name="MediaServiceImageTags">
    <vt:lpwstr/>
  </property>
</Properties>
</file>